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EE8EE2B-62CE-4AF9-B57A-1481EB8468B0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N8" i="431"/>
  <c r="C8" i="431"/>
  <c r="H8" i="431"/>
  <c r="I8" i="431"/>
  <c r="J8" i="431"/>
  <c r="K8" i="431"/>
  <c r="M8" i="431"/>
  <c r="F8" i="431"/>
  <c r="Q8" i="431"/>
  <c r="G8" i="431"/>
  <c r="D8" i="431"/>
  <c r="P8" i="431"/>
  <c r="E8" i="431"/>
  <c r="O8" i="431"/>
  <c r="L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H11" i="339" l="1"/>
  <c r="G11" i="339"/>
  <c r="A21" i="414"/>
  <c r="A13" i="414"/>
  <c r="A14" i="414"/>
  <c r="A4" i="414"/>
  <c r="A6" i="339" l="1"/>
  <c r="A5" i="339"/>
  <c r="C14" i="414"/>
  <c r="D17" i="414"/>
  <c r="D14" i="414"/>
  <c r="C17" i="414"/>
  <c r="D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C22" i="414"/>
  <c r="D22" i="414"/>
  <c r="Q3" i="345" l="1"/>
  <c r="S3" i="347"/>
  <c r="U3" i="347"/>
  <c r="I12" i="339"/>
  <c r="I13" i="339" s="1"/>
  <c r="H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<sst xmlns="http://schemas.openxmlformats.org/spreadsheetml/2006/main" count="2124" uniqueCount="639">
  <si>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</si>
  <si>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</si>
  <si>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</si>
  <si>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</si>
  <si>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</si>
  <si>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</si>
  <si>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</si>
  <si>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</si>
  <si>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</si>
  <si>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</si>
  <si>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</si>
  <si>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</si>
  <si>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</si>
  <si>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</si>
  <si>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</si>
  <si>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</si>
  <si>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</si>
  <si>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</si>
  <si>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</si>
  <si>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</si>
  <si>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</si>
  <si>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</si>
  <si>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</si>
  <si>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</si>
  <si>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</si>
  <si>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</si>
  <si>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</si>
  <si>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</si>
  <si>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</si>
  <si>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</si>
  <si>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</si>
  <si>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</si>
  <si>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</si>
  <si>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</si>
  <si>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</si>
  <si>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</si>
  <si>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</si>
  <si>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</si>
  <si>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</si>
  <si>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</si>
  <si>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</si>
  <si>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</si>
  <si>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</si>
  <si>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</si>
  <si>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</si>
  <si>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</si>
  <si>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</si>
  <si>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</si>
  <si>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</si>
  <si>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</si>
  <si>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</si>
  <si>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</si>
  <si>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</si>
  <si>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</si>
  <si>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</si>
  <si>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</si>
  <si>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</si>
  <si>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</si>
  <si>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</si>
  <si>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</si>
  <si>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</si>
  <si>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</si>
  <si>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</si>
  <si>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</si>
  <si>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</si>
  <si>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</si>
  <si>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</si>
  <si>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</si>
  <si>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</si>
  <si>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</si>
  <si>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</si>
  <si>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</si>
  <si>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</si>
  <si>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</si>
  <si>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</si>
  <si>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</si>
  <si>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</si>
  <si>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</si>
  <si>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</si>
  <si>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</si>
  <si>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</si>
  <si>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</si>
  <si>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</si>
  <si>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</si>
  <si>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</si>
  <si>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</si>
  <si>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</si>
  <si>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</si>
  <si>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</si>
  <si>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</si>
  <si>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</si>
  <si>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</si>
  <si>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</si>
  <si>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</si>
  <si>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</si>
  <si>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</si>
  <si>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</si>
  <si>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</si>
  <si>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</si>
  <si>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</si>
  <si>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</si>
  <si>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</si>
  <si>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</si>
  <si>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</si>
  <si>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</si>
  <si>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</si>
  <si>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</si>
  <si>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</si>
  <si>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</si>
  <si>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</si>
  <si>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</si>
  <si>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</si>
  <si>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</si>
  <si>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</si>
  <si>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</si>
  <si>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</si>
  <si>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</si>
  <si>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</si>
  <si>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</si>
  <si>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</si>
  <si>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</si>
  <si>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</si>
  <si>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</si>
  <si>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</si>
  <si>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</si>
  <si>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</si>
  <si>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</si>
  <si>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</si>
  <si>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</si>
  <si>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</si>
  <si>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</si>
  <si>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</si>
  <si>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</si>
  <si>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</si>
  <si>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</si>
  <si>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</si>
  <si>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</si>
  <si>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</si>
  <si>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</si>
  <si>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</si>
  <si>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</si>
  <si>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</si>
  <si>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</si>
  <si>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</si>
  <si>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</si>
  <si>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</si>
  <si>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</si>
  <si>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</si>
  <si>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</si>
  <si>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</si>
  <si>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</si>
  <si>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</si>
  <si>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</si>
  <si>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</si>
  <si>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</si>
  <si>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</si>
  <si>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</si>
  <si>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</si>
  <si>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</si>
  <si>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</si>
  <si>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</si>
  <si>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</si>
  <si>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</si>
  <si>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</si>
  <si>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</si>
  <si>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</si>
  <si>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</si>
  <si>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</si>
  <si>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</si>
  <si>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</si>
  <si>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</si>
  <si>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</si>
  <si>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</si>
  <si>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</si>
  <si>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</si>
  <si>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</si>
  <si>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</si>
  <si>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</si>
  <si>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</si>
  <si>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</si>
  <si>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</si>
  <si>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</si>
  <si>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</si>
  <si>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</si>
  <si>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</si>
  <si>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</si>
  <si>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</si>
  <si>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</si>
  <si>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</si>
  <si>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</si>
  <si>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</si>
  <si>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</si>
  <si>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</si>
  <si>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</si>
  <si>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</si>
  <si>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</si>
  <si>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</si>
  <si>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</si>
  <si>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</si>
  <si>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</si>
  <si>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</si>
  <si>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</si>
  <si>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</si>
  <si>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</si>
  <si>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</si>
  <si>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</si>
  <si>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</si>
  <si>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</si>
  <si>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</si>
  <si>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</si>
  <si>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</si>
  <si>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</si>
  <si>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</si>
  <si>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</si>
  <si>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</si>
  <si>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</si>
  <si>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</si>
  <si>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</si>
  <si>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</si>
  <si>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</si>
  <si>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</si>
  <si>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</si>
  <si>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</si>
  <si>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</si>
  <si>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</si>
  <si>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</si>
  <si>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</si>
  <si>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</si>
  <si>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</si>
  <si>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</si>
  <si>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</si>
  <si>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</si>
  <si>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</si>
  <si>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</si>
  <si>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</si>
  <si>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</si>
  <si>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</si>
  <si>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</si>
  <si>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</si>
  <si>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</si>
  <si>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</si>
  <si>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</si>
  <si>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</si>
  <si>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</si>
  <si>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</si>
  <si>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</si>
  <si>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</si>
  <si>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</si>
  <si>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</si>
  <si>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</si>
  <si>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</si>
  <si>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</si>
  <si>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</si>
  <si>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</si>
  <si>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</si>
  <si>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</si>
  <si>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</si>
  <si>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</si>
  <si>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</si>
  <si>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</si>
  <si>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</si>
  <si>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</si>
  <si>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</si>
  <si>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</si>
  <si>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</si>
  <si>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</si>
  <si>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</si>
  <si>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</si>
  <si>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</si>
  <si>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</si>
  <si>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</si>
  <si>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</si>
  <si>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</si>
  <si>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</si>
  <si>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</si>
  <si>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</si>
  <si>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</si>
  <si>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</si>
  <si>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</si>
  <si>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</si>
  <si>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</si>
  <si>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</si>
  <si>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</si>
  <si>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</si>
  <si>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</si>
  <si>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</si>
  <si>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</si>
  <si>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</si>
  <si>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</si>
  <si>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79920     VPN - mezistřediskové převody</t>
  </si>
  <si>
    <t xml:space="preserve">                    79920001     Agregované výkony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</si>
  <si>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</si>
  <si>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</si>
  <si>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</si>
  <si>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</si>
  <si>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</si>
  <si>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</si>
  <si>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</si>
  <si>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</si>
  <si>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</si>
  <si>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</si>
  <si>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</si>
  <si>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</si>
  <si>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</si>
  <si>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</si>
  <si>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</si>
  <si>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</si>
  <si>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Klásková Eva</t>
  </si>
  <si>
    <t>POTRAVINY PRO ZVLÁŠTNÍ LÉKAŘSKÉ ÚČELY (PZLÚ) (ČESKÁ ATC SKUP</t>
  </si>
  <si>
    <t>33742</t>
  </si>
  <si>
    <t>NUTRIDRINK COMPACT PROTEIN S PŘÍCHUTÍ JAHODOVOU</t>
  </si>
  <si>
    <t>POR SOL 4X125ML</t>
  </si>
  <si>
    <t>33855</t>
  </si>
  <si>
    <t>NUTRIDRINK BALÍČEK 5 + 1</t>
  </si>
  <si>
    <t>POR SOL 6X200ML</t>
  </si>
  <si>
    <t>33858</t>
  </si>
  <si>
    <t>NUTRIDRINK JUICE STYLE S PŘÍCHUTÍ JAHODOVOU</t>
  </si>
  <si>
    <t>POR SOL 4X200ML</t>
  </si>
  <si>
    <t>33897</t>
  </si>
  <si>
    <t>NUTRIDRINK COMPACT PROTEIN S PŘÍCHUTÍ BROSKEV A MANGO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</si>
  <si>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</si>
  <si>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</si>
  <si>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</si>
  <si>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</si>
  <si>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</si>
  <si>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</si>
  <si>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</si>
  <si>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</si>
  <si>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</si>
  <si>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</si>
  <si>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</si>
  <si>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</si>
  <si>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</si>
  <si>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</si>
  <si>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</si>
  <si>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50115101 - ZPr - ostatní COVID 19 (Z558)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</si>
  <si>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</si>
  <si>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</si>
  <si>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</si>
  <si>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</si>
  <si>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</si>
  <si>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</si>
  <si>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</si>
  <si>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</si>
  <si>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</si>
  <si>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</si>
  <si>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</si>
  <si>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</si>
  <si>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</si>
  <si>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</si>
  <si>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</si>
  <si>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</si>
  <si>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ZT104</t>
  </si>
  <si>
    <t>KrytĂ­ pÄ›novĂ© Biopatch  disk ochrannĂ˝ k CVC a PICC s CHG, prĹŻm. 1,9 mm, otvor prĹŻm. 1,5 mm dÄ›tskĂ© bal. Ăˇ 10 ks 44151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</si>
  <si>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</si>
  <si>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</si>
  <si>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</si>
  <si>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</si>
  <si>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</si>
  <si>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</si>
  <si>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</si>
  <si>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</si>
  <si>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</si>
  <si>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</si>
  <si>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</si>
  <si>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</si>
  <si>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</si>
  <si>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</si>
  <si>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</si>
  <si>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</si>
  <si>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ZP131</t>
  </si>
  <si>
    <t>KrytĂ­ tegaderm i.v. advanced 3,8 cm x 4,5 cm bal. Ăˇ 100 ks 1680 (nĂˇhrada ZG829)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</si>
  <si>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</si>
  <si>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</si>
  <si>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</si>
  <si>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</si>
  <si>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ZH011</t>
  </si>
  <si>
    <t>NĂˇplast micropore 1,25 cm x 9,14 m bal. Ăˇ 24 ks 1530-0</t>
  </si>
  <si>
    <t>ZL668</t>
  </si>
  <si>
    <t>NĂˇplast silikon tape 2,5 cm x 5 m bal. Ăˇ 12 ks 2770-1</t>
  </si>
  <si>
    <t>ZQ117</t>
  </si>
  <si>
    <t>NĂˇplast transparentnĂ­ Airoplast cĂ­vka 2,5 cm x 9,14 m (nĂˇhrada za transpore) P-AIRO2591</t>
  </si>
  <si>
    <t>ZA314</t>
  </si>
  <si>
    <t>Obinadlo elastickĂ© idealast-haft 8 cm x   4 m 9311113</t>
  </si>
  <si>
    <t>Obinadlo idealast-haft 8 cm x   4 m 9311113</t>
  </si>
  <si>
    <t>ZP212</t>
  </si>
  <si>
    <t>Obvaz elastickĂ˝ sĂ­ĹĄovĂ˝ pruban Tg-fix vel. C paĹľe, noha, loket 25 m 24252</t>
  </si>
  <si>
    <t>ZG903</t>
  </si>
  <si>
    <t>StĹ™Ă­kaÄŤka injekÄŤnĂ­ pro enterĂˇlnĂ­ vĂ˝Ĺľivu KD-Ject E 60 ml excentrickĂˇ KDM875728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</si>
  <si>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</si>
  <si>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</si>
  <si>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</si>
  <si>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</si>
  <si>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</si>
  <si>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</si>
  <si>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</si>
  <si>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</si>
  <si>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</si>
  <si>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</si>
  <si>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</si>
  <si>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</si>
  <si>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</si>
  <si>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</si>
  <si>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ZF973</t>
  </si>
  <si>
    <t>HadiÄŤka spojovacĂ­ tlakovĂˇ Unicath PVC, dĂ©lka 25 cm, prĹŻmÄ›r 1,5 x 3 mm, tlak 30 bar/500 psi, LUER LOCK male/female s pevnou maticĂ­, bal. Ăˇ 40 k PN 1202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</si>
  <si>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</si>
  <si>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</si>
  <si>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</si>
  <si>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</si>
  <si>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ZK735</t>
  </si>
  <si>
    <t>Konektor bezjehlovĂ˝ caresite bal. Ăˇ 200 ks 415122-01</t>
  </si>
  <si>
    <t>ZO372</t>
  </si>
  <si>
    <t>Konektor bezjehlovĂ˝ OptiSyte JIM:JSM4001</t>
  </si>
  <si>
    <t>Konektor bezjehlovĂ˝ OptiSyte JIM:JSM4001 - nahrazeno ZK735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</si>
  <si>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</si>
  <si>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</si>
  <si>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</si>
  <si>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</si>
  <si>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</si>
  <si>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</si>
  <si>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</si>
  <si>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</si>
  <si>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</si>
  <si>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</si>
  <si>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</si>
  <si>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</si>
  <si>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</si>
  <si>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ZR862</t>
  </si>
  <si>
    <t>RegulĂˇtor prĹŻtoku infuze  GAMA GROUP, prĹŻtok 10-300 ml/hod, vÄŤetnÄ› spojovacĂ­ hadiÄŤky, celkovĂˇ dĂ©lka 50 cm, sterilnĂ­, jednorĂˇzovĂ˝ 606145-ND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</si>
  <si>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</si>
  <si>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</si>
  <si>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</si>
  <si>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</si>
  <si>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</si>
  <si>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</si>
  <si>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Set pro enterĂˇlnĂ­ vĂ˝Ĺľivu flocare infinity pack mobile W/O MP Transition (APA 3227163) pro domĂˇcĂ­ pĂ©ÄŤi 586484</t>
  </si>
  <si>
    <t>ZG724</t>
  </si>
  <si>
    <t>Spojka proplachovacĂ­ urologickĂˇ bal. Ăˇ 50 ks LCF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</si>
  <si>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</si>
  <si>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</si>
  <si>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</si>
  <si>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</si>
  <si>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</si>
  <si>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</si>
  <si>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</si>
  <si>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</si>
  <si>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</si>
  <si>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</si>
  <si>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</si>
  <si>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</si>
  <si>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</si>
  <si>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</si>
  <si>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</si>
  <si>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ZS016</t>
  </si>
  <si>
    <t>StĹ™Ă­kaÄŤka injekÄŤnĂ­ 3-dĂ­lnĂˇ 1 ml L tuberculin bez jehly, centrickĂˇ ĹˇpiÄŤka, bezzbytkovĂˇ, bal. Ăˇ 100 ks KD1301B</t>
  </si>
  <si>
    <t>ZT367</t>
  </si>
  <si>
    <t>StĹ™Ă­kaÄŤka injekÄŤnĂ­ 3-dĂ­lnĂˇ 1 ml L tuberculin s jehlou KD-JECT III graduovĂˇnĂ­ Ăˇ 0,1 ml 25G x 1/2" 0,5 x 16 mm KDM831793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</si>
  <si>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</si>
  <si>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</si>
  <si>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</si>
  <si>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</si>
  <si>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</si>
  <si>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</si>
  <si>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ZK798</t>
  </si>
  <si>
    <t>ZĂˇtka combi modrĂˇ 4495152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</si>
  <si>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</si>
  <si>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</si>
  <si>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</si>
  <si>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</si>
  <si>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</si>
  <si>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</si>
  <si>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</si>
  <si>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</si>
  <si>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</si>
  <si>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</si>
  <si>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</si>
  <si>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</si>
  <si>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</si>
  <si>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</si>
  <si>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</si>
  <si>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</si>
  <si>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</si>
  <si>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</si>
  <si>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</si>
  <si>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</si>
  <si>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ZT607</t>
  </si>
  <si>
    <t>Jehla portĂˇlnĂ­ Huberova SURECAN, 7 dnĂ­, jehla s kĹ™idĂ©lky velikost G20, dĂ©lka 15 mm, W 90Â°, 325 psi (22,4 bar),  bal. Ăˇ 15 ks 4448332</t>
  </si>
  <si>
    <t>ZT608</t>
  </si>
  <si>
    <t>Jehla portĂˇlnĂ­ Huberova SURECAN, 7 dnĂ­, jehla s kĹ™idĂ©lky velikost G22, dĂ©lka 12 mm, W 90Â°, 325 psi (22,4 bar), bal. Ăˇ 15 ks 4448375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</si>
  <si>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</si>
  <si>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</si>
  <si>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</si>
  <si>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</si>
  <si>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</si>
  <si>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</si>
  <si>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</si>
  <si>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</si>
  <si>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</si>
  <si>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</si>
  <si>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</si>
  <si>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</si>
  <si>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</si>
  <si>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</si>
  <si>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</si>
  <si>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</si>
  <si>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</si>
  <si>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</si>
  <si>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</si>
  <si>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</si>
  <si>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</si>
  <si>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ZT542</t>
  </si>
  <si>
    <t>Rukavice vyĹˇetĹ™ovacĂ­ nitril nesterilnĂ­ bez pudru brand - MD Fonscare  vel. L bal. Ăˇ 100 ks MDG-251-L</t>
  </si>
  <si>
    <t>ZT543</t>
  </si>
  <si>
    <t>Rukavice vyĹˇetĹ™ovacĂ­ nitril nesterilnĂ­ bez pudru brand - MD Fonscare  vel. M bal. Ăˇ 100 ks MDG-251-M</t>
  </si>
  <si>
    <t>ZT078</t>
  </si>
  <si>
    <t>Rukavice vyĹˇetĹ™ovacĂ­ nitril nesterilnĂ­ bez pudru GLOVE svÄ›tle modrĂ© vel. L</t>
  </si>
  <si>
    <t>ZT389</t>
  </si>
  <si>
    <t>Rukavice vyĹˇetĹ™ovacĂ­ nitril nesterilnĂ­ bez pudru INTCO SYNGUARD, vel. M, bal. Ăˇ 100 ks 151.00.001 M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</si>
  <si>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</si>
  <si>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</si>
  <si>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</si>
  <si>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</si>
  <si>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</si>
  <si>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</si>
  <si>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</si>
  <si>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</si>
  <si>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</si>
  <si>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</si>
  <si>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</si>
  <si>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</si>
  <si>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</si>
  <si>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</si>
  <si>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</si>
  <si>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50115070</t>
  </si>
  <si>
    <t>ZPr - katetry ostatní (Z513)</t>
  </si>
  <si>
    <t>ZQ651</t>
  </si>
  <si>
    <t>Katetr CVC Broviac opravnĂˇ sada pro externĂ­ segment (bĂ­lĂ˝ konektor) pro jednolumenovĂ˝ katetr 6,6 Fr 0601620CE</t>
  </si>
  <si>
    <t>ZA240</t>
  </si>
  <si>
    <t>Katetr CVC broviak 1 lumen 6,6 Fr x 90 cm 0600540CE</t>
  </si>
  <si>
    <t>50115101</t>
  </si>
  <si>
    <t>ZPr - ostatní COVID 19 (Z558)</t>
  </si>
  <si>
    <t>ZU278</t>
  </si>
  <si>
    <t>StĹ™Ă­kaÄŤka injekÄŤnĂ­ 2-dĂ­lnĂˇ 2 ml 77U-PZ02570</t>
  </si>
  <si>
    <t>ZU279</t>
  </si>
  <si>
    <t>StĹ™Ă­kaÄŤka injekÄŤnĂ­ 3-dĂ­lnĂˇ 1 ml L tuberculin bez jehly, centrickĂˇ ĹˇpiÄŤka, bezzbytkovĂˇ, bal. Ăˇ 100 ks 77U-PZ02573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</si>
  <si>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</si>
  <si>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</si>
  <si>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</si>
  <si>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</si>
  <si>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</si>
  <si>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</si>
  <si>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</si>
  <si>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</si>
  <si>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</si>
  <si>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</si>
  <si>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Daniš Lukáš</t>
  </si>
  <si>
    <t>Hálek Matěj</t>
  </si>
  <si>
    <t>HexspoorBawadekji Diana</t>
  </si>
  <si>
    <t>Konečný Michal</t>
  </si>
  <si>
    <t>Navrátil Vít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</si>
  <si>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</si>
  <si>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</si>
  <si>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</si>
  <si>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</si>
  <si>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</si>
  <si>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</si>
  <si>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</si>
  <si>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</si>
  <si>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</si>
  <si>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</si>
  <si>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</si>
  <si>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</si>
  <si>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</si>
  <si>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</si>
  <si>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</si>
  <si>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</si>
  <si>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</si>
  <si>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</si>
  <si>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</si>
  <si>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</si>
  <si>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</si>
  <si>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</si>
  <si>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</si>
  <si>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</si>
  <si>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</si>
  <si>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</si>
  <si>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</si>
  <si>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</si>
  <si>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</si>
  <si>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</si>
  <si>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</si>
  <si>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</si>
  <si>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</si>
  <si>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</si>
  <si>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</si>
  <si>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</si>
  <si>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</si>
  <si>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</si>
  <si>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</si>
  <si>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</si>
  <si>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</si>
  <si>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</si>
  <si>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</si>
  <si>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</si>
  <si>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</si>
  <si>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</si>
  <si>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</si>
  <si>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</si>
  <si>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07 - KARIM: Klinika anesteziologie,resuscit. a int.med.</t>
  </si>
  <si>
    <t>08 - PORGYN: Porodnicko-gynekologická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</si>
  <si>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</si>
  <si>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</si>
  <si>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</si>
  <si>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</si>
  <si>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</si>
  <si>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</si>
  <si>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</si>
  <si>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25 - UCOCH: Klinika ústní,čelistní a obl. chir.</t>
  </si>
  <si>
    <t>26 - RHC: Oddělení rehabilitace</t>
  </si>
  <si>
    <t>59 - IPCHO: Oddělení int. péče chirurg. oborů</t>
  </si>
  <si>
    <t>01</t>
  </si>
  <si>
    <t>02</t>
  </si>
  <si>
    <t>03</t>
  </si>
  <si>
    <t>04</t>
  </si>
  <si>
    <t>07</t>
  </si>
  <si>
    <t>08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</si>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</sst>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169" fontId="0" fillId="0" borderId="123" xfId="0" applyNumberFormat="1" applyBorder="1"/>
    <xf numFmtId="9" fontId="0" fillId="0" borderId="123" xfId="0" applyNumberFormat="1" applyBorder="1"/>
    <xf numFmtId="9" fontId="0" fillId="0" borderId="124" xfId="0" applyNumberFormat="1" applyBorder="1"/>
    <xf numFmtId="0" fontId="59" fillId="0" borderId="12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24" xfId="0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4.361763289957886</c:v>
                </c:pt>
                <c:pt idx="1">
                  <c:v>5.3184791055381329</c:v>
                </c:pt>
                <c:pt idx="2">
                  <c:v>4.4690250852362512</c:v>
                </c:pt>
                <c:pt idx="3">
                  <c:v>4.5935904643384848</c:v>
                </c:pt>
                <c:pt idx="4">
                  <c:v>4.101186164936129</c:v>
                </c:pt>
                <c:pt idx="5">
                  <c:v>3.5946168894582318</c:v>
                </c:pt>
                <c:pt idx="6">
                  <c:v>3.8093637972512298</c:v>
                </c:pt>
                <c:pt idx="7">
                  <c:v>3.7364106655663245</c:v>
                </c:pt>
                <c:pt idx="8">
                  <c:v>3.8246528308414414</c:v>
                </c:pt>
                <c:pt idx="9">
                  <c:v>3.9015268964806471</c:v>
                </c:pt>
                <c:pt idx="10">
                  <c:v>3.8680785417191506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1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322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323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326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545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548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564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601</v>
      </c>
      <c r="C23" s="47" t="s">
        <v>120</v>
      </c>
    </row>
    <row r="24" spans="1:3" ht="14.45" customHeight="1" x14ac:dyDescent="0.25">
      <c r="A24" s="255" t="str">
        <f>HYPERLINK("#'"&amp;C24&amp;"'!A1",C24)</f>
        <v>ZV Vykáz.-A Det.Lék.</v>
      </c>
      <c r="B24" s="90" t="s">
        <v>602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638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5C987424-6499-451B-87B8-D287D23117D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323</v>
      </c>
      <c r="B1" s="342"/>
      <c r="C1" s="342"/>
      <c r="D1" s="342"/>
      <c r="E1" s="342"/>
      <c r="F1" s="342"/>
    </row>
    <row r="2" spans="1:6" ht="14.45" customHeight="1" thickBot="1" x14ac:dyDescent="0.25">
      <c r="A2" s="231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307</v>
      </c>
      <c r="B5" s="485">
        <v>238.89</v>
      </c>
      <c r="C5" s="486">
        <v>0.28707564741933544</v>
      </c>
      <c r="D5" s="485">
        <v>593.26</v>
      </c>
      <c r="E5" s="486">
        <v>0.71292435258066456</v>
      </c>
      <c r="F5" s="487">
        <v>832.15</v>
      </c>
    </row>
    <row r="6" spans="1:6" ht="14.45" customHeight="1" thickBot="1" x14ac:dyDescent="0.25">
      <c r="A6" s="491" t="s">
        <v>3</v>
      </c>
      <c r="B6" s="492">
        <v>238.89</v>
      </c>
      <c r="C6" s="493">
        <v>0.28707564741933544</v>
      </c>
      <c r="D6" s="492">
        <v>593.26</v>
      </c>
      <c r="E6" s="493">
        <v>0.71292435258066456</v>
      </c>
      <c r="F6" s="494">
        <v>832.15</v>
      </c>
    </row>
    <row r="7" spans="1:6" ht="14.45" customHeight="1" thickBot="1" x14ac:dyDescent="0.25"/>
    <row r="8" spans="1:6" ht="14.45" customHeight="1" thickBot="1" x14ac:dyDescent="0.25">
      <c r="A8" s="495" t="s">
        <v>324</v>
      </c>
      <c r="B8" s="485">
        <v>238.89</v>
      </c>
      <c r="C8" s="486">
        <v>0.28707564741933544</v>
      </c>
      <c r="D8" s="485">
        <v>593.26</v>
      </c>
      <c r="E8" s="486">
        <v>0.71292435258066456</v>
      </c>
      <c r="F8" s="487">
        <v>832.15</v>
      </c>
    </row>
    <row r="9" spans="1:6" ht="14.45" customHeight="1" thickBot="1" x14ac:dyDescent="0.25">
      <c r="A9" s="491" t="s">
        <v>3</v>
      </c>
      <c r="B9" s="492">
        <v>238.89</v>
      </c>
      <c r="C9" s="493">
        <v>0.28707564741933544</v>
      </c>
      <c r="D9" s="492">
        <v>593.26</v>
      </c>
      <c r="E9" s="493">
        <v>0.71292435258066456</v>
      </c>
      <c r="F9" s="494">
        <v>832.15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{19E30F24-D411-4E52-9863-7F9B016E0CEB}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{EEED4930-0FAA-4877-8BEC-52F0AF6B482E}</x14:id>
        </ext>
      </extLst>
    </cfRule>
  </conditionalFormatting>
  <hyperlinks>
    <hyperlink ref="A2" location="Obsah!A1" display="Zpět na Obsah  KL 01  1.-4.měsíc" xr:uid="{0873340C-8D58-441F-8F8F-0B6961CC47E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E30F24-D411-4E52-9863-7F9B016E0C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EEED4930-0FAA-4877-8BEC-52F0AF6B48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42" t="s">
        <v>326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1" t="s">
        <v>235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124</v>
      </c>
      <c r="F3" s="43">
        <f>SUBTOTAL(9,F6:F1048576)</f>
        <v>1</v>
      </c>
      <c r="G3" s="43">
        <f>SUBTOTAL(9,G6:G1048576)</f>
        <v>238.89</v>
      </c>
      <c r="H3" s="44">
        <f>IF(M3=0,0,G3/M3)</f>
        <v>0.28707564741933544</v>
      </c>
      <c r="I3" s="43">
        <f>SUBTOTAL(9,I6:I1048576)</f>
        <v>3</v>
      </c>
      <c r="J3" s="43">
        <f>SUBTOTAL(9,J6:J1048576)</f>
        <v>593.26</v>
      </c>
      <c r="K3" s="44">
        <f>IF(M3=0,0,J3/M3)</f>
        <v>0.71292435258066456</v>
      </c>
      <c r="L3" s="43">
        <f>SUBTOTAL(9,L6:L1048576)</f>
        <v>4</v>
      </c>
      <c r="M3" s="45">
        <f>SUBTOTAL(9,M6:M1048576)</f>
        <v>832.15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497" t="s">
        <v>127</v>
      </c>
      <c r="C5" s="497" t="s">
        <v>69</v>
      </c>
      <c r="D5" s="497" t="s">
        <v>128</v>
      </c>
      <c r="E5" s="497" t="s">
        <v>129</v>
      </c>
      <c r="F5" s="498" t="s">
        <v>27</v>
      </c>
      <c r="G5" s="498" t="s">
        <v>13</v>
      </c>
      <c r="H5" s="483" t="s">
        <v>130</v>
      </c>
      <c r="I5" s="482" t="s">
        <v>27</v>
      </c>
      <c r="J5" s="498" t="s">
        <v>13</v>
      </c>
      <c r="K5" s="483" t="s">
        <v>130</v>
      </c>
      <c r="L5" s="482" t="s">
        <v>27</v>
      </c>
      <c r="M5" s="499" t="s">
        <v>13</v>
      </c>
    </row>
    <row r="6" spans="1:13" ht="14.45" customHeight="1" x14ac:dyDescent="0.2">
      <c r="A6" s="458" t="s">
        <v>307</v>
      </c>
      <c r="B6" s="459" t="s">
        <v>325</v>
      </c>
      <c r="C6" s="459" t="s">
        <v>309</v>
      </c>
      <c r="D6" s="459" t="s">
        <v>310</v>
      </c>
      <c r="E6" s="459" t="s">
        <v>311</v>
      </c>
      <c r="F6" s="116"/>
      <c r="G6" s="116"/>
      <c r="H6" s="464">
        <v>0</v>
      </c>
      <c r="I6" s="116">
        <v>1</v>
      </c>
      <c r="J6" s="116">
        <v>179.65</v>
      </c>
      <c r="K6" s="464">
        <v>1</v>
      </c>
      <c r="L6" s="116">
        <v>1</v>
      </c>
      <c r="M6" s="488">
        <v>179.65</v>
      </c>
    </row>
    <row r="7" spans="1:13" ht="14.45" customHeight="1" x14ac:dyDescent="0.2">
      <c r="A7" s="465" t="s">
        <v>307</v>
      </c>
      <c r="B7" s="466" t="s">
        <v>325</v>
      </c>
      <c r="C7" s="466" t="s">
        <v>312</v>
      </c>
      <c r="D7" s="466" t="s">
        <v>313</v>
      </c>
      <c r="E7" s="466" t="s">
        <v>314</v>
      </c>
      <c r="F7" s="500"/>
      <c r="G7" s="500"/>
      <c r="H7" s="471">
        <v>0</v>
      </c>
      <c r="I7" s="500">
        <v>1</v>
      </c>
      <c r="J7" s="500">
        <v>233.96</v>
      </c>
      <c r="K7" s="471">
        <v>1</v>
      </c>
      <c r="L7" s="500">
        <v>1</v>
      </c>
      <c r="M7" s="501">
        <v>233.96</v>
      </c>
    </row>
    <row r="8" spans="1:13" ht="14.45" customHeight="1" x14ac:dyDescent="0.2">
      <c r="A8" s="465" t="s">
        <v>307</v>
      </c>
      <c r="B8" s="466" t="s">
        <v>325</v>
      </c>
      <c r="C8" s="466" t="s">
        <v>315</v>
      </c>
      <c r="D8" s="466" t="s">
        <v>316</v>
      </c>
      <c r="E8" s="466" t="s">
        <v>317</v>
      </c>
      <c r="F8" s="500">
        <v>1</v>
      </c>
      <c r="G8" s="500">
        <v>238.89</v>
      </c>
      <c r="H8" s="471">
        <v>1</v>
      </c>
      <c r="I8" s="500"/>
      <c r="J8" s="500"/>
      <c r="K8" s="471">
        <v>0</v>
      </c>
      <c r="L8" s="500">
        <v>1</v>
      </c>
      <c r="M8" s="501">
        <v>238.89</v>
      </c>
    </row>
    <row r="9" spans="1:13" ht="14.45" customHeight="1" thickBot="1" x14ac:dyDescent="0.25">
      <c r="A9" s="473" t="s">
        <v>307</v>
      </c>
      <c r="B9" s="474" t="s">
        <v>325</v>
      </c>
      <c r="C9" s="474" t="s">
        <v>318</v>
      </c>
      <c r="D9" s="474" t="s">
        <v>319</v>
      </c>
      <c r="E9" s="474" t="s">
        <v>311</v>
      </c>
      <c r="F9" s="489"/>
      <c r="G9" s="489"/>
      <c r="H9" s="479">
        <v>0</v>
      </c>
      <c r="I9" s="489">
        <v>1</v>
      </c>
      <c r="J9" s="489">
        <v>179.65</v>
      </c>
      <c r="K9" s="479">
        <v>1</v>
      </c>
      <c r="L9" s="489">
        <v>1</v>
      </c>
      <c r="M9" s="490">
        <v>179.65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D0B40E5-4506-4C26-8714-56BDC88988D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1" t="s">
        <v>235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58"/>
      <c r="C3" s="237">
        <v>2019</v>
      </c>
      <c r="D3" s="238">
        <v>2020</v>
      </c>
      <c r="E3" s="7"/>
      <c r="F3" s="314">
        <v>2021</v>
      </c>
      <c r="G3" s="332"/>
      <c r="H3" s="332"/>
      <c r="I3" s="315"/>
    </row>
    <row r="4" spans="1:10" ht="14.45" customHeight="1" thickBot="1" x14ac:dyDescent="0.25">
      <c r="A4" s="242" t="s">
        <v>0</v>
      </c>
      <c r="B4" s="243" t="s">
        <v>172</v>
      </c>
      <c r="C4" s="333" t="s">
        <v>71</v>
      </c>
      <c r="D4" s="334"/>
      <c r="E4" s="244"/>
      <c r="F4" s="239" t="s">
        <v>71</v>
      </c>
      <c r="G4" s="240" t="s">
        <v>72</v>
      </c>
      <c r="H4" s="240" t="s">
        <v>66</v>
      </c>
      <c r="I4" s="241" t="s">
        <v>73</v>
      </c>
    </row>
    <row r="5" spans="1:10" ht="14.45" customHeight="1" x14ac:dyDescent="0.2">
      <c r="A5" s="433" t="s">
        <v>298</v>
      </c>
      <c r="B5" s="434" t="s">
        <v>327</v>
      </c>
      <c r="C5" s="502" t="s">
        <v>236</v>
      </c>
      <c r="D5" s="502" t="s">
        <v>236</v>
      </c>
      <c r="E5" s="502"/>
      <c r="F5" s="502" t="s">
        <v>236</v>
      </c>
      <c r="G5" s="502" t="s">
        <v>236</v>
      </c>
      <c r="H5" s="502" t="s">
        <v>236</v>
      </c>
      <c r="I5" s="503" t="s">
        <v>236</v>
      </c>
      <c r="J5" s="435" t="s">
        <v>67</v>
      </c>
    </row>
    <row r="6" spans="1:10" ht="14.45" customHeight="1" x14ac:dyDescent="0.2">
      <c r="A6" s="433" t="s">
        <v>298</v>
      </c>
      <c r="B6" s="434" t="s">
        <v>328</v>
      </c>
      <c r="C6" s="502">
        <v>171.1556700000001</v>
      </c>
      <c r="D6" s="502">
        <v>292.3992800000002</v>
      </c>
      <c r="E6" s="502"/>
      <c r="F6" s="502">
        <v>206.82550000000018</v>
      </c>
      <c r="G6" s="502">
        <v>0</v>
      </c>
      <c r="H6" s="502">
        <v>206.82550000000018</v>
      </c>
      <c r="I6" s="503" t="s">
        <v>236</v>
      </c>
      <c r="J6" s="435" t="s">
        <v>1</v>
      </c>
    </row>
    <row r="7" spans="1:10" ht="14.45" customHeight="1" x14ac:dyDescent="0.2">
      <c r="A7" s="433" t="s">
        <v>298</v>
      </c>
      <c r="B7" s="434" t="s">
        <v>329</v>
      </c>
      <c r="C7" s="502">
        <v>584.08999000000006</v>
      </c>
      <c r="D7" s="502">
        <v>801.71849999999904</v>
      </c>
      <c r="E7" s="502"/>
      <c r="F7" s="502">
        <v>474.96065999999939</v>
      </c>
      <c r="G7" s="502">
        <v>0</v>
      </c>
      <c r="H7" s="502">
        <v>474.96065999999939</v>
      </c>
      <c r="I7" s="503" t="s">
        <v>236</v>
      </c>
      <c r="J7" s="435" t="s">
        <v>1</v>
      </c>
    </row>
    <row r="8" spans="1:10" ht="14.45" customHeight="1" x14ac:dyDescent="0.2">
      <c r="A8" s="433" t="s">
        <v>298</v>
      </c>
      <c r="B8" s="434" t="s">
        <v>330</v>
      </c>
      <c r="C8" s="502">
        <v>473.40944999999942</v>
      </c>
      <c r="D8" s="502">
        <v>687.63450999999964</v>
      </c>
      <c r="E8" s="502"/>
      <c r="F8" s="502">
        <v>703.0229899999996</v>
      </c>
      <c r="G8" s="502">
        <v>0</v>
      </c>
      <c r="H8" s="502">
        <v>703.0229899999996</v>
      </c>
      <c r="I8" s="503" t="s">
        <v>236</v>
      </c>
      <c r="J8" s="435" t="s">
        <v>1</v>
      </c>
    </row>
    <row r="9" spans="1:10" ht="14.45" customHeight="1" x14ac:dyDescent="0.2">
      <c r="A9" s="433" t="s">
        <v>298</v>
      </c>
      <c r="B9" s="434" t="s">
        <v>331</v>
      </c>
      <c r="C9" s="502">
        <v>27.808490000000006</v>
      </c>
      <c r="D9" s="502">
        <v>54.352640000000022</v>
      </c>
      <c r="E9" s="502"/>
      <c r="F9" s="502">
        <v>53.710570000000018</v>
      </c>
      <c r="G9" s="502">
        <v>0</v>
      </c>
      <c r="H9" s="502">
        <v>53.710570000000018</v>
      </c>
      <c r="I9" s="503" t="s">
        <v>236</v>
      </c>
      <c r="J9" s="435" t="s">
        <v>1</v>
      </c>
    </row>
    <row r="10" spans="1:10" ht="14.45" customHeight="1" x14ac:dyDescent="0.2">
      <c r="A10" s="433" t="s">
        <v>298</v>
      </c>
      <c r="B10" s="434" t="s">
        <v>332</v>
      </c>
      <c r="C10" s="502">
        <v>63.464699999999972</v>
      </c>
      <c r="D10" s="502">
        <v>107.19979999999998</v>
      </c>
      <c r="E10" s="502"/>
      <c r="F10" s="502">
        <v>181.07532000000003</v>
      </c>
      <c r="G10" s="502">
        <v>0</v>
      </c>
      <c r="H10" s="502">
        <v>181.07532000000003</v>
      </c>
      <c r="I10" s="503" t="s">
        <v>236</v>
      </c>
      <c r="J10" s="435" t="s">
        <v>1</v>
      </c>
    </row>
    <row r="11" spans="1:10" ht="14.45" customHeight="1" x14ac:dyDescent="0.2">
      <c r="A11" s="433" t="s">
        <v>298</v>
      </c>
      <c r="B11" s="434" t="s">
        <v>333</v>
      </c>
      <c r="C11" s="502">
        <v>4.6292600000000004</v>
      </c>
      <c r="D11" s="502">
        <v>9.2585099999999994</v>
      </c>
      <c r="E11" s="502"/>
      <c r="F11" s="502">
        <v>21.267040000000001</v>
      </c>
      <c r="G11" s="502">
        <v>0</v>
      </c>
      <c r="H11" s="502">
        <v>21.267040000000001</v>
      </c>
      <c r="I11" s="503" t="s">
        <v>236</v>
      </c>
      <c r="J11" s="435" t="s">
        <v>1</v>
      </c>
    </row>
    <row r="12" spans="1:10" ht="14.45" customHeight="1" x14ac:dyDescent="0.2">
      <c r="A12" s="433" t="s">
        <v>298</v>
      </c>
      <c r="B12" s="434" t="s">
        <v>334</v>
      </c>
      <c r="C12" s="502">
        <v>0</v>
      </c>
      <c r="D12" s="502">
        <v>0</v>
      </c>
      <c r="E12" s="502"/>
      <c r="F12" s="502">
        <v>0</v>
      </c>
      <c r="G12" s="502">
        <v>0</v>
      </c>
      <c r="H12" s="502">
        <v>0</v>
      </c>
      <c r="I12" s="503" t="s">
        <v>236</v>
      </c>
      <c r="J12" s="435" t="s">
        <v>1</v>
      </c>
    </row>
    <row r="13" spans="1:10" ht="14.45" customHeight="1" x14ac:dyDescent="0.2">
      <c r="A13" s="433" t="s">
        <v>298</v>
      </c>
      <c r="B13" s="434" t="s">
        <v>335</v>
      </c>
      <c r="C13" s="502">
        <v>0</v>
      </c>
      <c r="D13" s="502">
        <v>0</v>
      </c>
      <c r="E13" s="502"/>
      <c r="F13" s="502">
        <v>0.68840000000000001</v>
      </c>
      <c r="G13" s="502">
        <v>0</v>
      </c>
      <c r="H13" s="502">
        <v>0.68840000000000001</v>
      </c>
      <c r="I13" s="503" t="s">
        <v>236</v>
      </c>
      <c r="J13" s="435" t="s">
        <v>1</v>
      </c>
    </row>
    <row r="14" spans="1:10" ht="14.45" customHeight="1" x14ac:dyDescent="0.2">
      <c r="A14" s="433" t="s">
        <v>298</v>
      </c>
      <c r="B14" s="434" t="s">
        <v>336</v>
      </c>
      <c r="C14" s="502">
        <v>1324.5575599999995</v>
      </c>
      <c r="D14" s="502">
        <v>1952.5632399999988</v>
      </c>
      <c r="E14" s="502"/>
      <c r="F14" s="502">
        <v>1641.5504799999992</v>
      </c>
      <c r="G14" s="502">
        <v>0</v>
      </c>
      <c r="H14" s="502">
        <v>1641.5504799999992</v>
      </c>
      <c r="I14" s="503" t="s">
        <v>236</v>
      </c>
      <c r="J14" s="435" t="s">
        <v>299</v>
      </c>
    </row>
    <row r="16" spans="1:10" ht="14.45" customHeight="1" x14ac:dyDescent="0.2">
      <c r="A16" s="433" t="s">
        <v>298</v>
      </c>
      <c r="B16" s="434" t="s">
        <v>327</v>
      </c>
      <c r="C16" s="502" t="s">
        <v>236</v>
      </c>
      <c r="D16" s="502" t="s">
        <v>236</v>
      </c>
      <c r="E16" s="502"/>
      <c r="F16" s="502" t="s">
        <v>236</v>
      </c>
      <c r="G16" s="502" t="s">
        <v>236</v>
      </c>
      <c r="H16" s="502" t="s">
        <v>236</v>
      </c>
      <c r="I16" s="503" t="s">
        <v>236</v>
      </c>
      <c r="J16" s="435" t="s">
        <v>67</v>
      </c>
    </row>
    <row r="17" spans="1:10" ht="14.45" customHeight="1" x14ac:dyDescent="0.2">
      <c r="A17" s="433" t="s">
        <v>337</v>
      </c>
      <c r="B17" s="434" t="s">
        <v>338</v>
      </c>
      <c r="C17" s="502" t="s">
        <v>236</v>
      </c>
      <c r="D17" s="502" t="s">
        <v>236</v>
      </c>
      <c r="E17" s="502"/>
      <c r="F17" s="502" t="s">
        <v>236</v>
      </c>
      <c r="G17" s="502" t="s">
        <v>236</v>
      </c>
      <c r="H17" s="502" t="s">
        <v>236</v>
      </c>
      <c r="I17" s="503" t="s">
        <v>236</v>
      </c>
      <c r="J17" s="435" t="s">
        <v>0</v>
      </c>
    </row>
    <row r="18" spans="1:10" ht="14.45" customHeight="1" x14ac:dyDescent="0.2">
      <c r="A18" s="433" t="s">
        <v>337</v>
      </c>
      <c r="B18" s="434" t="s">
        <v>328</v>
      </c>
      <c r="C18" s="502">
        <v>171.1556700000001</v>
      </c>
      <c r="D18" s="502">
        <v>292.3992800000002</v>
      </c>
      <c r="E18" s="502"/>
      <c r="F18" s="502">
        <v>206.82550000000018</v>
      </c>
      <c r="G18" s="502">
        <v>0</v>
      </c>
      <c r="H18" s="502">
        <v>206.82550000000018</v>
      </c>
      <c r="I18" s="503" t="s">
        <v>236</v>
      </c>
      <c r="J18" s="435" t="s">
        <v>1</v>
      </c>
    </row>
    <row r="19" spans="1:10" ht="14.45" customHeight="1" x14ac:dyDescent="0.2">
      <c r="A19" s="433" t="s">
        <v>337</v>
      </c>
      <c r="B19" s="434" t="s">
        <v>329</v>
      </c>
      <c r="C19" s="502">
        <v>584.08999000000006</v>
      </c>
      <c r="D19" s="502">
        <v>801.71849999999904</v>
      </c>
      <c r="E19" s="502"/>
      <c r="F19" s="502">
        <v>474.96065999999939</v>
      </c>
      <c r="G19" s="502">
        <v>0</v>
      </c>
      <c r="H19" s="502">
        <v>474.96065999999939</v>
      </c>
      <c r="I19" s="503" t="s">
        <v>236</v>
      </c>
      <c r="J19" s="435" t="s">
        <v>1</v>
      </c>
    </row>
    <row r="20" spans="1:10" ht="14.45" customHeight="1" x14ac:dyDescent="0.2">
      <c r="A20" s="433" t="s">
        <v>337</v>
      </c>
      <c r="B20" s="434" t="s">
        <v>330</v>
      </c>
      <c r="C20" s="502">
        <v>473.40944999999942</v>
      </c>
      <c r="D20" s="502">
        <v>687.63450999999964</v>
      </c>
      <c r="E20" s="502"/>
      <c r="F20" s="502">
        <v>703.0229899999996</v>
      </c>
      <c r="G20" s="502">
        <v>0</v>
      </c>
      <c r="H20" s="502">
        <v>703.0229899999996</v>
      </c>
      <c r="I20" s="503" t="s">
        <v>236</v>
      </c>
      <c r="J20" s="435" t="s">
        <v>1</v>
      </c>
    </row>
    <row r="21" spans="1:10" ht="14.45" customHeight="1" x14ac:dyDescent="0.2">
      <c r="A21" s="433" t="s">
        <v>337</v>
      </c>
      <c r="B21" s="434" t="s">
        <v>331</v>
      </c>
      <c r="C21" s="502">
        <v>27.808490000000006</v>
      </c>
      <c r="D21" s="502">
        <v>54.352640000000022</v>
      </c>
      <c r="E21" s="502"/>
      <c r="F21" s="502">
        <v>53.710570000000018</v>
      </c>
      <c r="G21" s="502">
        <v>0</v>
      </c>
      <c r="H21" s="502">
        <v>53.710570000000018</v>
      </c>
      <c r="I21" s="503" t="s">
        <v>236</v>
      </c>
      <c r="J21" s="435" t="s">
        <v>1</v>
      </c>
    </row>
    <row r="22" spans="1:10" ht="14.45" customHeight="1" x14ac:dyDescent="0.2">
      <c r="A22" s="433" t="s">
        <v>337</v>
      </c>
      <c r="B22" s="434" t="s">
        <v>332</v>
      </c>
      <c r="C22" s="502">
        <v>63.464699999999972</v>
      </c>
      <c r="D22" s="502">
        <v>107.19979999999998</v>
      </c>
      <c r="E22" s="502"/>
      <c r="F22" s="502">
        <v>181.07532000000003</v>
      </c>
      <c r="G22" s="502">
        <v>0</v>
      </c>
      <c r="H22" s="502">
        <v>181.07532000000003</v>
      </c>
      <c r="I22" s="503" t="s">
        <v>236</v>
      </c>
      <c r="J22" s="435" t="s">
        <v>1</v>
      </c>
    </row>
    <row r="23" spans="1:10" ht="14.45" customHeight="1" x14ac:dyDescent="0.2">
      <c r="A23" s="433" t="s">
        <v>337</v>
      </c>
      <c r="B23" s="434" t="s">
        <v>333</v>
      </c>
      <c r="C23" s="502">
        <v>4.6292600000000004</v>
      </c>
      <c r="D23" s="502">
        <v>9.2585099999999994</v>
      </c>
      <c r="E23" s="502"/>
      <c r="F23" s="502">
        <v>21.267040000000001</v>
      </c>
      <c r="G23" s="502">
        <v>0</v>
      </c>
      <c r="H23" s="502">
        <v>21.267040000000001</v>
      </c>
      <c r="I23" s="503" t="s">
        <v>236</v>
      </c>
      <c r="J23" s="435" t="s">
        <v>1</v>
      </c>
    </row>
    <row r="24" spans="1:10" ht="14.45" customHeight="1" x14ac:dyDescent="0.2">
      <c r="A24" s="433" t="s">
        <v>337</v>
      </c>
      <c r="B24" s="434" t="s">
        <v>334</v>
      </c>
      <c r="C24" s="502">
        <v>0</v>
      </c>
      <c r="D24" s="502">
        <v>0</v>
      </c>
      <c r="E24" s="502"/>
      <c r="F24" s="502">
        <v>0</v>
      </c>
      <c r="G24" s="502">
        <v>0</v>
      </c>
      <c r="H24" s="502">
        <v>0</v>
      </c>
      <c r="I24" s="503" t="s">
        <v>236</v>
      </c>
      <c r="J24" s="435" t="s">
        <v>1</v>
      </c>
    </row>
    <row r="25" spans="1:10" ht="14.45" customHeight="1" x14ac:dyDescent="0.2">
      <c r="A25" s="433" t="s">
        <v>337</v>
      </c>
      <c r="B25" s="434" t="s">
        <v>335</v>
      </c>
      <c r="C25" s="502">
        <v>0</v>
      </c>
      <c r="D25" s="502">
        <v>0</v>
      </c>
      <c r="E25" s="502"/>
      <c r="F25" s="502">
        <v>0.68840000000000001</v>
      </c>
      <c r="G25" s="502">
        <v>0</v>
      </c>
      <c r="H25" s="502">
        <v>0.68840000000000001</v>
      </c>
      <c r="I25" s="503" t="s">
        <v>236</v>
      </c>
      <c r="J25" s="435" t="s">
        <v>1</v>
      </c>
    </row>
    <row r="26" spans="1:10" ht="14.45" customHeight="1" x14ac:dyDescent="0.2">
      <c r="A26" s="433" t="s">
        <v>337</v>
      </c>
      <c r="B26" s="434" t="s">
        <v>339</v>
      </c>
      <c r="C26" s="502">
        <v>1324.5575599999995</v>
      </c>
      <c r="D26" s="502">
        <v>1952.5632399999988</v>
      </c>
      <c r="E26" s="502"/>
      <c r="F26" s="502">
        <v>1641.5504799999992</v>
      </c>
      <c r="G26" s="502">
        <v>0</v>
      </c>
      <c r="H26" s="502">
        <v>1641.5504799999992</v>
      </c>
      <c r="I26" s="503" t="s">
        <v>236</v>
      </c>
      <c r="J26" s="435" t="s">
        <v>302</v>
      </c>
    </row>
    <row r="27" spans="1:10" ht="14.45" customHeight="1" x14ac:dyDescent="0.2">
      <c r="A27" s="433" t="s">
        <v>236</v>
      </c>
      <c r="B27" s="434" t="s">
        <v>236</v>
      </c>
      <c r="C27" s="502" t="s">
        <v>236</v>
      </c>
      <c r="D27" s="502" t="s">
        <v>236</v>
      </c>
      <c r="E27" s="502"/>
      <c r="F27" s="502" t="s">
        <v>236</v>
      </c>
      <c r="G27" s="502" t="s">
        <v>236</v>
      </c>
      <c r="H27" s="502" t="s">
        <v>236</v>
      </c>
      <c r="I27" s="503" t="s">
        <v>236</v>
      </c>
      <c r="J27" s="435" t="s">
        <v>303</v>
      </c>
    </row>
    <row r="28" spans="1:10" ht="14.45" customHeight="1" x14ac:dyDescent="0.2">
      <c r="A28" s="433" t="s">
        <v>298</v>
      </c>
      <c r="B28" s="434" t="s">
        <v>336</v>
      </c>
      <c r="C28" s="502">
        <v>1324.5575599999995</v>
      </c>
      <c r="D28" s="502">
        <v>1952.5632399999988</v>
      </c>
      <c r="E28" s="502"/>
      <c r="F28" s="502">
        <v>1641.5504799999992</v>
      </c>
      <c r="G28" s="502">
        <v>0</v>
      </c>
      <c r="H28" s="502">
        <v>1641.5504799999992</v>
      </c>
      <c r="I28" s="503" t="s">
        <v>236</v>
      </c>
      <c r="J28" s="435" t="s">
        <v>299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6855EE29-5BA6-4396-B7A4-2ACDF80932D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40" t="s">
        <v>545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1" t="s">
        <v>235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13.988857588918394</v>
      </c>
      <c r="J3" s="98">
        <f>SUBTOTAL(9,J5:J1048576)</f>
        <v>117347</v>
      </c>
      <c r="K3" s="99">
        <f>SUBTOTAL(9,K5:K1048576)</f>
        <v>1641550.4714868069</v>
      </c>
    </row>
    <row r="4" spans="1:11" s="207" customFormat="1" ht="14.45" customHeight="1" thickBot="1" x14ac:dyDescent="0.25">
      <c r="A4" s="504" t="s">
        <v>4</v>
      </c>
      <c r="B4" s="505" t="s">
        <v>5</v>
      </c>
      <c r="C4" s="505" t="s">
        <v>0</v>
      </c>
      <c r="D4" s="505" t="s">
        <v>6</v>
      </c>
      <c r="E4" s="505" t="s">
        <v>7</v>
      </c>
      <c r="F4" s="505" t="s">
        <v>1</v>
      </c>
      <c r="G4" s="505" t="s">
        <v>69</v>
      </c>
      <c r="H4" s="506" t="s">
        <v>10</v>
      </c>
      <c r="I4" s="507" t="s">
        <v>137</v>
      </c>
      <c r="J4" s="507" t="s">
        <v>12</v>
      </c>
      <c r="K4" s="508" t="s">
        <v>151</v>
      </c>
    </row>
    <row r="5" spans="1:11" ht="14.45" customHeight="1" x14ac:dyDescent="0.2">
      <c r="A5" s="458" t="s">
        <v>298</v>
      </c>
      <c r="B5" s="459" t="s">
        <v>327</v>
      </c>
      <c r="C5" s="462" t="s">
        <v>337</v>
      </c>
      <c r="D5" s="509" t="s">
        <v>338</v>
      </c>
      <c r="E5" s="462" t="s">
        <v>340</v>
      </c>
      <c r="F5" s="509" t="s">
        <v>341</v>
      </c>
      <c r="G5" s="462" t="s">
        <v>342</v>
      </c>
      <c r="H5" s="462" t="s">
        <v>343</v>
      </c>
      <c r="I5" s="116">
        <v>74.75</v>
      </c>
      <c r="J5" s="116">
        <v>400</v>
      </c>
      <c r="K5" s="488">
        <v>29900</v>
      </c>
    </row>
    <row r="6" spans="1:11" ht="14.45" customHeight="1" x14ac:dyDescent="0.2">
      <c r="A6" s="465" t="s">
        <v>298</v>
      </c>
      <c r="B6" s="466" t="s">
        <v>327</v>
      </c>
      <c r="C6" s="469" t="s">
        <v>337</v>
      </c>
      <c r="D6" s="510" t="s">
        <v>338</v>
      </c>
      <c r="E6" s="469" t="s">
        <v>340</v>
      </c>
      <c r="F6" s="510" t="s">
        <v>341</v>
      </c>
      <c r="G6" s="469" t="s">
        <v>344</v>
      </c>
      <c r="H6" s="469" t="s">
        <v>345</v>
      </c>
      <c r="I6" s="500">
        <v>1.012499988079071</v>
      </c>
      <c r="J6" s="500">
        <v>1008</v>
      </c>
      <c r="K6" s="501">
        <v>1018.1599998474121</v>
      </c>
    </row>
    <row r="7" spans="1:11" ht="14.45" customHeight="1" x14ac:dyDescent="0.2">
      <c r="A7" s="465" t="s">
        <v>298</v>
      </c>
      <c r="B7" s="466" t="s">
        <v>327</v>
      </c>
      <c r="C7" s="469" t="s">
        <v>337</v>
      </c>
      <c r="D7" s="510" t="s">
        <v>338</v>
      </c>
      <c r="E7" s="469" t="s">
        <v>340</v>
      </c>
      <c r="F7" s="510" t="s">
        <v>341</v>
      </c>
      <c r="G7" s="469" t="s">
        <v>346</v>
      </c>
      <c r="H7" s="469" t="s">
        <v>347</v>
      </c>
      <c r="I7" s="500">
        <v>0.54272729158401489</v>
      </c>
      <c r="J7" s="500">
        <v>2100</v>
      </c>
      <c r="K7" s="501">
        <v>1144.7200012207031</v>
      </c>
    </row>
    <row r="8" spans="1:11" ht="14.45" customHeight="1" x14ac:dyDescent="0.2">
      <c r="A8" s="465" t="s">
        <v>298</v>
      </c>
      <c r="B8" s="466" t="s">
        <v>327</v>
      </c>
      <c r="C8" s="469" t="s">
        <v>337</v>
      </c>
      <c r="D8" s="510" t="s">
        <v>338</v>
      </c>
      <c r="E8" s="469" t="s">
        <v>340</v>
      </c>
      <c r="F8" s="510" t="s">
        <v>341</v>
      </c>
      <c r="G8" s="469" t="s">
        <v>348</v>
      </c>
      <c r="H8" s="469" t="s">
        <v>349</v>
      </c>
      <c r="I8" s="500">
        <v>1.3500000238418579</v>
      </c>
      <c r="J8" s="500">
        <v>3610</v>
      </c>
      <c r="K8" s="501">
        <v>4873.5</v>
      </c>
    </row>
    <row r="9" spans="1:11" ht="14.45" customHeight="1" x14ac:dyDescent="0.2">
      <c r="A9" s="465" t="s">
        <v>298</v>
      </c>
      <c r="B9" s="466" t="s">
        <v>327</v>
      </c>
      <c r="C9" s="469" t="s">
        <v>337</v>
      </c>
      <c r="D9" s="510" t="s">
        <v>338</v>
      </c>
      <c r="E9" s="469" t="s">
        <v>340</v>
      </c>
      <c r="F9" s="510" t="s">
        <v>341</v>
      </c>
      <c r="G9" s="469" t="s">
        <v>350</v>
      </c>
      <c r="H9" s="469" t="s">
        <v>351</v>
      </c>
      <c r="I9" s="500">
        <v>2.5423076519599328</v>
      </c>
      <c r="J9" s="500">
        <v>1120</v>
      </c>
      <c r="K9" s="501">
        <v>2848.6200408935547</v>
      </c>
    </row>
    <row r="10" spans="1:11" ht="14.45" customHeight="1" x14ac:dyDescent="0.2">
      <c r="A10" s="465" t="s">
        <v>298</v>
      </c>
      <c r="B10" s="466" t="s">
        <v>327</v>
      </c>
      <c r="C10" s="469" t="s">
        <v>337</v>
      </c>
      <c r="D10" s="510" t="s">
        <v>338</v>
      </c>
      <c r="E10" s="469" t="s">
        <v>340</v>
      </c>
      <c r="F10" s="510" t="s">
        <v>341</v>
      </c>
      <c r="G10" s="469" t="s">
        <v>352</v>
      </c>
      <c r="H10" s="469" t="s">
        <v>353</v>
      </c>
      <c r="I10" s="500">
        <v>171.35000610351563</v>
      </c>
      <c r="J10" s="500">
        <v>10</v>
      </c>
      <c r="K10" s="501">
        <v>1713.5</v>
      </c>
    </row>
    <row r="11" spans="1:11" ht="14.45" customHeight="1" x14ac:dyDescent="0.2">
      <c r="A11" s="465" t="s">
        <v>298</v>
      </c>
      <c r="B11" s="466" t="s">
        <v>327</v>
      </c>
      <c r="C11" s="469" t="s">
        <v>337</v>
      </c>
      <c r="D11" s="510" t="s">
        <v>338</v>
      </c>
      <c r="E11" s="469" t="s">
        <v>340</v>
      </c>
      <c r="F11" s="510" t="s">
        <v>341</v>
      </c>
      <c r="G11" s="469" t="s">
        <v>354</v>
      </c>
      <c r="H11" s="469" t="s">
        <v>355</v>
      </c>
      <c r="I11" s="500">
        <v>171.35000610351563</v>
      </c>
      <c r="J11" s="500">
        <v>50</v>
      </c>
      <c r="K11" s="501">
        <v>8567.510009765625</v>
      </c>
    </row>
    <row r="12" spans="1:11" ht="14.45" customHeight="1" x14ac:dyDescent="0.2">
      <c r="A12" s="465" t="s">
        <v>298</v>
      </c>
      <c r="B12" s="466" t="s">
        <v>327</v>
      </c>
      <c r="C12" s="469" t="s">
        <v>337</v>
      </c>
      <c r="D12" s="510" t="s">
        <v>338</v>
      </c>
      <c r="E12" s="469" t="s">
        <v>340</v>
      </c>
      <c r="F12" s="510" t="s">
        <v>341</v>
      </c>
      <c r="G12" s="469" t="s">
        <v>356</v>
      </c>
      <c r="H12" s="469" t="s">
        <v>357</v>
      </c>
      <c r="I12" s="500">
        <v>21.200000762939453</v>
      </c>
      <c r="J12" s="500">
        <v>80</v>
      </c>
      <c r="K12" s="501">
        <v>1696.2699584960938</v>
      </c>
    </row>
    <row r="13" spans="1:11" ht="14.45" customHeight="1" x14ac:dyDescent="0.2">
      <c r="A13" s="465" t="s">
        <v>298</v>
      </c>
      <c r="B13" s="466" t="s">
        <v>327</v>
      </c>
      <c r="C13" s="469" t="s">
        <v>337</v>
      </c>
      <c r="D13" s="510" t="s">
        <v>338</v>
      </c>
      <c r="E13" s="469" t="s">
        <v>340</v>
      </c>
      <c r="F13" s="510" t="s">
        <v>341</v>
      </c>
      <c r="G13" s="469" t="s">
        <v>358</v>
      </c>
      <c r="H13" s="469" t="s">
        <v>359</v>
      </c>
      <c r="I13" s="500">
        <v>38.549999237060547</v>
      </c>
      <c r="J13" s="500">
        <v>75</v>
      </c>
      <c r="K13" s="501">
        <v>2891.1000366210938</v>
      </c>
    </row>
    <row r="14" spans="1:11" ht="14.45" customHeight="1" x14ac:dyDescent="0.2">
      <c r="A14" s="465" t="s">
        <v>298</v>
      </c>
      <c r="B14" s="466" t="s">
        <v>327</v>
      </c>
      <c r="C14" s="469" t="s">
        <v>337</v>
      </c>
      <c r="D14" s="510" t="s">
        <v>338</v>
      </c>
      <c r="E14" s="469" t="s">
        <v>340</v>
      </c>
      <c r="F14" s="510" t="s">
        <v>341</v>
      </c>
      <c r="G14" s="469" t="s">
        <v>360</v>
      </c>
      <c r="H14" s="469" t="s">
        <v>361</v>
      </c>
      <c r="I14" s="500">
        <v>14.122499942779541</v>
      </c>
      <c r="J14" s="500">
        <v>200</v>
      </c>
      <c r="K14" s="501">
        <v>2824.5</v>
      </c>
    </row>
    <row r="15" spans="1:11" ht="14.45" customHeight="1" x14ac:dyDescent="0.2">
      <c r="A15" s="465" t="s">
        <v>298</v>
      </c>
      <c r="B15" s="466" t="s">
        <v>327</v>
      </c>
      <c r="C15" s="469" t="s">
        <v>337</v>
      </c>
      <c r="D15" s="510" t="s">
        <v>338</v>
      </c>
      <c r="E15" s="469" t="s">
        <v>340</v>
      </c>
      <c r="F15" s="510" t="s">
        <v>341</v>
      </c>
      <c r="G15" s="469" t="s">
        <v>362</v>
      </c>
      <c r="H15" s="469" t="s">
        <v>363</v>
      </c>
      <c r="I15" s="500">
        <v>14.609999656677246</v>
      </c>
      <c r="J15" s="500">
        <v>200</v>
      </c>
      <c r="K15" s="501">
        <v>2921.8599853515625</v>
      </c>
    </row>
    <row r="16" spans="1:11" ht="14.45" customHeight="1" x14ac:dyDescent="0.2">
      <c r="A16" s="465" t="s">
        <v>298</v>
      </c>
      <c r="B16" s="466" t="s">
        <v>327</v>
      </c>
      <c r="C16" s="469" t="s">
        <v>337</v>
      </c>
      <c r="D16" s="510" t="s">
        <v>338</v>
      </c>
      <c r="E16" s="469" t="s">
        <v>340</v>
      </c>
      <c r="F16" s="510" t="s">
        <v>341</v>
      </c>
      <c r="G16" s="469" t="s">
        <v>364</v>
      </c>
      <c r="H16" s="469" t="s">
        <v>365</v>
      </c>
      <c r="I16" s="500">
        <v>229.00999450683594</v>
      </c>
      <c r="J16" s="500">
        <v>125</v>
      </c>
      <c r="K16" s="501">
        <v>28625.80078125</v>
      </c>
    </row>
    <row r="17" spans="1:11" ht="14.45" customHeight="1" x14ac:dyDescent="0.2">
      <c r="A17" s="465" t="s">
        <v>298</v>
      </c>
      <c r="B17" s="466" t="s">
        <v>327</v>
      </c>
      <c r="C17" s="469" t="s">
        <v>337</v>
      </c>
      <c r="D17" s="510" t="s">
        <v>338</v>
      </c>
      <c r="E17" s="469" t="s">
        <v>340</v>
      </c>
      <c r="F17" s="510" t="s">
        <v>341</v>
      </c>
      <c r="G17" s="469" t="s">
        <v>366</v>
      </c>
      <c r="H17" s="469" t="s">
        <v>367</v>
      </c>
      <c r="I17" s="500">
        <v>240.8453850379357</v>
      </c>
      <c r="J17" s="500">
        <v>325</v>
      </c>
      <c r="K17" s="501">
        <v>78274.44091796875</v>
      </c>
    </row>
    <row r="18" spans="1:11" ht="14.45" customHeight="1" x14ac:dyDescent="0.2">
      <c r="A18" s="465" t="s">
        <v>298</v>
      </c>
      <c r="B18" s="466" t="s">
        <v>327</v>
      </c>
      <c r="C18" s="469" t="s">
        <v>337</v>
      </c>
      <c r="D18" s="510" t="s">
        <v>338</v>
      </c>
      <c r="E18" s="469" t="s">
        <v>340</v>
      </c>
      <c r="F18" s="510" t="s">
        <v>341</v>
      </c>
      <c r="G18" s="469" t="s">
        <v>368</v>
      </c>
      <c r="H18" s="469" t="s">
        <v>369</v>
      </c>
      <c r="I18" s="500">
        <v>43.840000152587891</v>
      </c>
      <c r="J18" s="500">
        <v>550</v>
      </c>
      <c r="K18" s="501">
        <v>24110.999267578125</v>
      </c>
    </row>
    <row r="19" spans="1:11" ht="14.45" customHeight="1" x14ac:dyDescent="0.2">
      <c r="A19" s="465" t="s">
        <v>298</v>
      </c>
      <c r="B19" s="466" t="s">
        <v>327</v>
      </c>
      <c r="C19" s="469" t="s">
        <v>337</v>
      </c>
      <c r="D19" s="510" t="s">
        <v>338</v>
      </c>
      <c r="E19" s="469" t="s">
        <v>340</v>
      </c>
      <c r="F19" s="510" t="s">
        <v>341</v>
      </c>
      <c r="G19" s="469" t="s">
        <v>370</v>
      </c>
      <c r="H19" s="469" t="s">
        <v>371</v>
      </c>
      <c r="I19" s="500">
        <v>29.229999542236328</v>
      </c>
      <c r="J19" s="500">
        <v>100</v>
      </c>
      <c r="K19" s="501">
        <v>2922.840087890625</v>
      </c>
    </row>
    <row r="20" spans="1:11" ht="14.45" customHeight="1" x14ac:dyDescent="0.2">
      <c r="A20" s="465" t="s">
        <v>298</v>
      </c>
      <c r="B20" s="466" t="s">
        <v>327</v>
      </c>
      <c r="C20" s="469" t="s">
        <v>337</v>
      </c>
      <c r="D20" s="510" t="s">
        <v>338</v>
      </c>
      <c r="E20" s="469" t="s">
        <v>340</v>
      </c>
      <c r="F20" s="510" t="s">
        <v>341</v>
      </c>
      <c r="G20" s="469" t="s">
        <v>372</v>
      </c>
      <c r="H20" s="469" t="s">
        <v>373</v>
      </c>
      <c r="I20" s="500">
        <v>0.86000001430511475</v>
      </c>
      <c r="J20" s="500">
        <v>100</v>
      </c>
      <c r="K20" s="501">
        <v>86</v>
      </c>
    </row>
    <row r="21" spans="1:11" ht="14.45" customHeight="1" x14ac:dyDescent="0.2">
      <c r="A21" s="465" t="s">
        <v>298</v>
      </c>
      <c r="B21" s="466" t="s">
        <v>327</v>
      </c>
      <c r="C21" s="469" t="s">
        <v>337</v>
      </c>
      <c r="D21" s="510" t="s">
        <v>338</v>
      </c>
      <c r="E21" s="469" t="s">
        <v>340</v>
      </c>
      <c r="F21" s="510" t="s">
        <v>341</v>
      </c>
      <c r="G21" s="469" t="s">
        <v>374</v>
      </c>
      <c r="H21" s="469" t="s">
        <v>375</v>
      </c>
      <c r="I21" s="500">
        <v>1.5133333206176758</v>
      </c>
      <c r="J21" s="500">
        <v>802</v>
      </c>
      <c r="K21" s="501">
        <v>1214.0199999809265</v>
      </c>
    </row>
    <row r="22" spans="1:11" ht="14.45" customHeight="1" x14ac:dyDescent="0.2">
      <c r="A22" s="465" t="s">
        <v>298</v>
      </c>
      <c r="B22" s="466" t="s">
        <v>327</v>
      </c>
      <c r="C22" s="469" t="s">
        <v>337</v>
      </c>
      <c r="D22" s="510" t="s">
        <v>338</v>
      </c>
      <c r="E22" s="469" t="s">
        <v>340</v>
      </c>
      <c r="F22" s="510" t="s">
        <v>341</v>
      </c>
      <c r="G22" s="469" t="s">
        <v>376</v>
      </c>
      <c r="H22" s="469" t="s">
        <v>377</v>
      </c>
      <c r="I22" s="500">
        <v>7.7850000858306885</v>
      </c>
      <c r="J22" s="500">
        <v>48</v>
      </c>
      <c r="K22" s="501">
        <v>373.68000793457031</v>
      </c>
    </row>
    <row r="23" spans="1:11" ht="14.45" customHeight="1" x14ac:dyDescent="0.2">
      <c r="A23" s="465" t="s">
        <v>298</v>
      </c>
      <c r="B23" s="466" t="s">
        <v>327</v>
      </c>
      <c r="C23" s="469" t="s">
        <v>337</v>
      </c>
      <c r="D23" s="510" t="s">
        <v>338</v>
      </c>
      <c r="E23" s="469" t="s">
        <v>340</v>
      </c>
      <c r="F23" s="510" t="s">
        <v>341</v>
      </c>
      <c r="G23" s="469" t="s">
        <v>378</v>
      </c>
      <c r="H23" s="469" t="s">
        <v>379</v>
      </c>
      <c r="I23" s="500">
        <v>123.44999694824219</v>
      </c>
      <c r="J23" s="500">
        <v>12</v>
      </c>
      <c r="K23" s="501">
        <v>1481.3499755859375</v>
      </c>
    </row>
    <row r="24" spans="1:11" ht="14.45" customHeight="1" x14ac:dyDescent="0.2">
      <c r="A24" s="465" t="s">
        <v>298</v>
      </c>
      <c r="B24" s="466" t="s">
        <v>327</v>
      </c>
      <c r="C24" s="469" t="s">
        <v>337</v>
      </c>
      <c r="D24" s="510" t="s">
        <v>338</v>
      </c>
      <c r="E24" s="469" t="s">
        <v>340</v>
      </c>
      <c r="F24" s="510" t="s">
        <v>341</v>
      </c>
      <c r="G24" s="469" t="s">
        <v>380</v>
      </c>
      <c r="H24" s="469" t="s">
        <v>381</v>
      </c>
      <c r="I24" s="500">
        <v>8.3900003433227539</v>
      </c>
      <c r="J24" s="500">
        <v>2</v>
      </c>
      <c r="K24" s="501">
        <v>16.780000686645508</v>
      </c>
    </row>
    <row r="25" spans="1:11" ht="14.45" customHeight="1" x14ac:dyDescent="0.2">
      <c r="A25" s="465" t="s">
        <v>298</v>
      </c>
      <c r="B25" s="466" t="s">
        <v>327</v>
      </c>
      <c r="C25" s="469" t="s">
        <v>337</v>
      </c>
      <c r="D25" s="510" t="s">
        <v>338</v>
      </c>
      <c r="E25" s="469" t="s">
        <v>340</v>
      </c>
      <c r="F25" s="510" t="s">
        <v>341</v>
      </c>
      <c r="G25" s="469" t="s">
        <v>382</v>
      </c>
      <c r="H25" s="469" t="s">
        <v>383</v>
      </c>
      <c r="I25" s="500">
        <v>42.439998626708984</v>
      </c>
      <c r="J25" s="500">
        <v>7</v>
      </c>
      <c r="K25" s="501">
        <v>297.09999847412109</v>
      </c>
    </row>
    <row r="26" spans="1:11" ht="14.45" customHeight="1" x14ac:dyDescent="0.2">
      <c r="A26" s="465" t="s">
        <v>298</v>
      </c>
      <c r="B26" s="466" t="s">
        <v>327</v>
      </c>
      <c r="C26" s="469" t="s">
        <v>337</v>
      </c>
      <c r="D26" s="510" t="s">
        <v>338</v>
      </c>
      <c r="E26" s="469" t="s">
        <v>340</v>
      </c>
      <c r="F26" s="510" t="s">
        <v>341</v>
      </c>
      <c r="G26" s="469" t="s">
        <v>382</v>
      </c>
      <c r="H26" s="469" t="s">
        <v>384</v>
      </c>
      <c r="I26" s="500">
        <v>42.447585796487743</v>
      </c>
      <c r="J26" s="500">
        <v>53</v>
      </c>
      <c r="K26" s="501">
        <v>2249.7899742126465</v>
      </c>
    </row>
    <row r="27" spans="1:11" ht="14.45" customHeight="1" x14ac:dyDescent="0.2">
      <c r="A27" s="465" t="s">
        <v>298</v>
      </c>
      <c r="B27" s="466" t="s">
        <v>327</v>
      </c>
      <c r="C27" s="469" t="s">
        <v>337</v>
      </c>
      <c r="D27" s="510" t="s">
        <v>338</v>
      </c>
      <c r="E27" s="469" t="s">
        <v>340</v>
      </c>
      <c r="F27" s="510" t="s">
        <v>341</v>
      </c>
      <c r="G27" s="469" t="s">
        <v>385</v>
      </c>
      <c r="H27" s="469" t="s">
        <v>386</v>
      </c>
      <c r="I27" s="500">
        <v>72.220001220703125</v>
      </c>
      <c r="J27" s="500">
        <v>3</v>
      </c>
      <c r="K27" s="501">
        <v>216.66000366210938</v>
      </c>
    </row>
    <row r="28" spans="1:11" ht="14.45" customHeight="1" x14ac:dyDescent="0.2">
      <c r="A28" s="465" t="s">
        <v>298</v>
      </c>
      <c r="B28" s="466" t="s">
        <v>327</v>
      </c>
      <c r="C28" s="469" t="s">
        <v>337</v>
      </c>
      <c r="D28" s="510" t="s">
        <v>338</v>
      </c>
      <c r="E28" s="469" t="s">
        <v>340</v>
      </c>
      <c r="F28" s="510" t="s">
        <v>341</v>
      </c>
      <c r="G28" s="469" t="s">
        <v>387</v>
      </c>
      <c r="H28" s="469" t="s">
        <v>388</v>
      </c>
      <c r="I28" s="500">
        <v>18.149999618530273</v>
      </c>
      <c r="J28" s="500">
        <v>50</v>
      </c>
      <c r="K28" s="501">
        <v>907.5</v>
      </c>
    </row>
    <row r="29" spans="1:11" ht="14.45" customHeight="1" x14ac:dyDescent="0.2">
      <c r="A29" s="465" t="s">
        <v>298</v>
      </c>
      <c r="B29" s="466" t="s">
        <v>327</v>
      </c>
      <c r="C29" s="469" t="s">
        <v>337</v>
      </c>
      <c r="D29" s="510" t="s">
        <v>338</v>
      </c>
      <c r="E29" s="469" t="s">
        <v>340</v>
      </c>
      <c r="F29" s="510" t="s">
        <v>341</v>
      </c>
      <c r="G29" s="469" t="s">
        <v>389</v>
      </c>
      <c r="H29" s="469" t="s">
        <v>390</v>
      </c>
      <c r="I29" s="500">
        <v>0.79818181964484125</v>
      </c>
      <c r="J29" s="500">
        <v>7070</v>
      </c>
      <c r="K29" s="501">
        <v>5648.800000667572</v>
      </c>
    </row>
    <row r="30" spans="1:11" ht="14.45" customHeight="1" x14ac:dyDescent="0.2">
      <c r="A30" s="465" t="s">
        <v>298</v>
      </c>
      <c r="B30" s="466" t="s">
        <v>327</v>
      </c>
      <c r="C30" s="469" t="s">
        <v>337</v>
      </c>
      <c r="D30" s="510" t="s">
        <v>338</v>
      </c>
      <c r="E30" s="469" t="s">
        <v>391</v>
      </c>
      <c r="F30" s="510" t="s">
        <v>392</v>
      </c>
      <c r="G30" s="469" t="s">
        <v>393</v>
      </c>
      <c r="H30" s="469" t="s">
        <v>394</v>
      </c>
      <c r="I30" s="500">
        <v>70.879997253417969</v>
      </c>
      <c r="J30" s="500">
        <v>60</v>
      </c>
      <c r="K30" s="501">
        <v>4252.89990234375</v>
      </c>
    </row>
    <row r="31" spans="1:11" ht="14.45" customHeight="1" x14ac:dyDescent="0.2">
      <c r="A31" s="465" t="s">
        <v>298</v>
      </c>
      <c r="B31" s="466" t="s">
        <v>327</v>
      </c>
      <c r="C31" s="469" t="s">
        <v>337</v>
      </c>
      <c r="D31" s="510" t="s">
        <v>338</v>
      </c>
      <c r="E31" s="469" t="s">
        <v>391</v>
      </c>
      <c r="F31" s="510" t="s">
        <v>392</v>
      </c>
      <c r="G31" s="469" t="s">
        <v>395</v>
      </c>
      <c r="H31" s="469" t="s">
        <v>396</v>
      </c>
      <c r="I31" s="500">
        <v>2.3374999165534973</v>
      </c>
      <c r="J31" s="500">
        <v>251</v>
      </c>
      <c r="K31" s="501">
        <v>586.81999564170837</v>
      </c>
    </row>
    <row r="32" spans="1:11" ht="14.45" customHeight="1" x14ac:dyDescent="0.2">
      <c r="A32" s="465" t="s">
        <v>298</v>
      </c>
      <c r="B32" s="466" t="s">
        <v>327</v>
      </c>
      <c r="C32" s="469" t="s">
        <v>337</v>
      </c>
      <c r="D32" s="510" t="s">
        <v>338</v>
      </c>
      <c r="E32" s="469" t="s">
        <v>391</v>
      </c>
      <c r="F32" s="510" t="s">
        <v>392</v>
      </c>
      <c r="G32" s="469" t="s">
        <v>397</v>
      </c>
      <c r="H32" s="469" t="s">
        <v>398</v>
      </c>
      <c r="I32" s="500">
        <v>11.144999980926514</v>
      </c>
      <c r="J32" s="500">
        <v>70</v>
      </c>
      <c r="K32" s="501">
        <v>780.30000305175781</v>
      </c>
    </row>
    <row r="33" spans="1:11" ht="14.45" customHeight="1" x14ac:dyDescent="0.2">
      <c r="A33" s="465" t="s">
        <v>298</v>
      </c>
      <c r="B33" s="466" t="s">
        <v>327</v>
      </c>
      <c r="C33" s="469" t="s">
        <v>337</v>
      </c>
      <c r="D33" s="510" t="s">
        <v>338</v>
      </c>
      <c r="E33" s="469" t="s">
        <v>391</v>
      </c>
      <c r="F33" s="510" t="s">
        <v>392</v>
      </c>
      <c r="G33" s="469" t="s">
        <v>399</v>
      </c>
      <c r="H33" s="469" t="s">
        <v>400</v>
      </c>
      <c r="I33" s="500">
        <v>5.2968457497206307</v>
      </c>
      <c r="J33" s="500">
        <v>8100</v>
      </c>
      <c r="K33" s="501">
        <v>42918.639892578125</v>
      </c>
    </row>
    <row r="34" spans="1:11" ht="14.45" customHeight="1" x14ac:dyDescent="0.2">
      <c r="A34" s="465" t="s">
        <v>298</v>
      </c>
      <c r="B34" s="466" t="s">
        <v>327</v>
      </c>
      <c r="C34" s="469" t="s">
        <v>337</v>
      </c>
      <c r="D34" s="510" t="s">
        <v>338</v>
      </c>
      <c r="E34" s="469" t="s">
        <v>391</v>
      </c>
      <c r="F34" s="510" t="s">
        <v>392</v>
      </c>
      <c r="G34" s="469" t="s">
        <v>401</v>
      </c>
      <c r="H34" s="469" t="s">
        <v>402</v>
      </c>
      <c r="I34" s="500">
        <v>3.6480000019073486</v>
      </c>
      <c r="J34" s="500">
        <v>750</v>
      </c>
      <c r="K34" s="501">
        <v>2710.5</v>
      </c>
    </row>
    <row r="35" spans="1:11" ht="14.45" customHeight="1" x14ac:dyDescent="0.2">
      <c r="A35" s="465" t="s">
        <v>298</v>
      </c>
      <c r="B35" s="466" t="s">
        <v>327</v>
      </c>
      <c r="C35" s="469" t="s">
        <v>337</v>
      </c>
      <c r="D35" s="510" t="s">
        <v>338</v>
      </c>
      <c r="E35" s="469" t="s">
        <v>391</v>
      </c>
      <c r="F35" s="510" t="s">
        <v>392</v>
      </c>
      <c r="G35" s="469" t="s">
        <v>403</v>
      </c>
      <c r="H35" s="469" t="s">
        <v>404</v>
      </c>
      <c r="I35" s="500">
        <v>45.979999542236328</v>
      </c>
      <c r="J35" s="500">
        <v>40</v>
      </c>
      <c r="K35" s="501">
        <v>1839.199951171875</v>
      </c>
    </row>
    <row r="36" spans="1:11" ht="14.45" customHeight="1" x14ac:dyDescent="0.2">
      <c r="A36" s="465" t="s">
        <v>298</v>
      </c>
      <c r="B36" s="466" t="s">
        <v>327</v>
      </c>
      <c r="C36" s="469" t="s">
        <v>337</v>
      </c>
      <c r="D36" s="510" t="s">
        <v>338</v>
      </c>
      <c r="E36" s="469" t="s">
        <v>391</v>
      </c>
      <c r="F36" s="510" t="s">
        <v>392</v>
      </c>
      <c r="G36" s="469" t="s">
        <v>405</v>
      </c>
      <c r="H36" s="469" t="s">
        <v>406</v>
      </c>
      <c r="I36" s="500">
        <v>4.0292158781313425</v>
      </c>
      <c r="J36" s="500">
        <v>2620</v>
      </c>
      <c r="K36" s="501">
        <v>10556.299980163574</v>
      </c>
    </row>
    <row r="37" spans="1:11" ht="14.45" customHeight="1" x14ac:dyDescent="0.2">
      <c r="A37" s="465" t="s">
        <v>298</v>
      </c>
      <c r="B37" s="466" t="s">
        <v>327</v>
      </c>
      <c r="C37" s="469" t="s">
        <v>337</v>
      </c>
      <c r="D37" s="510" t="s">
        <v>338</v>
      </c>
      <c r="E37" s="469" t="s">
        <v>391</v>
      </c>
      <c r="F37" s="510" t="s">
        <v>392</v>
      </c>
      <c r="G37" s="469" t="s">
        <v>407</v>
      </c>
      <c r="H37" s="469" t="s">
        <v>408</v>
      </c>
      <c r="I37" s="500">
        <v>15.729999542236328</v>
      </c>
      <c r="J37" s="500">
        <v>200</v>
      </c>
      <c r="K37" s="501">
        <v>3146</v>
      </c>
    </row>
    <row r="38" spans="1:11" ht="14.45" customHeight="1" x14ac:dyDescent="0.2">
      <c r="A38" s="465" t="s">
        <v>298</v>
      </c>
      <c r="B38" s="466" t="s">
        <v>327</v>
      </c>
      <c r="C38" s="469" t="s">
        <v>337</v>
      </c>
      <c r="D38" s="510" t="s">
        <v>338</v>
      </c>
      <c r="E38" s="469" t="s">
        <v>391</v>
      </c>
      <c r="F38" s="510" t="s">
        <v>392</v>
      </c>
      <c r="G38" s="469" t="s">
        <v>409</v>
      </c>
      <c r="H38" s="469" t="s">
        <v>410</v>
      </c>
      <c r="I38" s="500">
        <v>12.705471632615575</v>
      </c>
      <c r="J38" s="500">
        <v>2540</v>
      </c>
      <c r="K38" s="501">
        <v>32272.649887084961</v>
      </c>
    </row>
    <row r="39" spans="1:11" ht="14.45" customHeight="1" x14ac:dyDescent="0.2">
      <c r="A39" s="465" t="s">
        <v>298</v>
      </c>
      <c r="B39" s="466" t="s">
        <v>327</v>
      </c>
      <c r="C39" s="469" t="s">
        <v>337</v>
      </c>
      <c r="D39" s="510" t="s">
        <v>338</v>
      </c>
      <c r="E39" s="469" t="s">
        <v>391</v>
      </c>
      <c r="F39" s="510" t="s">
        <v>392</v>
      </c>
      <c r="G39" s="469" t="s">
        <v>411</v>
      </c>
      <c r="H39" s="469" t="s">
        <v>412</v>
      </c>
      <c r="I39" s="500">
        <v>7.8657970912214639</v>
      </c>
      <c r="J39" s="500">
        <v>2535</v>
      </c>
      <c r="K39" s="501">
        <v>19939.800193786621</v>
      </c>
    </row>
    <row r="40" spans="1:11" ht="14.45" customHeight="1" x14ac:dyDescent="0.2">
      <c r="A40" s="465" t="s">
        <v>298</v>
      </c>
      <c r="B40" s="466" t="s">
        <v>327</v>
      </c>
      <c r="C40" s="469" t="s">
        <v>337</v>
      </c>
      <c r="D40" s="510" t="s">
        <v>338</v>
      </c>
      <c r="E40" s="469" t="s">
        <v>391</v>
      </c>
      <c r="F40" s="510" t="s">
        <v>392</v>
      </c>
      <c r="G40" s="469" t="s">
        <v>411</v>
      </c>
      <c r="H40" s="469" t="s">
        <v>413</v>
      </c>
      <c r="I40" s="500">
        <v>7.8673332850138342</v>
      </c>
      <c r="J40" s="500">
        <v>690</v>
      </c>
      <c r="K40" s="501">
        <v>5428.5000152587891</v>
      </c>
    </row>
    <row r="41" spans="1:11" ht="14.45" customHeight="1" x14ac:dyDescent="0.2">
      <c r="A41" s="465" t="s">
        <v>298</v>
      </c>
      <c r="B41" s="466" t="s">
        <v>327</v>
      </c>
      <c r="C41" s="469" t="s">
        <v>337</v>
      </c>
      <c r="D41" s="510" t="s">
        <v>338</v>
      </c>
      <c r="E41" s="469" t="s">
        <v>391</v>
      </c>
      <c r="F41" s="510" t="s">
        <v>392</v>
      </c>
      <c r="G41" s="469" t="s">
        <v>414</v>
      </c>
      <c r="H41" s="469" t="s">
        <v>415</v>
      </c>
      <c r="I41" s="500">
        <v>10.074999809265137</v>
      </c>
      <c r="J41" s="500">
        <v>270</v>
      </c>
      <c r="K41" s="501">
        <v>2720.260009765625</v>
      </c>
    </row>
    <row r="42" spans="1:11" ht="14.45" customHeight="1" x14ac:dyDescent="0.2">
      <c r="A42" s="465" t="s">
        <v>298</v>
      </c>
      <c r="B42" s="466" t="s">
        <v>327</v>
      </c>
      <c r="C42" s="469" t="s">
        <v>337</v>
      </c>
      <c r="D42" s="510" t="s">
        <v>338</v>
      </c>
      <c r="E42" s="469" t="s">
        <v>391</v>
      </c>
      <c r="F42" s="510" t="s">
        <v>392</v>
      </c>
      <c r="G42" s="469" t="s">
        <v>416</v>
      </c>
      <c r="H42" s="469" t="s">
        <v>417</v>
      </c>
      <c r="I42" s="500">
        <v>10.073333104451498</v>
      </c>
      <c r="J42" s="500">
        <v>300</v>
      </c>
      <c r="K42" s="501">
        <v>3022.2000122070313</v>
      </c>
    </row>
    <row r="43" spans="1:11" ht="14.45" customHeight="1" x14ac:dyDescent="0.2">
      <c r="A43" s="465" t="s">
        <v>298</v>
      </c>
      <c r="B43" s="466" t="s">
        <v>327</v>
      </c>
      <c r="C43" s="469" t="s">
        <v>337</v>
      </c>
      <c r="D43" s="510" t="s">
        <v>338</v>
      </c>
      <c r="E43" s="469" t="s">
        <v>391</v>
      </c>
      <c r="F43" s="510" t="s">
        <v>392</v>
      </c>
      <c r="G43" s="469" t="s">
        <v>418</v>
      </c>
      <c r="H43" s="469" t="s">
        <v>419</v>
      </c>
      <c r="I43" s="500">
        <v>10.122500002384186</v>
      </c>
      <c r="J43" s="500">
        <v>570</v>
      </c>
      <c r="K43" s="501">
        <v>5770.4500732421875</v>
      </c>
    </row>
    <row r="44" spans="1:11" ht="14.45" customHeight="1" x14ac:dyDescent="0.2">
      <c r="A44" s="465" t="s">
        <v>298</v>
      </c>
      <c r="B44" s="466" t="s">
        <v>327</v>
      </c>
      <c r="C44" s="469" t="s">
        <v>337</v>
      </c>
      <c r="D44" s="510" t="s">
        <v>338</v>
      </c>
      <c r="E44" s="469" t="s">
        <v>391</v>
      </c>
      <c r="F44" s="510" t="s">
        <v>392</v>
      </c>
      <c r="G44" s="469" t="s">
        <v>420</v>
      </c>
      <c r="H44" s="469" t="s">
        <v>421</v>
      </c>
      <c r="I44" s="500">
        <v>10.110000133514404</v>
      </c>
      <c r="J44" s="500">
        <v>60</v>
      </c>
      <c r="K44" s="501">
        <v>606.55999755859375</v>
      </c>
    </row>
    <row r="45" spans="1:11" ht="14.45" customHeight="1" x14ac:dyDescent="0.2">
      <c r="A45" s="465" t="s">
        <v>298</v>
      </c>
      <c r="B45" s="466" t="s">
        <v>327</v>
      </c>
      <c r="C45" s="469" t="s">
        <v>337</v>
      </c>
      <c r="D45" s="510" t="s">
        <v>338</v>
      </c>
      <c r="E45" s="469" t="s">
        <v>391</v>
      </c>
      <c r="F45" s="510" t="s">
        <v>392</v>
      </c>
      <c r="G45" s="469" t="s">
        <v>422</v>
      </c>
      <c r="H45" s="469" t="s">
        <v>423</v>
      </c>
      <c r="I45" s="500">
        <v>3.1400001049041748</v>
      </c>
      <c r="J45" s="500">
        <v>15</v>
      </c>
      <c r="K45" s="501">
        <v>47.099998474121094</v>
      </c>
    </row>
    <row r="46" spans="1:11" ht="14.45" customHeight="1" x14ac:dyDescent="0.2">
      <c r="A46" s="465" t="s">
        <v>298</v>
      </c>
      <c r="B46" s="466" t="s">
        <v>327</v>
      </c>
      <c r="C46" s="469" t="s">
        <v>337</v>
      </c>
      <c r="D46" s="510" t="s">
        <v>338</v>
      </c>
      <c r="E46" s="469" t="s">
        <v>391</v>
      </c>
      <c r="F46" s="510" t="s">
        <v>392</v>
      </c>
      <c r="G46" s="469" t="s">
        <v>424</v>
      </c>
      <c r="H46" s="469" t="s">
        <v>425</v>
      </c>
      <c r="I46" s="500">
        <v>11.736593896064205</v>
      </c>
      <c r="J46" s="500">
        <v>138</v>
      </c>
      <c r="K46" s="501">
        <v>1619.6499576568604</v>
      </c>
    </row>
    <row r="47" spans="1:11" ht="14.45" customHeight="1" x14ac:dyDescent="0.2">
      <c r="A47" s="465" t="s">
        <v>298</v>
      </c>
      <c r="B47" s="466" t="s">
        <v>327</v>
      </c>
      <c r="C47" s="469" t="s">
        <v>337</v>
      </c>
      <c r="D47" s="510" t="s">
        <v>338</v>
      </c>
      <c r="E47" s="469" t="s">
        <v>391</v>
      </c>
      <c r="F47" s="510" t="s">
        <v>392</v>
      </c>
      <c r="G47" s="469" t="s">
        <v>424</v>
      </c>
      <c r="H47" s="469" t="s">
        <v>426</v>
      </c>
      <c r="I47" s="500">
        <v>11.737391015757686</v>
      </c>
      <c r="J47" s="500">
        <v>23</v>
      </c>
      <c r="K47" s="501">
        <v>269.95999336242676</v>
      </c>
    </row>
    <row r="48" spans="1:11" ht="14.45" customHeight="1" x14ac:dyDescent="0.2">
      <c r="A48" s="465" t="s">
        <v>298</v>
      </c>
      <c r="B48" s="466" t="s">
        <v>327</v>
      </c>
      <c r="C48" s="469" t="s">
        <v>337</v>
      </c>
      <c r="D48" s="510" t="s">
        <v>338</v>
      </c>
      <c r="E48" s="469" t="s">
        <v>391</v>
      </c>
      <c r="F48" s="510" t="s">
        <v>392</v>
      </c>
      <c r="G48" s="469" t="s">
        <v>427</v>
      </c>
      <c r="H48" s="469" t="s">
        <v>428</v>
      </c>
      <c r="I48" s="500">
        <v>35.090000152587891</v>
      </c>
      <c r="J48" s="500">
        <v>40</v>
      </c>
      <c r="K48" s="501">
        <v>1403.5999755859375</v>
      </c>
    </row>
    <row r="49" spans="1:11" ht="14.45" customHeight="1" x14ac:dyDescent="0.2">
      <c r="A49" s="465" t="s">
        <v>298</v>
      </c>
      <c r="B49" s="466" t="s">
        <v>327</v>
      </c>
      <c r="C49" s="469" t="s">
        <v>337</v>
      </c>
      <c r="D49" s="510" t="s">
        <v>338</v>
      </c>
      <c r="E49" s="469" t="s">
        <v>391</v>
      </c>
      <c r="F49" s="510" t="s">
        <v>392</v>
      </c>
      <c r="G49" s="469" t="s">
        <v>429</v>
      </c>
      <c r="H49" s="469" t="s">
        <v>430</v>
      </c>
      <c r="I49" s="500">
        <v>204.40499877929688</v>
      </c>
      <c r="J49" s="500">
        <v>60</v>
      </c>
      <c r="K49" s="501">
        <v>12264.2998046875</v>
      </c>
    </row>
    <row r="50" spans="1:11" ht="14.45" customHeight="1" x14ac:dyDescent="0.2">
      <c r="A50" s="465" t="s">
        <v>298</v>
      </c>
      <c r="B50" s="466" t="s">
        <v>327</v>
      </c>
      <c r="C50" s="469" t="s">
        <v>337</v>
      </c>
      <c r="D50" s="510" t="s">
        <v>338</v>
      </c>
      <c r="E50" s="469" t="s">
        <v>391</v>
      </c>
      <c r="F50" s="510" t="s">
        <v>392</v>
      </c>
      <c r="G50" s="469" t="s">
        <v>431</v>
      </c>
      <c r="H50" s="469" t="s">
        <v>432</v>
      </c>
      <c r="I50" s="500">
        <v>218.08171430315289</v>
      </c>
      <c r="J50" s="500">
        <v>1140</v>
      </c>
      <c r="K50" s="501">
        <v>248644.501953125</v>
      </c>
    </row>
    <row r="51" spans="1:11" ht="14.45" customHeight="1" x14ac:dyDescent="0.2">
      <c r="A51" s="465" t="s">
        <v>298</v>
      </c>
      <c r="B51" s="466" t="s">
        <v>327</v>
      </c>
      <c r="C51" s="469" t="s">
        <v>337</v>
      </c>
      <c r="D51" s="510" t="s">
        <v>338</v>
      </c>
      <c r="E51" s="469" t="s">
        <v>391</v>
      </c>
      <c r="F51" s="510" t="s">
        <v>392</v>
      </c>
      <c r="G51" s="469" t="s">
        <v>433</v>
      </c>
      <c r="H51" s="469" t="s">
        <v>434</v>
      </c>
      <c r="I51" s="500">
        <v>86.976252555847168</v>
      </c>
      <c r="J51" s="500">
        <v>301</v>
      </c>
      <c r="K51" s="501">
        <v>26180.369415283203</v>
      </c>
    </row>
    <row r="52" spans="1:11" ht="14.45" customHeight="1" x14ac:dyDescent="0.2">
      <c r="A52" s="465" t="s">
        <v>298</v>
      </c>
      <c r="B52" s="466" t="s">
        <v>327</v>
      </c>
      <c r="C52" s="469" t="s">
        <v>337</v>
      </c>
      <c r="D52" s="510" t="s">
        <v>338</v>
      </c>
      <c r="E52" s="469" t="s">
        <v>391</v>
      </c>
      <c r="F52" s="510" t="s">
        <v>392</v>
      </c>
      <c r="G52" s="469" t="s">
        <v>431</v>
      </c>
      <c r="H52" s="469" t="s">
        <v>435</v>
      </c>
      <c r="I52" s="500">
        <v>138.99428885323661</v>
      </c>
      <c r="J52" s="500">
        <v>180</v>
      </c>
      <c r="K52" s="501">
        <v>29188.798828125</v>
      </c>
    </row>
    <row r="53" spans="1:11" ht="14.45" customHeight="1" x14ac:dyDescent="0.2">
      <c r="A53" s="465" t="s">
        <v>298</v>
      </c>
      <c r="B53" s="466" t="s">
        <v>327</v>
      </c>
      <c r="C53" s="469" t="s">
        <v>337</v>
      </c>
      <c r="D53" s="510" t="s">
        <v>338</v>
      </c>
      <c r="E53" s="469" t="s">
        <v>391</v>
      </c>
      <c r="F53" s="510" t="s">
        <v>392</v>
      </c>
      <c r="G53" s="469" t="s">
        <v>436</v>
      </c>
      <c r="H53" s="469" t="s">
        <v>437</v>
      </c>
      <c r="I53" s="500">
        <v>18.149999618530273</v>
      </c>
      <c r="J53" s="500">
        <v>50</v>
      </c>
      <c r="K53" s="501">
        <v>907.5</v>
      </c>
    </row>
    <row r="54" spans="1:11" ht="14.45" customHeight="1" x14ac:dyDescent="0.2">
      <c r="A54" s="465" t="s">
        <v>298</v>
      </c>
      <c r="B54" s="466" t="s">
        <v>327</v>
      </c>
      <c r="C54" s="469" t="s">
        <v>337</v>
      </c>
      <c r="D54" s="510" t="s">
        <v>338</v>
      </c>
      <c r="E54" s="469" t="s">
        <v>391</v>
      </c>
      <c r="F54" s="510" t="s">
        <v>392</v>
      </c>
      <c r="G54" s="469" t="s">
        <v>438</v>
      </c>
      <c r="H54" s="469" t="s">
        <v>439</v>
      </c>
      <c r="I54" s="500">
        <v>0.7991304475328197</v>
      </c>
      <c r="J54" s="500">
        <v>4600</v>
      </c>
      <c r="K54" s="501">
        <v>3673.0999908447266</v>
      </c>
    </row>
    <row r="55" spans="1:11" ht="14.45" customHeight="1" x14ac:dyDescent="0.2">
      <c r="A55" s="465" t="s">
        <v>298</v>
      </c>
      <c r="B55" s="466" t="s">
        <v>327</v>
      </c>
      <c r="C55" s="469" t="s">
        <v>337</v>
      </c>
      <c r="D55" s="510" t="s">
        <v>338</v>
      </c>
      <c r="E55" s="469" t="s">
        <v>391</v>
      </c>
      <c r="F55" s="510" t="s">
        <v>392</v>
      </c>
      <c r="G55" s="469" t="s">
        <v>440</v>
      </c>
      <c r="H55" s="469" t="s">
        <v>441</v>
      </c>
      <c r="I55" s="500">
        <v>0.82124999165534973</v>
      </c>
      <c r="J55" s="500">
        <v>9200</v>
      </c>
      <c r="K55" s="501">
        <v>7555</v>
      </c>
    </row>
    <row r="56" spans="1:11" ht="14.45" customHeight="1" x14ac:dyDescent="0.2">
      <c r="A56" s="465" t="s">
        <v>298</v>
      </c>
      <c r="B56" s="466" t="s">
        <v>327</v>
      </c>
      <c r="C56" s="469" t="s">
        <v>337</v>
      </c>
      <c r="D56" s="510" t="s">
        <v>338</v>
      </c>
      <c r="E56" s="469" t="s">
        <v>391</v>
      </c>
      <c r="F56" s="510" t="s">
        <v>392</v>
      </c>
      <c r="G56" s="469" t="s">
        <v>440</v>
      </c>
      <c r="H56" s="469" t="s">
        <v>442</v>
      </c>
      <c r="I56" s="500">
        <v>0.82599998712539668</v>
      </c>
      <c r="J56" s="500">
        <v>1000</v>
      </c>
      <c r="K56" s="501">
        <v>826</v>
      </c>
    </row>
    <row r="57" spans="1:11" ht="14.45" customHeight="1" x14ac:dyDescent="0.2">
      <c r="A57" s="465" t="s">
        <v>298</v>
      </c>
      <c r="B57" s="466" t="s">
        <v>327</v>
      </c>
      <c r="C57" s="469" t="s">
        <v>337</v>
      </c>
      <c r="D57" s="510" t="s">
        <v>338</v>
      </c>
      <c r="E57" s="469" t="s">
        <v>391</v>
      </c>
      <c r="F57" s="510" t="s">
        <v>392</v>
      </c>
      <c r="G57" s="469" t="s">
        <v>443</v>
      </c>
      <c r="H57" s="469" t="s">
        <v>444</v>
      </c>
      <c r="I57" s="500">
        <v>0.43999999761581421</v>
      </c>
      <c r="J57" s="500">
        <v>300</v>
      </c>
      <c r="K57" s="501">
        <v>132</v>
      </c>
    </row>
    <row r="58" spans="1:11" ht="14.45" customHeight="1" x14ac:dyDescent="0.2">
      <c r="A58" s="465" t="s">
        <v>298</v>
      </c>
      <c r="B58" s="466" t="s">
        <v>327</v>
      </c>
      <c r="C58" s="469" t="s">
        <v>337</v>
      </c>
      <c r="D58" s="510" t="s">
        <v>338</v>
      </c>
      <c r="E58" s="469" t="s">
        <v>391</v>
      </c>
      <c r="F58" s="510" t="s">
        <v>392</v>
      </c>
      <c r="G58" s="469" t="s">
        <v>445</v>
      </c>
      <c r="H58" s="469" t="s">
        <v>446</v>
      </c>
      <c r="I58" s="500">
        <v>1.1499999761581421</v>
      </c>
      <c r="J58" s="500">
        <v>740</v>
      </c>
      <c r="K58" s="501">
        <v>851</v>
      </c>
    </row>
    <row r="59" spans="1:11" ht="14.45" customHeight="1" x14ac:dyDescent="0.2">
      <c r="A59" s="465" t="s">
        <v>298</v>
      </c>
      <c r="B59" s="466" t="s">
        <v>327</v>
      </c>
      <c r="C59" s="469" t="s">
        <v>337</v>
      </c>
      <c r="D59" s="510" t="s">
        <v>338</v>
      </c>
      <c r="E59" s="469" t="s">
        <v>391</v>
      </c>
      <c r="F59" s="510" t="s">
        <v>392</v>
      </c>
      <c r="G59" s="469" t="s">
        <v>447</v>
      </c>
      <c r="H59" s="469" t="s">
        <v>448</v>
      </c>
      <c r="I59" s="500">
        <v>1.1399999856948853</v>
      </c>
      <c r="J59" s="500">
        <v>800</v>
      </c>
      <c r="K59" s="501">
        <v>912</v>
      </c>
    </row>
    <row r="60" spans="1:11" ht="14.45" customHeight="1" x14ac:dyDescent="0.2">
      <c r="A60" s="465" t="s">
        <v>298</v>
      </c>
      <c r="B60" s="466" t="s">
        <v>327</v>
      </c>
      <c r="C60" s="469" t="s">
        <v>337</v>
      </c>
      <c r="D60" s="510" t="s">
        <v>338</v>
      </c>
      <c r="E60" s="469" t="s">
        <v>391</v>
      </c>
      <c r="F60" s="510" t="s">
        <v>392</v>
      </c>
      <c r="G60" s="469" t="s">
        <v>449</v>
      </c>
      <c r="H60" s="469" t="s">
        <v>450</v>
      </c>
      <c r="I60" s="500">
        <v>0.56499999761581421</v>
      </c>
      <c r="J60" s="500">
        <v>200</v>
      </c>
      <c r="K60" s="501">
        <v>113</v>
      </c>
    </row>
    <row r="61" spans="1:11" ht="14.45" customHeight="1" x14ac:dyDescent="0.2">
      <c r="A61" s="465" t="s">
        <v>298</v>
      </c>
      <c r="B61" s="466" t="s">
        <v>327</v>
      </c>
      <c r="C61" s="469" t="s">
        <v>337</v>
      </c>
      <c r="D61" s="510" t="s">
        <v>338</v>
      </c>
      <c r="E61" s="469" t="s">
        <v>391</v>
      </c>
      <c r="F61" s="510" t="s">
        <v>392</v>
      </c>
      <c r="G61" s="469" t="s">
        <v>451</v>
      </c>
      <c r="H61" s="469" t="s">
        <v>452</v>
      </c>
      <c r="I61" s="500">
        <v>0.58499997854232788</v>
      </c>
      <c r="J61" s="500">
        <v>200</v>
      </c>
      <c r="K61" s="501">
        <v>117</v>
      </c>
    </row>
    <row r="62" spans="1:11" ht="14.45" customHeight="1" x14ac:dyDescent="0.2">
      <c r="A62" s="465" t="s">
        <v>298</v>
      </c>
      <c r="B62" s="466" t="s">
        <v>327</v>
      </c>
      <c r="C62" s="469" t="s">
        <v>337</v>
      </c>
      <c r="D62" s="510" t="s">
        <v>338</v>
      </c>
      <c r="E62" s="469" t="s">
        <v>391</v>
      </c>
      <c r="F62" s="510" t="s">
        <v>392</v>
      </c>
      <c r="G62" s="469" t="s">
        <v>453</v>
      </c>
      <c r="H62" s="469" t="s">
        <v>454</v>
      </c>
      <c r="I62" s="500">
        <v>2.119999885559082</v>
      </c>
      <c r="J62" s="500">
        <v>100</v>
      </c>
      <c r="K62" s="501">
        <v>212</v>
      </c>
    </row>
    <row r="63" spans="1:11" ht="14.45" customHeight="1" x14ac:dyDescent="0.2">
      <c r="A63" s="465" t="s">
        <v>298</v>
      </c>
      <c r="B63" s="466" t="s">
        <v>327</v>
      </c>
      <c r="C63" s="469" t="s">
        <v>337</v>
      </c>
      <c r="D63" s="510" t="s">
        <v>338</v>
      </c>
      <c r="E63" s="469" t="s">
        <v>391</v>
      </c>
      <c r="F63" s="510" t="s">
        <v>392</v>
      </c>
      <c r="G63" s="469" t="s">
        <v>455</v>
      </c>
      <c r="H63" s="469" t="s">
        <v>456</v>
      </c>
      <c r="I63" s="500">
        <v>2.3599998950958252</v>
      </c>
      <c r="J63" s="500">
        <v>90</v>
      </c>
      <c r="K63" s="501">
        <v>212.40000915527344</v>
      </c>
    </row>
    <row r="64" spans="1:11" ht="14.45" customHeight="1" x14ac:dyDescent="0.2">
      <c r="A64" s="465" t="s">
        <v>298</v>
      </c>
      <c r="B64" s="466" t="s">
        <v>327</v>
      </c>
      <c r="C64" s="469" t="s">
        <v>337</v>
      </c>
      <c r="D64" s="510" t="s">
        <v>338</v>
      </c>
      <c r="E64" s="469" t="s">
        <v>391</v>
      </c>
      <c r="F64" s="510" t="s">
        <v>392</v>
      </c>
      <c r="G64" s="469" t="s">
        <v>457</v>
      </c>
      <c r="H64" s="469" t="s">
        <v>458</v>
      </c>
      <c r="I64" s="500">
        <v>2.2200000286102295</v>
      </c>
      <c r="J64" s="500">
        <v>60</v>
      </c>
      <c r="K64" s="501">
        <v>133.19999694824219</v>
      </c>
    </row>
    <row r="65" spans="1:11" ht="14.45" customHeight="1" x14ac:dyDescent="0.2">
      <c r="A65" s="465" t="s">
        <v>298</v>
      </c>
      <c r="B65" s="466" t="s">
        <v>327</v>
      </c>
      <c r="C65" s="469" t="s">
        <v>337</v>
      </c>
      <c r="D65" s="510" t="s">
        <v>338</v>
      </c>
      <c r="E65" s="469" t="s">
        <v>391</v>
      </c>
      <c r="F65" s="510" t="s">
        <v>392</v>
      </c>
      <c r="G65" s="469" t="s">
        <v>459</v>
      </c>
      <c r="H65" s="469" t="s">
        <v>460</v>
      </c>
      <c r="I65" s="500">
        <v>5.5666667620340986</v>
      </c>
      <c r="J65" s="500">
        <v>270</v>
      </c>
      <c r="K65" s="501">
        <v>1502.9000244140625</v>
      </c>
    </row>
    <row r="66" spans="1:11" ht="14.45" customHeight="1" x14ac:dyDescent="0.2">
      <c r="A66" s="465" t="s">
        <v>298</v>
      </c>
      <c r="B66" s="466" t="s">
        <v>327</v>
      </c>
      <c r="C66" s="469" t="s">
        <v>337</v>
      </c>
      <c r="D66" s="510" t="s">
        <v>338</v>
      </c>
      <c r="E66" s="469" t="s">
        <v>391</v>
      </c>
      <c r="F66" s="510" t="s">
        <v>392</v>
      </c>
      <c r="G66" s="469" t="s">
        <v>461</v>
      </c>
      <c r="H66" s="469" t="s">
        <v>462</v>
      </c>
      <c r="I66" s="500">
        <v>31.940000534057617</v>
      </c>
      <c r="J66" s="500">
        <v>50</v>
      </c>
      <c r="K66" s="501">
        <v>1597.199951171875</v>
      </c>
    </row>
    <row r="67" spans="1:11" ht="14.45" customHeight="1" x14ac:dyDescent="0.2">
      <c r="A67" s="465" t="s">
        <v>298</v>
      </c>
      <c r="B67" s="466" t="s">
        <v>327</v>
      </c>
      <c r="C67" s="469" t="s">
        <v>337</v>
      </c>
      <c r="D67" s="510" t="s">
        <v>338</v>
      </c>
      <c r="E67" s="469" t="s">
        <v>391</v>
      </c>
      <c r="F67" s="510" t="s">
        <v>392</v>
      </c>
      <c r="G67" s="469" t="s">
        <v>463</v>
      </c>
      <c r="H67" s="469" t="s">
        <v>464</v>
      </c>
      <c r="I67" s="500">
        <v>0.4699999988079071</v>
      </c>
      <c r="J67" s="500">
        <v>100</v>
      </c>
      <c r="K67" s="501">
        <v>47</v>
      </c>
    </row>
    <row r="68" spans="1:11" ht="14.45" customHeight="1" x14ac:dyDescent="0.2">
      <c r="A68" s="465" t="s">
        <v>298</v>
      </c>
      <c r="B68" s="466" t="s">
        <v>327</v>
      </c>
      <c r="C68" s="469" t="s">
        <v>337</v>
      </c>
      <c r="D68" s="510" t="s">
        <v>338</v>
      </c>
      <c r="E68" s="469" t="s">
        <v>465</v>
      </c>
      <c r="F68" s="510" t="s">
        <v>466</v>
      </c>
      <c r="G68" s="469" t="s">
        <v>467</v>
      </c>
      <c r="H68" s="469" t="s">
        <v>468</v>
      </c>
      <c r="I68" s="500">
        <v>183.01199645996093</v>
      </c>
      <c r="J68" s="500">
        <v>555</v>
      </c>
      <c r="K68" s="501">
        <v>101571.95849609375</v>
      </c>
    </row>
    <row r="69" spans="1:11" ht="14.45" customHeight="1" x14ac:dyDescent="0.2">
      <c r="A69" s="465" t="s">
        <v>298</v>
      </c>
      <c r="B69" s="466" t="s">
        <v>327</v>
      </c>
      <c r="C69" s="469" t="s">
        <v>337</v>
      </c>
      <c r="D69" s="510" t="s">
        <v>338</v>
      </c>
      <c r="E69" s="469" t="s">
        <v>465</v>
      </c>
      <c r="F69" s="510" t="s">
        <v>466</v>
      </c>
      <c r="G69" s="469" t="s">
        <v>469</v>
      </c>
      <c r="H69" s="469" t="s">
        <v>470</v>
      </c>
      <c r="I69" s="500">
        <v>27.38370340841788</v>
      </c>
      <c r="J69" s="500">
        <v>2760</v>
      </c>
      <c r="K69" s="501">
        <v>74261.589881896973</v>
      </c>
    </row>
    <row r="70" spans="1:11" ht="14.45" customHeight="1" x14ac:dyDescent="0.2">
      <c r="A70" s="465" t="s">
        <v>298</v>
      </c>
      <c r="B70" s="466" t="s">
        <v>327</v>
      </c>
      <c r="C70" s="469" t="s">
        <v>337</v>
      </c>
      <c r="D70" s="510" t="s">
        <v>338</v>
      </c>
      <c r="E70" s="469" t="s">
        <v>465</v>
      </c>
      <c r="F70" s="510" t="s">
        <v>466</v>
      </c>
      <c r="G70" s="469" t="s">
        <v>471</v>
      </c>
      <c r="H70" s="469" t="s">
        <v>472</v>
      </c>
      <c r="I70" s="500">
        <v>9.3276335519688729</v>
      </c>
      <c r="J70" s="500">
        <v>7790</v>
      </c>
      <c r="K70" s="501">
        <v>79172.599274635315</v>
      </c>
    </row>
    <row r="71" spans="1:11" ht="14.45" customHeight="1" x14ac:dyDescent="0.2">
      <c r="A71" s="465" t="s">
        <v>298</v>
      </c>
      <c r="B71" s="466" t="s">
        <v>327</v>
      </c>
      <c r="C71" s="469" t="s">
        <v>337</v>
      </c>
      <c r="D71" s="510" t="s">
        <v>338</v>
      </c>
      <c r="E71" s="469" t="s">
        <v>465</v>
      </c>
      <c r="F71" s="510" t="s">
        <v>466</v>
      </c>
      <c r="G71" s="469" t="s">
        <v>473</v>
      </c>
      <c r="H71" s="469" t="s">
        <v>474</v>
      </c>
      <c r="I71" s="500">
        <v>424.81040161132813</v>
      </c>
      <c r="J71" s="500">
        <v>1000</v>
      </c>
      <c r="K71" s="501">
        <v>423953.0244140625</v>
      </c>
    </row>
    <row r="72" spans="1:11" ht="14.45" customHeight="1" x14ac:dyDescent="0.2">
      <c r="A72" s="465" t="s">
        <v>298</v>
      </c>
      <c r="B72" s="466" t="s">
        <v>327</v>
      </c>
      <c r="C72" s="469" t="s">
        <v>337</v>
      </c>
      <c r="D72" s="510" t="s">
        <v>338</v>
      </c>
      <c r="E72" s="469" t="s">
        <v>465</v>
      </c>
      <c r="F72" s="510" t="s">
        <v>466</v>
      </c>
      <c r="G72" s="469" t="s">
        <v>475</v>
      </c>
      <c r="H72" s="469" t="s">
        <v>476</v>
      </c>
      <c r="I72" s="500">
        <v>56.736667633056641</v>
      </c>
      <c r="J72" s="500">
        <v>390</v>
      </c>
      <c r="K72" s="501">
        <v>22127.210327148438</v>
      </c>
    </row>
    <row r="73" spans="1:11" ht="14.45" customHeight="1" x14ac:dyDescent="0.2">
      <c r="A73" s="465" t="s">
        <v>298</v>
      </c>
      <c r="B73" s="466" t="s">
        <v>327</v>
      </c>
      <c r="C73" s="469" t="s">
        <v>337</v>
      </c>
      <c r="D73" s="510" t="s">
        <v>338</v>
      </c>
      <c r="E73" s="469" t="s">
        <v>465</v>
      </c>
      <c r="F73" s="510" t="s">
        <v>466</v>
      </c>
      <c r="G73" s="469" t="s">
        <v>477</v>
      </c>
      <c r="H73" s="469" t="s">
        <v>478</v>
      </c>
      <c r="I73" s="500">
        <v>7.7439998626708988</v>
      </c>
      <c r="J73" s="500">
        <v>250</v>
      </c>
      <c r="K73" s="501">
        <v>1936.5999908447266</v>
      </c>
    </row>
    <row r="74" spans="1:11" ht="14.45" customHeight="1" x14ac:dyDescent="0.2">
      <c r="A74" s="465" t="s">
        <v>298</v>
      </c>
      <c r="B74" s="466" t="s">
        <v>327</v>
      </c>
      <c r="C74" s="469" t="s">
        <v>337</v>
      </c>
      <c r="D74" s="510" t="s">
        <v>338</v>
      </c>
      <c r="E74" s="469" t="s">
        <v>479</v>
      </c>
      <c r="F74" s="510" t="s">
        <v>480</v>
      </c>
      <c r="G74" s="469" t="s">
        <v>481</v>
      </c>
      <c r="H74" s="469" t="s">
        <v>482</v>
      </c>
      <c r="I74" s="500">
        <v>125.47643116542271</v>
      </c>
      <c r="J74" s="500">
        <v>168</v>
      </c>
      <c r="K74" s="501">
        <v>21080.119750976563</v>
      </c>
    </row>
    <row r="75" spans="1:11" ht="14.45" customHeight="1" x14ac:dyDescent="0.2">
      <c r="A75" s="465" t="s">
        <v>298</v>
      </c>
      <c r="B75" s="466" t="s">
        <v>327</v>
      </c>
      <c r="C75" s="469" t="s">
        <v>337</v>
      </c>
      <c r="D75" s="510" t="s">
        <v>338</v>
      </c>
      <c r="E75" s="469" t="s">
        <v>479</v>
      </c>
      <c r="F75" s="510" t="s">
        <v>480</v>
      </c>
      <c r="G75" s="469" t="s">
        <v>483</v>
      </c>
      <c r="H75" s="469" t="s">
        <v>484</v>
      </c>
      <c r="I75" s="500">
        <v>0.54391027413881743</v>
      </c>
      <c r="J75" s="500">
        <v>17500</v>
      </c>
      <c r="K75" s="501">
        <v>9530.8800201416016</v>
      </c>
    </row>
    <row r="76" spans="1:11" ht="14.45" customHeight="1" x14ac:dyDescent="0.2">
      <c r="A76" s="465" t="s">
        <v>298</v>
      </c>
      <c r="B76" s="466" t="s">
        <v>327</v>
      </c>
      <c r="C76" s="469" t="s">
        <v>337</v>
      </c>
      <c r="D76" s="510" t="s">
        <v>338</v>
      </c>
      <c r="E76" s="469" t="s">
        <v>479</v>
      </c>
      <c r="F76" s="510" t="s">
        <v>480</v>
      </c>
      <c r="G76" s="469" t="s">
        <v>485</v>
      </c>
      <c r="H76" s="469" t="s">
        <v>486</v>
      </c>
      <c r="I76" s="500">
        <v>139.9977789984809</v>
      </c>
      <c r="J76" s="500">
        <v>135</v>
      </c>
      <c r="K76" s="501">
        <v>18899.649658203125</v>
      </c>
    </row>
    <row r="77" spans="1:11" ht="14.45" customHeight="1" x14ac:dyDescent="0.2">
      <c r="A77" s="465" t="s">
        <v>298</v>
      </c>
      <c r="B77" s="466" t="s">
        <v>327</v>
      </c>
      <c r="C77" s="469" t="s">
        <v>337</v>
      </c>
      <c r="D77" s="510" t="s">
        <v>338</v>
      </c>
      <c r="E77" s="469" t="s">
        <v>479</v>
      </c>
      <c r="F77" s="510" t="s">
        <v>480</v>
      </c>
      <c r="G77" s="469" t="s">
        <v>487</v>
      </c>
      <c r="H77" s="469" t="s">
        <v>488</v>
      </c>
      <c r="I77" s="500">
        <v>140</v>
      </c>
      <c r="J77" s="500">
        <v>30</v>
      </c>
      <c r="K77" s="501">
        <v>4199.919921875</v>
      </c>
    </row>
    <row r="78" spans="1:11" ht="14.45" customHeight="1" x14ac:dyDescent="0.2">
      <c r="A78" s="465" t="s">
        <v>298</v>
      </c>
      <c r="B78" s="466" t="s">
        <v>327</v>
      </c>
      <c r="C78" s="469" t="s">
        <v>337</v>
      </c>
      <c r="D78" s="510" t="s">
        <v>338</v>
      </c>
      <c r="E78" s="469" t="s">
        <v>489</v>
      </c>
      <c r="F78" s="510" t="s">
        <v>490</v>
      </c>
      <c r="G78" s="469" t="s">
        <v>491</v>
      </c>
      <c r="H78" s="469" t="s">
        <v>492</v>
      </c>
      <c r="I78" s="500">
        <v>13.693999862670898</v>
      </c>
      <c r="J78" s="500">
        <v>250</v>
      </c>
      <c r="K78" s="501">
        <v>3423.5</v>
      </c>
    </row>
    <row r="79" spans="1:11" ht="14.45" customHeight="1" x14ac:dyDescent="0.2">
      <c r="A79" s="465" t="s">
        <v>298</v>
      </c>
      <c r="B79" s="466" t="s">
        <v>327</v>
      </c>
      <c r="C79" s="469" t="s">
        <v>337</v>
      </c>
      <c r="D79" s="510" t="s">
        <v>338</v>
      </c>
      <c r="E79" s="469" t="s">
        <v>489</v>
      </c>
      <c r="F79" s="510" t="s">
        <v>490</v>
      </c>
      <c r="G79" s="469" t="s">
        <v>493</v>
      </c>
      <c r="H79" s="469" t="s">
        <v>494</v>
      </c>
      <c r="I79" s="500">
        <v>13.720109646136944</v>
      </c>
      <c r="J79" s="500">
        <v>5850</v>
      </c>
      <c r="K79" s="501">
        <v>80280.929931640625</v>
      </c>
    </row>
    <row r="80" spans="1:11" ht="14.45" customHeight="1" x14ac:dyDescent="0.2">
      <c r="A80" s="465" t="s">
        <v>298</v>
      </c>
      <c r="B80" s="466" t="s">
        <v>327</v>
      </c>
      <c r="C80" s="469" t="s">
        <v>337</v>
      </c>
      <c r="D80" s="510" t="s">
        <v>338</v>
      </c>
      <c r="E80" s="469" t="s">
        <v>489</v>
      </c>
      <c r="F80" s="510" t="s">
        <v>490</v>
      </c>
      <c r="G80" s="469" t="s">
        <v>495</v>
      </c>
      <c r="H80" s="469" t="s">
        <v>496</v>
      </c>
      <c r="I80" s="500">
        <v>13.552820548033102</v>
      </c>
      <c r="J80" s="500">
        <v>2101</v>
      </c>
      <c r="K80" s="501">
        <v>28500.989999771118</v>
      </c>
    </row>
    <row r="81" spans="1:11" ht="14.45" customHeight="1" x14ac:dyDescent="0.2">
      <c r="A81" s="465" t="s">
        <v>298</v>
      </c>
      <c r="B81" s="466" t="s">
        <v>327</v>
      </c>
      <c r="C81" s="469" t="s">
        <v>337</v>
      </c>
      <c r="D81" s="510" t="s">
        <v>338</v>
      </c>
      <c r="E81" s="469" t="s">
        <v>489</v>
      </c>
      <c r="F81" s="510" t="s">
        <v>490</v>
      </c>
      <c r="G81" s="469" t="s">
        <v>497</v>
      </c>
      <c r="H81" s="469" t="s">
        <v>498</v>
      </c>
      <c r="I81" s="500">
        <v>8.7783333460489903</v>
      </c>
      <c r="J81" s="500">
        <v>350</v>
      </c>
      <c r="K81" s="501">
        <v>3242</v>
      </c>
    </row>
    <row r="82" spans="1:11" ht="14.45" customHeight="1" x14ac:dyDescent="0.2">
      <c r="A82" s="465" t="s">
        <v>298</v>
      </c>
      <c r="B82" s="466" t="s">
        <v>327</v>
      </c>
      <c r="C82" s="469" t="s">
        <v>337</v>
      </c>
      <c r="D82" s="510" t="s">
        <v>338</v>
      </c>
      <c r="E82" s="469" t="s">
        <v>489</v>
      </c>
      <c r="F82" s="510" t="s">
        <v>490</v>
      </c>
      <c r="G82" s="469" t="s">
        <v>499</v>
      </c>
      <c r="H82" s="469" t="s">
        <v>500</v>
      </c>
      <c r="I82" s="500">
        <v>2.8739999771118163</v>
      </c>
      <c r="J82" s="500">
        <v>500</v>
      </c>
      <c r="K82" s="501">
        <v>1437</v>
      </c>
    </row>
    <row r="83" spans="1:11" ht="14.45" customHeight="1" x14ac:dyDescent="0.2">
      <c r="A83" s="465" t="s">
        <v>298</v>
      </c>
      <c r="B83" s="466" t="s">
        <v>327</v>
      </c>
      <c r="C83" s="469" t="s">
        <v>337</v>
      </c>
      <c r="D83" s="510" t="s">
        <v>338</v>
      </c>
      <c r="E83" s="469" t="s">
        <v>489</v>
      </c>
      <c r="F83" s="510" t="s">
        <v>490</v>
      </c>
      <c r="G83" s="469" t="s">
        <v>501</v>
      </c>
      <c r="H83" s="469" t="s">
        <v>502</v>
      </c>
      <c r="I83" s="500">
        <v>2.8878948437540153</v>
      </c>
      <c r="J83" s="500">
        <v>3300</v>
      </c>
      <c r="K83" s="501">
        <v>9533</v>
      </c>
    </row>
    <row r="84" spans="1:11" ht="14.45" customHeight="1" x14ac:dyDescent="0.2">
      <c r="A84" s="465" t="s">
        <v>298</v>
      </c>
      <c r="B84" s="466" t="s">
        <v>327</v>
      </c>
      <c r="C84" s="469" t="s">
        <v>337</v>
      </c>
      <c r="D84" s="510" t="s">
        <v>338</v>
      </c>
      <c r="E84" s="469" t="s">
        <v>489</v>
      </c>
      <c r="F84" s="510" t="s">
        <v>490</v>
      </c>
      <c r="G84" s="469" t="s">
        <v>503</v>
      </c>
      <c r="H84" s="469" t="s">
        <v>504</v>
      </c>
      <c r="I84" s="500">
        <v>2.2999999523162842</v>
      </c>
      <c r="J84" s="500">
        <v>2800</v>
      </c>
      <c r="K84" s="501">
        <v>6440</v>
      </c>
    </row>
    <row r="85" spans="1:11" ht="14.45" customHeight="1" x14ac:dyDescent="0.2">
      <c r="A85" s="465" t="s">
        <v>298</v>
      </c>
      <c r="B85" s="466" t="s">
        <v>327</v>
      </c>
      <c r="C85" s="469" t="s">
        <v>337</v>
      </c>
      <c r="D85" s="510" t="s">
        <v>338</v>
      </c>
      <c r="E85" s="469" t="s">
        <v>489</v>
      </c>
      <c r="F85" s="510" t="s">
        <v>490</v>
      </c>
      <c r="G85" s="469" t="s">
        <v>503</v>
      </c>
      <c r="H85" s="469" t="s">
        <v>505</v>
      </c>
      <c r="I85" s="500">
        <v>2.2999999523162842</v>
      </c>
      <c r="J85" s="500">
        <v>1300</v>
      </c>
      <c r="K85" s="501">
        <v>2990</v>
      </c>
    </row>
    <row r="86" spans="1:11" ht="14.45" customHeight="1" x14ac:dyDescent="0.2">
      <c r="A86" s="465" t="s">
        <v>298</v>
      </c>
      <c r="B86" s="466" t="s">
        <v>327</v>
      </c>
      <c r="C86" s="469" t="s">
        <v>337</v>
      </c>
      <c r="D86" s="510" t="s">
        <v>338</v>
      </c>
      <c r="E86" s="469" t="s">
        <v>489</v>
      </c>
      <c r="F86" s="510" t="s">
        <v>490</v>
      </c>
      <c r="G86" s="469" t="s">
        <v>506</v>
      </c>
      <c r="H86" s="469" t="s">
        <v>507</v>
      </c>
      <c r="I86" s="500">
        <v>3.3900001049041748</v>
      </c>
      <c r="J86" s="500">
        <v>200</v>
      </c>
      <c r="K86" s="501">
        <v>678</v>
      </c>
    </row>
    <row r="87" spans="1:11" ht="14.45" customHeight="1" x14ac:dyDescent="0.2">
      <c r="A87" s="465" t="s">
        <v>298</v>
      </c>
      <c r="B87" s="466" t="s">
        <v>327</v>
      </c>
      <c r="C87" s="469" t="s">
        <v>337</v>
      </c>
      <c r="D87" s="510" t="s">
        <v>338</v>
      </c>
      <c r="E87" s="469" t="s">
        <v>489</v>
      </c>
      <c r="F87" s="510" t="s">
        <v>490</v>
      </c>
      <c r="G87" s="469" t="s">
        <v>508</v>
      </c>
      <c r="H87" s="469" t="s">
        <v>509</v>
      </c>
      <c r="I87" s="500">
        <v>3.3900001049041748</v>
      </c>
      <c r="J87" s="500">
        <v>1000</v>
      </c>
      <c r="K87" s="501">
        <v>3390</v>
      </c>
    </row>
    <row r="88" spans="1:11" ht="14.45" customHeight="1" x14ac:dyDescent="0.2">
      <c r="A88" s="465" t="s">
        <v>298</v>
      </c>
      <c r="B88" s="466" t="s">
        <v>327</v>
      </c>
      <c r="C88" s="469" t="s">
        <v>337</v>
      </c>
      <c r="D88" s="510" t="s">
        <v>338</v>
      </c>
      <c r="E88" s="469" t="s">
        <v>489</v>
      </c>
      <c r="F88" s="510" t="s">
        <v>490</v>
      </c>
      <c r="G88" s="469" t="s">
        <v>510</v>
      </c>
      <c r="H88" s="469" t="s">
        <v>511</v>
      </c>
      <c r="I88" s="500">
        <v>3.0299999713897705</v>
      </c>
      <c r="J88" s="500">
        <v>100</v>
      </c>
      <c r="K88" s="501">
        <v>303</v>
      </c>
    </row>
    <row r="89" spans="1:11" ht="14.45" customHeight="1" x14ac:dyDescent="0.2">
      <c r="A89" s="465" t="s">
        <v>298</v>
      </c>
      <c r="B89" s="466" t="s">
        <v>327</v>
      </c>
      <c r="C89" s="469" t="s">
        <v>337</v>
      </c>
      <c r="D89" s="510" t="s">
        <v>338</v>
      </c>
      <c r="E89" s="469" t="s">
        <v>489</v>
      </c>
      <c r="F89" s="510" t="s">
        <v>490</v>
      </c>
      <c r="G89" s="469" t="s">
        <v>512</v>
      </c>
      <c r="H89" s="469" t="s">
        <v>513</v>
      </c>
      <c r="I89" s="500">
        <v>3.0199999809265137</v>
      </c>
      <c r="J89" s="500">
        <v>500</v>
      </c>
      <c r="K89" s="501">
        <v>1510</v>
      </c>
    </row>
    <row r="90" spans="1:11" ht="14.45" customHeight="1" x14ac:dyDescent="0.2">
      <c r="A90" s="465" t="s">
        <v>298</v>
      </c>
      <c r="B90" s="466" t="s">
        <v>327</v>
      </c>
      <c r="C90" s="469" t="s">
        <v>337</v>
      </c>
      <c r="D90" s="510" t="s">
        <v>338</v>
      </c>
      <c r="E90" s="469" t="s">
        <v>489</v>
      </c>
      <c r="F90" s="510" t="s">
        <v>490</v>
      </c>
      <c r="G90" s="469" t="s">
        <v>514</v>
      </c>
      <c r="H90" s="469" t="s">
        <v>515</v>
      </c>
      <c r="I90" s="500">
        <v>4.8299999237060547</v>
      </c>
      <c r="J90" s="500">
        <v>200</v>
      </c>
      <c r="K90" s="501">
        <v>966</v>
      </c>
    </row>
    <row r="91" spans="1:11" ht="14.45" customHeight="1" x14ac:dyDescent="0.2">
      <c r="A91" s="465" t="s">
        <v>298</v>
      </c>
      <c r="B91" s="466" t="s">
        <v>327</v>
      </c>
      <c r="C91" s="469" t="s">
        <v>337</v>
      </c>
      <c r="D91" s="510" t="s">
        <v>338</v>
      </c>
      <c r="E91" s="469" t="s">
        <v>489</v>
      </c>
      <c r="F91" s="510" t="s">
        <v>490</v>
      </c>
      <c r="G91" s="469" t="s">
        <v>516</v>
      </c>
      <c r="H91" s="469" t="s">
        <v>517</v>
      </c>
      <c r="I91" s="500">
        <v>3.0249999761581421</v>
      </c>
      <c r="J91" s="500">
        <v>1700</v>
      </c>
      <c r="K91" s="501">
        <v>5145.89990234375</v>
      </c>
    </row>
    <row r="92" spans="1:11" ht="14.45" customHeight="1" x14ac:dyDescent="0.2">
      <c r="A92" s="465" t="s">
        <v>298</v>
      </c>
      <c r="B92" s="466" t="s">
        <v>327</v>
      </c>
      <c r="C92" s="469" t="s">
        <v>337</v>
      </c>
      <c r="D92" s="510" t="s">
        <v>338</v>
      </c>
      <c r="E92" s="469" t="s">
        <v>489</v>
      </c>
      <c r="F92" s="510" t="s">
        <v>490</v>
      </c>
      <c r="G92" s="469" t="s">
        <v>518</v>
      </c>
      <c r="H92" s="469" t="s">
        <v>519</v>
      </c>
      <c r="I92" s="500">
        <v>3.7300000190734863</v>
      </c>
      <c r="J92" s="500">
        <v>1400</v>
      </c>
      <c r="K92" s="501">
        <v>5222</v>
      </c>
    </row>
    <row r="93" spans="1:11" ht="14.45" customHeight="1" x14ac:dyDescent="0.2">
      <c r="A93" s="465" t="s">
        <v>298</v>
      </c>
      <c r="B93" s="466" t="s">
        <v>327</v>
      </c>
      <c r="C93" s="469" t="s">
        <v>337</v>
      </c>
      <c r="D93" s="510" t="s">
        <v>338</v>
      </c>
      <c r="E93" s="469" t="s">
        <v>489</v>
      </c>
      <c r="F93" s="510" t="s">
        <v>490</v>
      </c>
      <c r="G93" s="469" t="s">
        <v>520</v>
      </c>
      <c r="H93" s="469" t="s">
        <v>521</v>
      </c>
      <c r="I93" s="500">
        <v>3.869999885559082</v>
      </c>
      <c r="J93" s="500">
        <v>800</v>
      </c>
      <c r="K93" s="501">
        <v>3096</v>
      </c>
    </row>
    <row r="94" spans="1:11" ht="14.45" customHeight="1" x14ac:dyDescent="0.2">
      <c r="A94" s="465" t="s">
        <v>298</v>
      </c>
      <c r="B94" s="466" t="s">
        <v>327</v>
      </c>
      <c r="C94" s="469" t="s">
        <v>337</v>
      </c>
      <c r="D94" s="510" t="s">
        <v>338</v>
      </c>
      <c r="E94" s="469" t="s">
        <v>489</v>
      </c>
      <c r="F94" s="510" t="s">
        <v>490</v>
      </c>
      <c r="G94" s="469" t="s">
        <v>522</v>
      </c>
      <c r="H94" s="469" t="s">
        <v>523</v>
      </c>
      <c r="I94" s="500">
        <v>3.869999885559082</v>
      </c>
      <c r="J94" s="500">
        <v>2100</v>
      </c>
      <c r="K94" s="501">
        <v>8127</v>
      </c>
    </row>
    <row r="95" spans="1:11" ht="14.45" customHeight="1" x14ac:dyDescent="0.2">
      <c r="A95" s="465" t="s">
        <v>298</v>
      </c>
      <c r="B95" s="466" t="s">
        <v>327</v>
      </c>
      <c r="C95" s="469" t="s">
        <v>337</v>
      </c>
      <c r="D95" s="510" t="s">
        <v>338</v>
      </c>
      <c r="E95" s="469" t="s">
        <v>489</v>
      </c>
      <c r="F95" s="510" t="s">
        <v>490</v>
      </c>
      <c r="G95" s="469" t="s">
        <v>522</v>
      </c>
      <c r="H95" s="469" t="s">
        <v>524</v>
      </c>
      <c r="I95" s="500">
        <v>3.869999885559082</v>
      </c>
      <c r="J95" s="500">
        <v>1900</v>
      </c>
      <c r="K95" s="501">
        <v>7353</v>
      </c>
    </row>
    <row r="96" spans="1:11" ht="14.45" customHeight="1" x14ac:dyDescent="0.2">
      <c r="A96" s="465" t="s">
        <v>298</v>
      </c>
      <c r="B96" s="466" t="s">
        <v>327</v>
      </c>
      <c r="C96" s="469" t="s">
        <v>337</v>
      </c>
      <c r="D96" s="510" t="s">
        <v>338</v>
      </c>
      <c r="E96" s="469" t="s">
        <v>489</v>
      </c>
      <c r="F96" s="510" t="s">
        <v>490</v>
      </c>
      <c r="G96" s="469" t="s">
        <v>525</v>
      </c>
      <c r="H96" s="469" t="s">
        <v>526</v>
      </c>
      <c r="I96" s="500">
        <v>3.1500000953674316</v>
      </c>
      <c r="J96" s="500">
        <v>500</v>
      </c>
      <c r="K96" s="501">
        <v>1575</v>
      </c>
    </row>
    <row r="97" spans="1:11" ht="14.45" customHeight="1" x14ac:dyDescent="0.2">
      <c r="A97" s="465" t="s">
        <v>298</v>
      </c>
      <c r="B97" s="466" t="s">
        <v>327</v>
      </c>
      <c r="C97" s="469" t="s">
        <v>337</v>
      </c>
      <c r="D97" s="510" t="s">
        <v>338</v>
      </c>
      <c r="E97" s="469" t="s">
        <v>489</v>
      </c>
      <c r="F97" s="510" t="s">
        <v>490</v>
      </c>
      <c r="G97" s="469" t="s">
        <v>527</v>
      </c>
      <c r="H97" s="469" t="s">
        <v>528</v>
      </c>
      <c r="I97" s="500">
        <v>2.8181817531585693</v>
      </c>
      <c r="J97" s="500">
        <v>2200</v>
      </c>
      <c r="K97" s="501">
        <v>6200</v>
      </c>
    </row>
    <row r="98" spans="1:11" ht="14.45" customHeight="1" x14ac:dyDescent="0.2">
      <c r="A98" s="465" t="s">
        <v>298</v>
      </c>
      <c r="B98" s="466" t="s">
        <v>327</v>
      </c>
      <c r="C98" s="469" t="s">
        <v>337</v>
      </c>
      <c r="D98" s="510" t="s">
        <v>338</v>
      </c>
      <c r="E98" s="469" t="s">
        <v>489</v>
      </c>
      <c r="F98" s="510" t="s">
        <v>490</v>
      </c>
      <c r="G98" s="469" t="s">
        <v>529</v>
      </c>
      <c r="H98" s="469" t="s">
        <v>530</v>
      </c>
      <c r="I98" s="500">
        <v>4.679999828338623</v>
      </c>
      <c r="J98" s="500">
        <v>200</v>
      </c>
      <c r="K98" s="501">
        <v>936</v>
      </c>
    </row>
    <row r="99" spans="1:11" ht="14.45" customHeight="1" x14ac:dyDescent="0.2">
      <c r="A99" s="465" t="s">
        <v>298</v>
      </c>
      <c r="B99" s="466" t="s">
        <v>327</v>
      </c>
      <c r="C99" s="469" t="s">
        <v>337</v>
      </c>
      <c r="D99" s="510" t="s">
        <v>338</v>
      </c>
      <c r="E99" s="469" t="s">
        <v>489</v>
      </c>
      <c r="F99" s="510" t="s">
        <v>490</v>
      </c>
      <c r="G99" s="469" t="s">
        <v>531</v>
      </c>
      <c r="H99" s="469" t="s">
        <v>532</v>
      </c>
      <c r="I99" s="500">
        <v>3.630000114440918</v>
      </c>
      <c r="J99" s="500">
        <v>200</v>
      </c>
      <c r="K99" s="501">
        <v>726</v>
      </c>
    </row>
    <row r="100" spans="1:11" ht="14.45" customHeight="1" x14ac:dyDescent="0.2">
      <c r="A100" s="465" t="s">
        <v>298</v>
      </c>
      <c r="B100" s="466" t="s">
        <v>327</v>
      </c>
      <c r="C100" s="469" t="s">
        <v>337</v>
      </c>
      <c r="D100" s="510" t="s">
        <v>338</v>
      </c>
      <c r="E100" s="469" t="s">
        <v>533</v>
      </c>
      <c r="F100" s="510" t="s">
        <v>534</v>
      </c>
      <c r="G100" s="469" t="s">
        <v>535</v>
      </c>
      <c r="H100" s="469" t="s">
        <v>536</v>
      </c>
      <c r="I100" s="500">
        <v>2750</v>
      </c>
      <c r="J100" s="500">
        <v>1</v>
      </c>
      <c r="K100" s="501">
        <v>2750</v>
      </c>
    </row>
    <row r="101" spans="1:11" ht="14.45" customHeight="1" x14ac:dyDescent="0.2">
      <c r="A101" s="465" t="s">
        <v>298</v>
      </c>
      <c r="B101" s="466" t="s">
        <v>327</v>
      </c>
      <c r="C101" s="469" t="s">
        <v>337</v>
      </c>
      <c r="D101" s="510" t="s">
        <v>338</v>
      </c>
      <c r="E101" s="469" t="s">
        <v>533</v>
      </c>
      <c r="F101" s="510" t="s">
        <v>534</v>
      </c>
      <c r="G101" s="469" t="s">
        <v>537</v>
      </c>
      <c r="H101" s="469" t="s">
        <v>538</v>
      </c>
      <c r="I101" s="500">
        <v>4629.259765625</v>
      </c>
      <c r="J101" s="500">
        <v>4</v>
      </c>
      <c r="K101" s="501">
        <v>18517.0390625</v>
      </c>
    </row>
    <row r="102" spans="1:11" ht="14.45" customHeight="1" x14ac:dyDescent="0.2">
      <c r="A102" s="465" t="s">
        <v>298</v>
      </c>
      <c r="B102" s="466" t="s">
        <v>327</v>
      </c>
      <c r="C102" s="469" t="s">
        <v>337</v>
      </c>
      <c r="D102" s="510" t="s">
        <v>338</v>
      </c>
      <c r="E102" s="469" t="s">
        <v>539</v>
      </c>
      <c r="F102" s="510" t="s">
        <v>540</v>
      </c>
      <c r="G102" s="469" t="s">
        <v>541</v>
      </c>
      <c r="H102" s="469" t="s">
        <v>542</v>
      </c>
      <c r="I102" s="500">
        <v>0.49000000953674316</v>
      </c>
      <c r="J102" s="500">
        <v>100</v>
      </c>
      <c r="K102" s="501">
        <v>49</v>
      </c>
    </row>
    <row r="103" spans="1:11" ht="14.45" customHeight="1" thickBot="1" x14ac:dyDescent="0.25">
      <c r="A103" s="473" t="s">
        <v>298</v>
      </c>
      <c r="B103" s="474" t="s">
        <v>327</v>
      </c>
      <c r="C103" s="477" t="s">
        <v>337</v>
      </c>
      <c r="D103" s="511" t="s">
        <v>338</v>
      </c>
      <c r="E103" s="477" t="s">
        <v>539</v>
      </c>
      <c r="F103" s="511" t="s">
        <v>540</v>
      </c>
      <c r="G103" s="477" t="s">
        <v>543</v>
      </c>
      <c r="H103" s="477" t="s">
        <v>544</v>
      </c>
      <c r="I103" s="489">
        <v>1.6000000238418579</v>
      </c>
      <c r="J103" s="489">
        <v>400</v>
      </c>
      <c r="K103" s="490">
        <v>639.39999389648438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9DC0271-EC06-4B7C-94AE-3627ED4BB824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61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67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1"/>
      <c r="B2" s="232"/>
    </row>
    <row r="3" spans="1:19" x14ac:dyDescent="0.25">
      <c r="A3" s="381" t="s">
        <v>168</v>
      </c>
      <c r="B3" s="382"/>
      <c r="C3" s="383" t="s">
        <v>157</v>
      </c>
      <c r="D3" s="384"/>
      <c r="E3" s="384"/>
      <c r="F3" s="385"/>
      <c r="G3" s="386" t="s">
        <v>158</v>
      </c>
      <c r="H3" s="387"/>
      <c r="I3" s="387"/>
      <c r="J3" s="388"/>
      <c r="K3" s="389" t="s">
        <v>167</v>
      </c>
      <c r="L3" s="390"/>
      <c r="M3" s="390"/>
      <c r="N3" s="390"/>
      <c r="O3" s="391"/>
      <c r="P3" s="387" t="s">
        <v>208</v>
      </c>
      <c r="Q3" s="387"/>
      <c r="R3" s="387"/>
      <c r="S3" s="388"/>
    </row>
    <row r="4" spans="1:19" ht="15.75" thickBot="1" x14ac:dyDescent="0.3">
      <c r="A4" s="400">
        <v>2021</v>
      </c>
      <c r="B4" s="401"/>
      <c r="C4" s="402" t="s">
        <v>207</v>
      </c>
      <c r="D4" s="404" t="s">
        <v>105</v>
      </c>
      <c r="E4" s="404" t="s">
        <v>73</v>
      </c>
      <c r="F4" s="379" t="s">
        <v>66</v>
      </c>
      <c r="G4" s="394" t="s">
        <v>159</v>
      </c>
      <c r="H4" s="396" t="s">
        <v>163</v>
      </c>
      <c r="I4" s="396" t="s">
        <v>206</v>
      </c>
      <c r="J4" s="398" t="s">
        <v>160</v>
      </c>
      <c r="K4" s="376" t="s">
        <v>205</v>
      </c>
      <c r="L4" s="377"/>
      <c r="M4" s="377"/>
      <c r="N4" s="378"/>
      <c r="O4" s="379" t="s">
        <v>204</v>
      </c>
      <c r="P4" s="368" t="s">
        <v>203</v>
      </c>
      <c r="Q4" s="368" t="s">
        <v>170</v>
      </c>
      <c r="R4" s="370" t="s">
        <v>73</v>
      </c>
      <c r="S4" s="372" t="s">
        <v>169</v>
      </c>
    </row>
    <row r="5" spans="1:19" s="296" customFormat="1" ht="19.149999999999999" customHeight="1" x14ac:dyDescent="0.25">
      <c r="A5" s="374" t="s">
        <v>202</v>
      </c>
      <c r="B5" s="375"/>
      <c r="C5" s="403"/>
      <c r="D5" s="405"/>
      <c r="E5" s="405"/>
      <c r="F5" s="380"/>
      <c r="G5" s="395"/>
      <c r="H5" s="397"/>
      <c r="I5" s="397"/>
      <c r="J5" s="399"/>
      <c r="K5" s="299" t="s">
        <v>161</v>
      </c>
      <c r="L5" s="298" t="s">
        <v>162</v>
      </c>
      <c r="M5" s="298" t="s">
        <v>201</v>
      </c>
      <c r="N5" s="297" t="s">
        <v>3</v>
      </c>
      <c r="O5" s="380"/>
      <c r="P5" s="369"/>
      <c r="Q5" s="369"/>
      <c r="R5" s="371"/>
      <c r="S5" s="373"/>
    </row>
    <row r="6" spans="1:19" ht="15.75" thickBot="1" x14ac:dyDescent="0.3">
      <c r="A6" s="392" t="s">
        <v>156</v>
      </c>
      <c r="B6" s="393"/>
      <c r="C6" s="295" t="e">
        <f ca="1">SUM(Tabulka[01 uv_sk])/2</f>
        <v>#REF!</v>
      </c>
      <c r="D6" s="293"/>
      <c r="E6" s="293"/>
      <c r="F6" s="292"/>
      <c r="G6" s="294" t="e">
        <f ca="1">SUM(Tabulka[05 h_vram])/2</f>
        <v>#REF!</v>
      </c>
      <c r="H6" s="293" t="e">
        <f ca="1">SUM(Tabulka[06 h_naduv])/2</f>
        <v>#REF!</v>
      </c>
      <c r="I6" s="293" t="e">
        <f ca="1">SUM(Tabulka[07 h_nadzk])/2</f>
        <v>#REF!</v>
      </c>
      <c r="J6" s="292" t="e">
        <f ca="1">SUM(Tabulka[08 h_oon])/2</f>
        <v>#REF!</v>
      </c>
      <c r="K6" s="294" t="e">
        <f ca="1">SUM(Tabulka[09 m_kl])/2</f>
        <v>#REF!</v>
      </c>
      <c r="L6" s="293" t="e">
        <f ca="1">SUM(Tabulka[10 m_gr])/2</f>
        <v>#REF!</v>
      </c>
      <c r="M6" s="293" t="e">
        <f ca="1">SUM(Tabulka[11 m_jo])/2</f>
        <v>#REF!</v>
      </c>
      <c r="N6" s="293" t="e">
        <f ca="1">SUM(Tabulka[12 m_oc])/2</f>
        <v>#REF!</v>
      </c>
      <c r="O6" s="292" t="e">
        <f ca="1">SUM(Tabulka[13 m_sk])/2</f>
        <v>#REF!</v>
      </c>
      <c r="P6" s="291" t="e">
        <f ca="1">SUM(Tabulka[14_vzsk])/2</f>
        <v>#REF!</v>
      </c>
      <c r="Q6" s="291" t="e">
        <f ca="1">SUM(Tabulka[15_vzpl])/2</f>
        <v>#REF!</v>
      </c>
      <c r="R6" s="290" t="e">
        <f ca="1">IF(Q6=0,0,P6/Q6)</f>
        <v>#REF!</v>
      </c>
      <c r="S6" s="289" t="e">
        <f ca="1">Q6-P6</f>
        <v>#REF!</v>
      </c>
    </row>
    <row r="7" spans="1:19" hidden="1" x14ac:dyDescent="0.25">
      <c r="A7" s="288" t="s">
        <v>200</v>
      </c>
      <c r="B7" s="287" t="s">
        <v>199</v>
      </c>
      <c r="C7" s="286" t="s">
        <v>198</v>
      </c>
      <c r="D7" s="285" t="s">
        <v>197</v>
      </c>
      <c r="E7" s="284" t="s">
        <v>196</v>
      </c>
      <c r="F7" s="283" t="s">
        <v>195</v>
      </c>
      <c r="G7" s="282" t="s">
        <v>194</v>
      </c>
      <c r="H7" s="280" t="s">
        <v>193</v>
      </c>
      <c r="I7" s="280" t="s">
        <v>192</v>
      </c>
      <c r="J7" s="279" t="s">
        <v>191</v>
      </c>
      <c r="K7" s="281" t="s">
        <v>190</v>
      </c>
      <c r="L7" s="280" t="s">
        <v>189</v>
      </c>
      <c r="M7" s="280" t="s">
        <v>188</v>
      </c>
      <c r="N7" s="279" t="s">
        <v>187</v>
      </c>
      <c r="O7" s="278" t="s">
        <v>186</v>
      </c>
      <c r="P7" s="277" t="s">
        <v>185</v>
      </c>
      <c r="Q7" s="276" t="s">
        <v>184</v>
      </c>
      <c r="R7" s="275" t="s">
        <v>183</v>
      </c>
      <c r="S7" s="274" t="s">
        <v>182</v>
      </c>
    </row>
    <row r="8" spans="1:19" x14ac:dyDescent="0.25">
      <c r="A8" s="271" t="s">
        <v>181</v>
      </c>
      <c r="B8" s="270"/>
      <c r="C8" s="264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3" t="e">
        <f ca="1">IF(Tabulka[[#This Row],[15_vzpl]]=0,"",Tabulka[[#This Row],[14_vzsk]]/Tabulka[[#This Row],[15_vzpl]])</f>
        <v>#REF!</v>
      </c>
      <c r="S8" s="272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3" t="s">
        <v>179</v>
      </c>
    </row>
    <row r="13" spans="1:19" x14ac:dyDescent="0.25">
      <c r="A13" s="234" t="s">
        <v>166</v>
      </c>
    </row>
    <row r="14" spans="1:19" x14ac:dyDescent="0.25">
      <c r="A14" s="23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06" t="s">
        <v>548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124</v>
      </c>
      <c r="B3" s="220">
        <f>SUBTOTAL(9,B6:B1048576)/4</f>
        <v>4015869.67</v>
      </c>
      <c r="C3" s="221">
        <f t="shared" ref="C3:Z3" si="0">SUBTOTAL(9,C6:C1048576)</f>
        <v>0</v>
      </c>
      <c r="D3" s="221"/>
      <c r="E3" s="221">
        <f>SUBTOTAL(9,E6:E1048576)/4</f>
        <v>6382348.9899999993</v>
      </c>
      <c r="F3" s="221"/>
      <c r="G3" s="221">
        <f t="shared" si="0"/>
        <v>0</v>
      </c>
      <c r="H3" s="221">
        <f>SUBTOTAL(9,H6:H1048576)/4</f>
        <v>6887664.7699999996</v>
      </c>
      <c r="I3" s="224">
        <f>IF(B3&lt;&gt;0,H3/B3,"")</f>
        <v>1.7151116286101984</v>
      </c>
      <c r="J3" s="222">
        <f>IF(E3&lt;&gt;0,H3/E3,"")</f>
        <v>1.0791739500287025</v>
      </c>
      <c r="K3" s="223">
        <f t="shared" si="0"/>
        <v>2242.6800000000003</v>
      </c>
      <c r="L3" s="223"/>
      <c r="M3" s="221">
        <f t="shared" si="0"/>
        <v>0</v>
      </c>
      <c r="N3" s="221">
        <f t="shared" si="0"/>
        <v>75.08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>
        <f>IF(N3&lt;&gt;0,Q3/N3,"")</f>
        <v>0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2"/>
      <c r="B5" s="513">
        <v>2019</v>
      </c>
      <c r="C5" s="514"/>
      <c r="D5" s="514"/>
      <c r="E5" s="514">
        <v>2020</v>
      </c>
      <c r="F5" s="514"/>
      <c r="G5" s="514"/>
      <c r="H5" s="514">
        <v>2021</v>
      </c>
      <c r="I5" s="515" t="s">
        <v>234</v>
      </c>
      <c r="J5" s="516" t="s">
        <v>2</v>
      </c>
      <c r="K5" s="513">
        <v>2015</v>
      </c>
      <c r="L5" s="514"/>
      <c r="M5" s="514"/>
      <c r="N5" s="514">
        <v>2020</v>
      </c>
      <c r="O5" s="514"/>
      <c r="P5" s="514"/>
      <c r="Q5" s="514">
        <v>2021</v>
      </c>
      <c r="R5" s="515" t="s">
        <v>234</v>
      </c>
      <c r="S5" s="516" t="s">
        <v>2</v>
      </c>
      <c r="T5" s="513">
        <v>2015</v>
      </c>
      <c r="U5" s="514"/>
      <c r="V5" s="514"/>
      <c r="W5" s="514">
        <v>2020</v>
      </c>
      <c r="X5" s="514"/>
      <c r="Y5" s="514"/>
      <c r="Z5" s="514">
        <v>2021</v>
      </c>
      <c r="AA5" s="515" t="s">
        <v>234</v>
      </c>
      <c r="AB5" s="516" t="s">
        <v>2</v>
      </c>
    </row>
    <row r="6" spans="1:28" ht="14.45" customHeight="1" x14ac:dyDescent="0.25">
      <c r="A6" s="517" t="s">
        <v>546</v>
      </c>
      <c r="B6" s="518">
        <v>4015869.67</v>
      </c>
      <c r="C6" s="519"/>
      <c r="D6" s="519"/>
      <c r="E6" s="518">
        <v>6382348.9900000002</v>
      </c>
      <c r="F6" s="519"/>
      <c r="G6" s="519"/>
      <c r="H6" s="518">
        <v>6887664.7699999996</v>
      </c>
      <c r="I6" s="519"/>
      <c r="J6" s="519"/>
      <c r="K6" s="518">
        <v>1121.3400000000001</v>
      </c>
      <c r="L6" s="519"/>
      <c r="M6" s="519"/>
      <c r="N6" s="518">
        <v>37.54</v>
      </c>
      <c r="O6" s="519"/>
      <c r="P6" s="519"/>
      <c r="Q6" s="518"/>
      <c r="R6" s="519"/>
      <c r="S6" s="519"/>
      <c r="T6" s="518"/>
      <c r="U6" s="519"/>
      <c r="V6" s="519"/>
      <c r="W6" s="518"/>
      <c r="X6" s="519"/>
      <c r="Y6" s="519"/>
      <c r="Z6" s="518"/>
      <c r="AA6" s="519"/>
      <c r="AB6" s="520"/>
    </row>
    <row r="7" spans="1:28" ht="14.45" customHeight="1" thickBot="1" x14ac:dyDescent="0.3">
      <c r="A7" s="524" t="s">
        <v>547</v>
      </c>
      <c r="B7" s="521">
        <v>4015869.67</v>
      </c>
      <c r="C7" s="522"/>
      <c r="D7" s="522"/>
      <c r="E7" s="521">
        <v>6382348.9900000002</v>
      </c>
      <c r="F7" s="522"/>
      <c r="G7" s="522"/>
      <c r="H7" s="521">
        <v>6887664.7699999996</v>
      </c>
      <c r="I7" s="522"/>
      <c r="J7" s="522"/>
      <c r="K7" s="521">
        <v>1121.3400000000001</v>
      </c>
      <c r="L7" s="522"/>
      <c r="M7" s="522"/>
      <c r="N7" s="521">
        <v>37.54</v>
      </c>
      <c r="O7" s="522"/>
      <c r="P7" s="522"/>
      <c r="Q7" s="521"/>
      <c r="R7" s="522"/>
      <c r="S7" s="522"/>
      <c r="T7" s="521"/>
      <c r="U7" s="522"/>
      <c r="V7" s="522"/>
      <c r="W7" s="521"/>
      <c r="X7" s="522"/>
      <c r="Y7" s="522"/>
      <c r="Z7" s="521"/>
      <c r="AA7" s="522"/>
      <c r="AB7" s="523"/>
    </row>
    <row r="8" spans="1:28" ht="14.45" customHeight="1" thickBot="1" x14ac:dyDescent="0.25"/>
    <row r="9" spans="1:28" ht="14.45" customHeight="1" x14ac:dyDescent="0.25">
      <c r="A9" s="517" t="s">
        <v>337</v>
      </c>
      <c r="B9" s="518">
        <v>4015869.67</v>
      </c>
      <c r="C9" s="519"/>
      <c r="D9" s="519"/>
      <c r="E9" s="518">
        <v>6382348.9899999993</v>
      </c>
      <c r="F9" s="519"/>
      <c r="G9" s="519"/>
      <c r="H9" s="518">
        <v>6887664.7699999996</v>
      </c>
      <c r="I9" s="519"/>
      <c r="J9" s="520"/>
    </row>
    <row r="10" spans="1:28" ht="14.45" customHeight="1" x14ac:dyDescent="0.25">
      <c r="A10" s="528" t="s">
        <v>549</v>
      </c>
      <c r="B10" s="525"/>
      <c r="C10" s="526"/>
      <c r="D10" s="526"/>
      <c r="E10" s="525"/>
      <c r="F10" s="526"/>
      <c r="G10" s="526"/>
      <c r="H10" s="525">
        <v>11626</v>
      </c>
      <c r="I10" s="526"/>
      <c r="J10" s="527"/>
    </row>
    <row r="11" spans="1:28" ht="14.45" customHeight="1" thickBot="1" x14ac:dyDescent="0.3">
      <c r="A11" s="524" t="s">
        <v>550</v>
      </c>
      <c r="B11" s="521">
        <v>4015869.67</v>
      </c>
      <c r="C11" s="522"/>
      <c r="D11" s="522"/>
      <c r="E11" s="521">
        <v>6382348.9899999993</v>
      </c>
      <c r="F11" s="522"/>
      <c r="G11" s="522"/>
      <c r="H11" s="521">
        <v>6876038.7699999996</v>
      </c>
      <c r="I11" s="522"/>
      <c r="J11" s="523"/>
    </row>
    <row r="12" spans="1:28" ht="14.45" customHeight="1" x14ac:dyDescent="0.2">
      <c r="A12" s="437" t="s">
        <v>209</v>
      </c>
    </row>
    <row r="13" spans="1:28" ht="14.45" customHeight="1" x14ac:dyDescent="0.2">
      <c r="A13" s="438" t="s">
        <v>305</v>
      </c>
    </row>
    <row r="14" spans="1:28" ht="14.45" customHeight="1" x14ac:dyDescent="0.2">
      <c r="A14" s="437" t="s">
        <v>551</v>
      </c>
    </row>
    <row r="15" spans="1:28" ht="14.45" customHeight="1" x14ac:dyDescent="0.2">
      <c r="A15" s="437" t="s">
        <v>552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067F8AC-B398-4688-923C-4C2B46E7373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564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0" t="s">
        <v>124</v>
      </c>
      <c r="B3" s="247">
        <f t="shared" ref="B3:G3" si="0">SUBTOTAL(9,B6:B1048576)</f>
        <v>4846</v>
      </c>
      <c r="C3" s="248">
        <f t="shared" si="0"/>
        <v>8573</v>
      </c>
      <c r="D3" s="259">
        <f t="shared" si="0"/>
        <v>8846</v>
      </c>
      <c r="E3" s="223">
        <f t="shared" si="0"/>
        <v>4015869.67</v>
      </c>
      <c r="F3" s="221">
        <f t="shared" si="0"/>
        <v>6382348.9899999993</v>
      </c>
      <c r="G3" s="249">
        <f t="shared" si="0"/>
        <v>6887664.7700000005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2"/>
      <c r="B5" s="513">
        <v>2019</v>
      </c>
      <c r="C5" s="514">
        <v>2020</v>
      </c>
      <c r="D5" s="529">
        <v>2021</v>
      </c>
      <c r="E5" s="513">
        <v>2019</v>
      </c>
      <c r="F5" s="514">
        <v>2020</v>
      </c>
      <c r="G5" s="529">
        <v>2021</v>
      </c>
    </row>
    <row r="6" spans="1:7" ht="14.45" customHeight="1" x14ac:dyDescent="0.2">
      <c r="A6" s="536" t="s">
        <v>553</v>
      </c>
      <c r="B6" s="116">
        <v>65</v>
      </c>
      <c r="C6" s="116">
        <v>182</v>
      </c>
      <c r="D6" s="116">
        <v>112</v>
      </c>
      <c r="E6" s="530">
        <v>3717</v>
      </c>
      <c r="F6" s="530">
        <v>27888</v>
      </c>
      <c r="G6" s="531">
        <v>11965</v>
      </c>
    </row>
    <row r="7" spans="1:7" ht="14.45" customHeight="1" x14ac:dyDescent="0.2">
      <c r="A7" s="537" t="s">
        <v>554</v>
      </c>
      <c r="B7" s="500">
        <v>1</v>
      </c>
      <c r="C7" s="500"/>
      <c r="D7" s="500"/>
      <c r="E7" s="532">
        <v>38</v>
      </c>
      <c r="F7" s="532"/>
      <c r="G7" s="533"/>
    </row>
    <row r="8" spans="1:7" ht="14.45" customHeight="1" x14ac:dyDescent="0.2">
      <c r="A8" s="537" t="s">
        <v>549</v>
      </c>
      <c r="B8" s="500"/>
      <c r="C8" s="500"/>
      <c r="D8" s="500">
        <v>19</v>
      </c>
      <c r="E8" s="532"/>
      <c r="F8" s="532"/>
      <c r="G8" s="533">
        <v>11626</v>
      </c>
    </row>
    <row r="9" spans="1:7" ht="14.45" customHeight="1" x14ac:dyDescent="0.2">
      <c r="A9" s="537" t="s">
        <v>555</v>
      </c>
      <c r="B9" s="500">
        <v>395</v>
      </c>
      <c r="C9" s="500">
        <v>328</v>
      </c>
      <c r="D9" s="500">
        <v>356</v>
      </c>
      <c r="E9" s="532">
        <v>81755.66</v>
      </c>
      <c r="F9" s="532">
        <v>73866.77</v>
      </c>
      <c r="G9" s="533">
        <v>91830.88</v>
      </c>
    </row>
    <row r="10" spans="1:7" ht="14.45" customHeight="1" x14ac:dyDescent="0.2">
      <c r="A10" s="537" t="s">
        <v>556</v>
      </c>
      <c r="B10" s="500"/>
      <c r="C10" s="500">
        <v>1</v>
      </c>
      <c r="D10" s="500"/>
      <c r="E10" s="532"/>
      <c r="F10" s="532">
        <v>153</v>
      </c>
      <c r="G10" s="533"/>
    </row>
    <row r="11" spans="1:7" ht="14.45" customHeight="1" x14ac:dyDescent="0.2">
      <c r="A11" s="537" t="s">
        <v>557</v>
      </c>
      <c r="B11" s="500"/>
      <c r="C11" s="500"/>
      <c r="D11" s="500">
        <v>1</v>
      </c>
      <c r="E11" s="532"/>
      <c r="F11" s="532"/>
      <c r="G11" s="533">
        <v>40</v>
      </c>
    </row>
    <row r="12" spans="1:7" ht="14.45" customHeight="1" x14ac:dyDescent="0.2">
      <c r="A12" s="537" t="s">
        <v>558</v>
      </c>
      <c r="B12" s="500">
        <v>1</v>
      </c>
      <c r="C12" s="500">
        <v>3</v>
      </c>
      <c r="D12" s="500"/>
      <c r="E12" s="532">
        <v>151</v>
      </c>
      <c r="F12" s="532">
        <v>786</v>
      </c>
      <c r="G12" s="533"/>
    </row>
    <row r="13" spans="1:7" ht="14.45" customHeight="1" x14ac:dyDescent="0.2">
      <c r="A13" s="537" t="s">
        <v>559</v>
      </c>
      <c r="B13" s="500">
        <v>1</v>
      </c>
      <c r="C13" s="500"/>
      <c r="D13" s="500"/>
      <c r="E13" s="532">
        <v>61</v>
      </c>
      <c r="F13" s="532"/>
      <c r="G13" s="533"/>
    </row>
    <row r="14" spans="1:7" ht="14.45" customHeight="1" x14ac:dyDescent="0.2">
      <c r="A14" s="537" t="s">
        <v>560</v>
      </c>
      <c r="B14" s="500">
        <v>1</v>
      </c>
      <c r="C14" s="500"/>
      <c r="D14" s="500"/>
      <c r="E14" s="532">
        <v>38</v>
      </c>
      <c r="F14" s="532"/>
      <c r="G14" s="533"/>
    </row>
    <row r="15" spans="1:7" ht="14.45" customHeight="1" x14ac:dyDescent="0.2">
      <c r="A15" s="537" t="s">
        <v>561</v>
      </c>
      <c r="B15" s="500">
        <v>1</v>
      </c>
      <c r="C15" s="500"/>
      <c r="D15" s="500"/>
      <c r="E15" s="532">
        <v>38</v>
      </c>
      <c r="F15" s="532"/>
      <c r="G15" s="533"/>
    </row>
    <row r="16" spans="1:7" ht="14.45" customHeight="1" x14ac:dyDescent="0.2">
      <c r="A16" s="537" t="s">
        <v>562</v>
      </c>
      <c r="B16" s="500">
        <v>4380</v>
      </c>
      <c r="C16" s="500">
        <v>8059</v>
      </c>
      <c r="D16" s="500">
        <v>8358</v>
      </c>
      <c r="E16" s="532">
        <v>3930033.01</v>
      </c>
      <c r="F16" s="532">
        <v>6279655.2199999997</v>
      </c>
      <c r="G16" s="533">
        <v>6772202.8900000006</v>
      </c>
    </row>
    <row r="17" spans="1:7" ht="14.45" customHeight="1" thickBot="1" x14ac:dyDescent="0.25">
      <c r="A17" s="538" t="s">
        <v>563</v>
      </c>
      <c r="B17" s="489">
        <v>1</v>
      </c>
      <c r="C17" s="489"/>
      <c r="D17" s="489"/>
      <c r="E17" s="534">
        <v>38</v>
      </c>
      <c r="F17" s="534"/>
      <c r="G17" s="535"/>
    </row>
    <row r="18" spans="1:7" ht="14.45" customHeight="1" x14ac:dyDescent="0.2">
      <c r="A18" s="437" t="s">
        <v>209</v>
      </c>
    </row>
    <row r="19" spans="1:7" ht="14.45" customHeight="1" x14ac:dyDescent="0.2">
      <c r="A19" s="438" t="s">
        <v>305</v>
      </c>
    </row>
    <row r="20" spans="1:7" ht="14.45" customHeight="1" x14ac:dyDescent="0.2">
      <c r="A20" s="437" t="s">
        <v>551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8C0989A-A18F-43F6-93AC-13D1E483398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05" t="s">
        <v>601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1" t="s">
        <v>235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124</v>
      </c>
      <c r="G3" s="102">
        <f t="shared" ref="G3:P3" si="0">SUBTOTAL(9,G6:G1048576)</f>
        <v>4848</v>
      </c>
      <c r="H3" s="103">
        <f t="shared" si="0"/>
        <v>4016991.01</v>
      </c>
      <c r="I3" s="74"/>
      <c r="J3" s="74"/>
      <c r="K3" s="103">
        <f t="shared" si="0"/>
        <v>8573.1</v>
      </c>
      <c r="L3" s="103">
        <f t="shared" si="0"/>
        <v>6382386.5300000003</v>
      </c>
      <c r="M3" s="74"/>
      <c r="N3" s="74"/>
      <c r="O3" s="103">
        <f t="shared" si="0"/>
        <v>8846</v>
      </c>
      <c r="P3" s="103">
        <f t="shared" si="0"/>
        <v>6887664.7699999996</v>
      </c>
      <c r="Q3" s="75">
        <f>IF(L3=0,0,P3/L3)</f>
        <v>1.079167602530021</v>
      </c>
      <c r="R3" s="104">
        <f>IF(O3=0,0,P3/O3)</f>
        <v>778.61912389780684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2019</v>
      </c>
      <c r="H4" s="419"/>
      <c r="I4" s="101"/>
      <c r="J4" s="101"/>
      <c r="K4" s="418">
        <v>2020</v>
      </c>
      <c r="L4" s="419"/>
      <c r="M4" s="101"/>
      <c r="N4" s="101"/>
      <c r="O4" s="418">
        <v>2021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9"/>
      <c r="B5" s="539"/>
      <c r="C5" s="540"/>
      <c r="D5" s="541"/>
      <c r="E5" s="542"/>
      <c r="F5" s="543"/>
      <c r="G5" s="544" t="s">
        <v>70</v>
      </c>
      <c r="H5" s="545" t="s">
        <v>13</v>
      </c>
      <c r="I5" s="546"/>
      <c r="J5" s="546"/>
      <c r="K5" s="544" t="s">
        <v>70</v>
      </c>
      <c r="L5" s="545" t="s">
        <v>13</v>
      </c>
      <c r="M5" s="546"/>
      <c r="N5" s="546"/>
      <c r="O5" s="544" t="s">
        <v>70</v>
      </c>
      <c r="P5" s="545" t="s">
        <v>13</v>
      </c>
      <c r="Q5" s="547"/>
      <c r="R5" s="548"/>
    </row>
    <row r="6" spans="1:18" ht="14.45" customHeight="1" x14ac:dyDescent="0.2">
      <c r="A6" s="458" t="s">
        <v>565</v>
      </c>
      <c r="B6" s="459" t="s">
        <v>566</v>
      </c>
      <c r="C6" s="459" t="s">
        <v>337</v>
      </c>
      <c r="D6" s="459" t="s">
        <v>567</v>
      </c>
      <c r="E6" s="459" t="s">
        <v>568</v>
      </c>
      <c r="F6" s="459"/>
      <c r="G6" s="116">
        <v>1</v>
      </c>
      <c r="H6" s="116">
        <v>2.44</v>
      </c>
      <c r="I6" s="459"/>
      <c r="J6" s="459">
        <v>2.44</v>
      </c>
      <c r="K6" s="116"/>
      <c r="L6" s="116"/>
      <c r="M6" s="459"/>
      <c r="N6" s="459"/>
      <c r="O6" s="116"/>
      <c r="P6" s="116"/>
      <c r="Q6" s="464"/>
      <c r="R6" s="488"/>
    </row>
    <row r="7" spans="1:18" ht="14.45" customHeight="1" x14ac:dyDescent="0.2">
      <c r="A7" s="465" t="s">
        <v>565</v>
      </c>
      <c r="B7" s="466" t="s">
        <v>566</v>
      </c>
      <c r="C7" s="466" t="s">
        <v>337</v>
      </c>
      <c r="D7" s="466" t="s">
        <v>567</v>
      </c>
      <c r="E7" s="466" t="s">
        <v>569</v>
      </c>
      <c r="F7" s="466" t="s">
        <v>570</v>
      </c>
      <c r="G7" s="500">
        <v>1</v>
      </c>
      <c r="H7" s="500">
        <v>1118.9000000000001</v>
      </c>
      <c r="I7" s="466"/>
      <c r="J7" s="466">
        <v>1118.9000000000001</v>
      </c>
      <c r="K7" s="500"/>
      <c r="L7" s="500"/>
      <c r="M7" s="466"/>
      <c r="N7" s="466"/>
      <c r="O7" s="500"/>
      <c r="P7" s="500"/>
      <c r="Q7" s="471"/>
      <c r="R7" s="501"/>
    </row>
    <row r="8" spans="1:18" ht="14.45" customHeight="1" x14ac:dyDescent="0.2">
      <c r="A8" s="465" t="s">
        <v>565</v>
      </c>
      <c r="B8" s="466" t="s">
        <v>566</v>
      </c>
      <c r="C8" s="466" t="s">
        <v>337</v>
      </c>
      <c r="D8" s="466" t="s">
        <v>567</v>
      </c>
      <c r="E8" s="466" t="s">
        <v>571</v>
      </c>
      <c r="F8" s="466" t="s">
        <v>572</v>
      </c>
      <c r="G8" s="500"/>
      <c r="H8" s="500"/>
      <c r="I8" s="466"/>
      <c r="J8" s="466"/>
      <c r="K8" s="500">
        <v>0.1</v>
      </c>
      <c r="L8" s="500">
        <v>37.54</v>
      </c>
      <c r="M8" s="466"/>
      <c r="N8" s="466">
        <v>375.4</v>
      </c>
      <c r="O8" s="500"/>
      <c r="P8" s="500"/>
      <c r="Q8" s="471"/>
      <c r="R8" s="501"/>
    </row>
    <row r="9" spans="1:18" ht="14.45" customHeight="1" x14ac:dyDescent="0.2">
      <c r="A9" s="465" t="s">
        <v>565</v>
      </c>
      <c r="B9" s="466" t="s">
        <v>566</v>
      </c>
      <c r="C9" s="466" t="s">
        <v>337</v>
      </c>
      <c r="D9" s="466" t="s">
        <v>567</v>
      </c>
      <c r="E9" s="466" t="s">
        <v>573</v>
      </c>
      <c r="F9" s="466" t="s">
        <v>574</v>
      </c>
      <c r="G9" s="500">
        <v>0</v>
      </c>
      <c r="H9" s="500">
        <v>0</v>
      </c>
      <c r="I9" s="466"/>
      <c r="J9" s="466"/>
      <c r="K9" s="500"/>
      <c r="L9" s="500"/>
      <c r="M9" s="466"/>
      <c r="N9" s="466"/>
      <c r="O9" s="500"/>
      <c r="P9" s="500"/>
      <c r="Q9" s="471"/>
      <c r="R9" s="501"/>
    </row>
    <row r="10" spans="1:18" ht="14.45" customHeight="1" x14ac:dyDescent="0.2">
      <c r="A10" s="465" t="s">
        <v>565</v>
      </c>
      <c r="B10" s="466" t="s">
        <v>566</v>
      </c>
      <c r="C10" s="466" t="s">
        <v>337</v>
      </c>
      <c r="D10" s="466" t="s">
        <v>575</v>
      </c>
      <c r="E10" s="466" t="s">
        <v>576</v>
      </c>
      <c r="F10" s="466" t="s">
        <v>577</v>
      </c>
      <c r="G10" s="500">
        <v>2</v>
      </c>
      <c r="H10" s="500">
        <v>302</v>
      </c>
      <c r="I10" s="466"/>
      <c r="J10" s="466">
        <v>151</v>
      </c>
      <c r="K10" s="500">
        <v>1</v>
      </c>
      <c r="L10" s="500">
        <v>153</v>
      </c>
      <c r="M10" s="466"/>
      <c r="N10" s="466">
        <v>153</v>
      </c>
      <c r="O10" s="500"/>
      <c r="P10" s="500"/>
      <c r="Q10" s="471"/>
      <c r="R10" s="501"/>
    </row>
    <row r="11" spans="1:18" ht="14.45" customHeight="1" x14ac:dyDescent="0.2">
      <c r="A11" s="465" t="s">
        <v>565</v>
      </c>
      <c r="B11" s="466" t="s">
        <v>566</v>
      </c>
      <c r="C11" s="466" t="s">
        <v>337</v>
      </c>
      <c r="D11" s="466" t="s">
        <v>575</v>
      </c>
      <c r="E11" s="466" t="s">
        <v>578</v>
      </c>
      <c r="F11" s="466" t="s">
        <v>579</v>
      </c>
      <c r="G11" s="500">
        <v>281</v>
      </c>
      <c r="H11" s="500">
        <v>10678</v>
      </c>
      <c r="I11" s="466"/>
      <c r="J11" s="466">
        <v>38</v>
      </c>
      <c r="K11" s="500">
        <v>462</v>
      </c>
      <c r="L11" s="500">
        <v>17556</v>
      </c>
      <c r="M11" s="466"/>
      <c r="N11" s="466">
        <v>38</v>
      </c>
      <c r="O11" s="500">
        <v>553</v>
      </c>
      <c r="P11" s="500">
        <v>22120</v>
      </c>
      <c r="Q11" s="471"/>
      <c r="R11" s="501">
        <v>40</v>
      </c>
    </row>
    <row r="12" spans="1:18" ht="14.45" customHeight="1" x14ac:dyDescent="0.2">
      <c r="A12" s="465" t="s">
        <v>565</v>
      </c>
      <c r="B12" s="466" t="s">
        <v>566</v>
      </c>
      <c r="C12" s="466" t="s">
        <v>337</v>
      </c>
      <c r="D12" s="466" t="s">
        <v>575</v>
      </c>
      <c r="E12" s="466" t="s">
        <v>580</v>
      </c>
      <c r="F12" s="466" t="s">
        <v>581</v>
      </c>
      <c r="G12" s="500">
        <v>0</v>
      </c>
      <c r="H12" s="500">
        <v>0</v>
      </c>
      <c r="I12" s="466"/>
      <c r="J12" s="466"/>
      <c r="K12" s="500"/>
      <c r="L12" s="500"/>
      <c r="M12" s="466"/>
      <c r="N12" s="466"/>
      <c r="O12" s="500"/>
      <c r="P12" s="500"/>
      <c r="Q12" s="471"/>
      <c r="R12" s="501"/>
    </row>
    <row r="13" spans="1:18" ht="14.45" customHeight="1" x14ac:dyDescent="0.2">
      <c r="A13" s="465" t="s">
        <v>565</v>
      </c>
      <c r="B13" s="466" t="s">
        <v>566</v>
      </c>
      <c r="C13" s="466" t="s">
        <v>337</v>
      </c>
      <c r="D13" s="466" t="s">
        <v>575</v>
      </c>
      <c r="E13" s="466" t="s">
        <v>582</v>
      </c>
      <c r="F13" s="466" t="s">
        <v>583</v>
      </c>
      <c r="G13" s="500">
        <v>420</v>
      </c>
      <c r="H13" s="500">
        <v>199080</v>
      </c>
      <c r="I13" s="466"/>
      <c r="J13" s="466">
        <v>474</v>
      </c>
      <c r="K13" s="500">
        <v>530</v>
      </c>
      <c r="L13" s="500">
        <v>252810</v>
      </c>
      <c r="M13" s="466"/>
      <c r="N13" s="466">
        <v>477</v>
      </c>
      <c r="O13" s="500">
        <v>721</v>
      </c>
      <c r="P13" s="500">
        <v>370594</v>
      </c>
      <c r="Q13" s="471"/>
      <c r="R13" s="501">
        <v>514</v>
      </c>
    </row>
    <row r="14" spans="1:18" ht="14.45" customHeight="1" x14ac:dyDescent="0.2">
      <c r="A14" s="465" t="s">
        <v>565</v>
      </c>
      <c r="B14" s="466" t="s">
        <v>566</v>
      </c>
      <c r="C14" s="466" t="s">
        <v>337</v>
      </c>
      <c r="D14" s="466" t="s">
        <v>575</v>
      </c>
      <c r="E14" s="466" t="s">
        <v>584</v>
      </c>
      <c r="F14" s="466" t="s">
        <v>585</v>
      </c>
      <c r="G14" s="500">
        <v>428</v>
      </c>
      <c r="H14" s="500">
        <v>14266.67</v>
      </c>
      <c r="I14" s="466"/>
      <c r="J14" s="466">
        <v>33.33334112149533</v>
      </c>
      <c r="K14" s="500">
        <v>543</v>
      </c>
      <c r="L14" s="500">
        <v>21289.989999999998</v>
      </c>
      <c r="M14" s="466"/>
      <c r="N14" s="466">
        <v>39.208084714548797</v>
      </c>
      <c r="O14" s="500">
        <v>720</v>
      </c>
      <c r="P14" s="500">
        <v>29747.77</v>
      </c>
      <c r="Q14" s="471"/>
      <c r="R14" s="501">
        <v>41.31634722222222</v>
      </c>
    </row>
    <row r="15" spans="1:18" ht="14.45" customHeight="1" x14ac:dyDescent="0.2">
      <c r="A15" s="465" t="s">
        <v>565</v>
      </c>
      <c r="B15" s="466" t="s">
        <v>566</v>
      </c>
      <c r="C15" s="466" t="s">
        <v>337</v>
      </c>
      <c r="D15" s="466" t="s">
        <v>575</v>
      </c>
      <c r="E15" s="466" t="s">
        <v>586</v>
      </c>
      <c r="F15" s="466" t="s">
        <v>587</v>
      </c>
      <c r="G15" s="500">
        <v>43</v>
      </c>
      <c r="H15" s="500">
        <v>1634</v>
      </c>
      <c r="I15" s="466"/>
      <c r="J15" s="466">
        <v>38</v>
      </c>
      <c r="K15" s="500">
        <v>92</v>
      </c>
      <c r="L15" s="500">
        <v>3496</v>
      </c>
      <c r="M15" s="466"/>
      <c r="N15" s="466">
        <v>38</v>
      </c>
      <c r="O15" s="500">
        <v>34</v>
      </c>
      <c r="P15" s="500">
        <v>1326</v>
      </c>
      <c r="Q15" s="471"/>
      <c r="R15" s="501">
        <v>39</v>
      </c>
    </row>
    <row r="16" spans="1:18" ht="14.45" customHeight="1" x14ac:dyDescent="0.2">
      <c r="A16" s="465" t="s">
        <v>565</v>
      </c>
      <c r="B16" s="466" t="s">
        <v>566</v>
      </c>
      <c r="C16" s="466" t="s">
        <v>337</v>
      </c>
      <c r="D16" s="466" t="s">
        <v>575</v>
      </c>
      <c r="E16" s="466" t="s">
        <v>588</v>
      </c>
      <c r="F16" s="466" t="s">
        <v>589</v>
      </c>
      <c r="G16" s="500">
        <v>7</v>
      </c>
      <c r="H16" s="500">
        <v>938</v>
      </c>
      <c r="I16" s="466"/>
      <c r="J16" s="466">
        <v>134</v>
      </c>
      <c r="K16" s="500">
        <v>16</v>
      </c>
      <c r="L16" s="500">
        <v>2160</v>
      </c>
      <c r="M16" s="466"/>
      <c r="N16" s="466">
        <v>135</v>
      </c>
      <c r="O16" s="500">
        <v>5</v>
      </c>
      <c r="P16" s="500">
        <v>725</v>
      </c>
      <c r="Q16" s="471"/>
      <c r="R16" s="501">
        <v>145</v>
      </c>
    </row>
    <row r="17" spans="1:18" ht="14.45" customHeight="1" x14ac:dyDescent="0.2">
      <c r="A17" s="465" t="s">
        <v>565</v>
      </c>
      <c r="B17" s="466" t="s">
        <v>566</v>
      </c>
      <c r="C17" s="466" t="s">
        <v>337</v>
      </c>
      <c r="D17" s="466" t="s">
        <v>575</v>
      </c>
      <c r="E17" s="466" t="s">
        <v>590</v>
      </c>
      <c r="F17" s="466" t="s">
        <v>591</v>
      </c>
      <c r="G17" s="500">
        <v>16</v>
      </c>
      <c r="H17" s="500">
        <v>3792</v>
      </c>
      <c r="I17" s="466"/>
      <c r="J17" s="466">
        <v>237</v>
      </c>
      <c r="K17" s="500">
        <v>20</v>
      </c>
      <c r="L17" s="500">
        <v>4780</v>
      </c>
      <c r="M17" s="466"/>
      <c r="N17" s="466">
        <v>239</v>
      </c>
      <c r="O17" s="500">
        <v>25</v>
      </c>
      <c r="P17" s="500">
        <v>6450</v>
      </c>
      <c r="Q17" s="471"/>
      <c r="R17" s="501">
        <v>258</v>
      </c>
    </row>
    <row r="18" spans="1:18" ht="14.45" customHeight="1" x14ac:dyDescent="0.2">
      <c r="A18" s="465" t="s">
        <v>565</v>
      </c>
      <c r="B18" s="466" t="s">
        <v>566</v>
      </c>
      <c r="C18" s="466" t="s">
        <v>337</v>
      </c>
      <c r="D18" s="466" t="s">
        <v>575</v>
      </c>
      <c r="E18" s="466" t="s">
        <v>592</v>
      </c>
      <c r="F18" s="466" t="s">
        <v>593</v>
      </c>
      <c r="G18" s="500"/>
      <c r="H18" s="500"/>
      <c r="I18" s="466"/>
      <c r="J18" s="466"/>
      <c r="K18" s="500">
        <v>6</v>
      </c>
      <c r="L18" s="500">
        <v>456</v>
      </c>
      <c r="M18" s="466"/>
      <c r="N18" s="466">
        <v>76</v>
      </c>
      <c r="O18" s="500"/>
      <c r="P18" s="500"/>
      <c r="Q18" s="471"/>
      <c r="R18" s="501"/>
    </row>
    <row r="19" spans="1:18" ht="14.45" customHeight="1" x14ac:dyDescent="0.2">
      <c r="A19" s="465" t="s">
        <v>565</v>
      </c>
      <c r="B19" s="466" t="s">
        <v>566</v>
      </c>
      <c r="C19" s="466" t="s">
        <v>337</v>
      </c>
      <c r="D19" s="466" t="s">
        <v>575</v>
      </c>
      <c r="E19" s="466" t="s">
        <v>594</v>
      </c>
      <c r="F19" s="466" t="s">
        <v>595</v>
      </c>
      <c r="G19" s="500">
        <v>29</v>
      </c>
      <c r="H19" s="500">
        <v>1769</v>
      </c>
      <c r="I19" s="466"/>
      <c r="J19" s="466">
        <v>61</v>
      </c>
      <c r="K19" s="500">
        <v>70</v>
      </c>
      <c r="L19" s="500">
        <v>4340</v>
      </c>
      <c r="M19" s="466"/>
      <c r="N19" s="466">
        <v>62</v>
      </c>
      <c r="O19" s="500">
        <v>47</v>
      </c>
      <c r="P19" s="500">
        <v>3102</v>
      </c>
      <c r="Q19" s="471"/>
      <c r="R19" s="501">
        <v>66</v>
      </c>
    </row>
    <row r="20" spans="1:18" ht="14.45" customHeight="1" x14ac:dyDescent="0.2">
      <c r="A20" s="465" t="s">
        <v>565</v>
      </c>
      <c r="B20" s="466" t="s">
        <v>566</v>
      </c>
      <c r="C20" s="466" t="s">
        <v>337</v>
      </c>
      <c r="D20" s="466" t="s">
        <v>575</v>
      </c>
      <c r="E20" s="466" t="s">
        <v>596</v>
      </c>
      <c r="F20" s="466" t="s">
        <v>597</v>
      </c>
      <c r="G20" s="500">
        <v>2788</v>
      </c>
      <c r="H20" s="500">
        <v>730456</v>
      </c>
      <c r="I20" s="466"/>
      <c r="J20" s="466">
        <v>262</v>
      </c>
      <c r="K20" s="500">
        <v>5590</v>
      </c>
      <c r="L20" s="500">
        <v>1464580</v>
      </c>
      <c r="M20" s="466"/>
      <c r="N20" s="466">
        <v>262</v>
      </c>
      <c r="O20" s="500">
        <v>5375</v>
      </c>
      <c r="P20" s="500">
        <v>1408250</v>
      </c>
      <c r="Q20" s="471"/>
      <c r="R20" s="501">
        <v>262</v>
      </c>
    </row>
    <row r="21" spans="1:18" ht="14.45" customHeight="1" x14ac:dyDescent="0.2">
      <c r="A21" s="465" t="s">
        <v>565</v>
      </c>
      <c r="B21" s="466" t="s">
        <v>566</v>
      </c>
      <c r="C21" s="466" t="s">
        <v>337</v>
      </c>
      <c r="D21" s="466" t="s">
        <v>575</v>
      </c>
      <c r="E21" s="466" t="s">
        <v>598</v>
      </c>
      <c r="F21" s="466" t="s">
        <v>599</v>
      </c>
      <c r="G21" s="500">
        <v>789</v>
      </c>
      <c r="H21" s="500">
        <v>2829354</v>
      </c>
      <c r="I21" s="466"/>
      <c r="J21" s="466">
        <v>3586</v>
      </c>
      <c r="K21" s="500">
        <v>1148</v>
      </c>
      <c r="L21" s="500">
        <v>4116728</v>
      </c>
      <c r="M21" s="466"/>
      <c r="N21" s="466">
        <v>3586</v>
      </c>
      <c r="O21" s="500">
        <v>1275</v>
      </c>
      <c r="P21" s="500">
        <v>4572150</v>
      </c>
      <c r="Q21" s="471"/>
      <c r="R21" s="501">
        <v>3586</v>
      </c>
    </row>
    <row r="22" spans="1:18" ht="14.45" customHeight="1" thickBot="1" x14ac:dyDescent="0.25">
      <c r="A22" s="473" t="s">
        <v>565</v>
      </c>
      <c r="B22" s="474" t="s">
        <v>566</v>
      </c>
      <c r="C22" s="474" t="s">
        <v>337</v>
      </c>
      <c r="D22" s="474" t="s">
        <v>575</v>
      </c>
      <c r="E22" s="474" t="s">
        <v>600</v>
      </c>
      <c r="F22" s="474" t="s">
        <v>599</v>
      </c>
      <c r="G22" s="489">
        <v>43</v>
      </c>
      <c r="H22" s="489">
        <v>223600</v>
      </c>
      <c r="I22" s="474"/>
      <c r="J22" s="474">
        <v>5200</v>
      </c>
      <c r="K22" s="489">
        <v>95</v>
      </c>
      <c r="L22" s="489">
        <v>494000</v>
      </c>
      <c r="M22" s="474"/>
      <c r="N22" s="474">
        <v>5200</v>
      </c>
      <c r="O22" s="489">
        <v>91</v>
      </c>
      <c r="P22" s="489">
        <v>473200</v>
      </c>
      <c r="Q22" s="479"/>
      <c r="R22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B0FD2D4-5B2F-4475-B072-61763BD2C922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05" t="s">
        <v>602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1" t="s">
        <v>235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124</v>
      </c>
      <c r="H3" s="102">
        <f t="shared" ref="H3:Q3" si="0">SUBTOTAL(9,H6:H1048576)</f>
        <v>4848</v>
      </c>
      <c r="I3" s="103">
        <f t="shared" si="0"/>
        <v>4016991.01</v>
      </c>
      <c r="J3" s="74"/>
      <c r="K3" s="74"/>
      <c r="L3" s="103">
        <f t="shared" si="0"/>
        <v>8573.1</v>
      </c>
      <c r="M3" s="103">
        <f t="shared" si="0"/>
        <v>6382386.5300000003</v>
      </c>
      <c r="N3" s="74"/>
      <c r="O3" s="74"/>
      <c r="P3" s="103">
        <f t="shared" si="0"/>
        <v>8846</v>
      </c>
      <c r="Q3" s="103">
        <f t="shared" si="0"/>
        <v>6887664.7699999996</v>
      </c>
      <c r="R3" s="75">
        <f>IF(M3=0,0,Q3/M3)</f>
        <v>1.079167602530021</v>
      </c>
      <c r="S3" s="104">
        <f>IF(P3=0,0,Q3/P3)</f>
        <v>778.61912389780684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4" t="s">
        <v>131</v>
      </c>
      <c r="E4" s="416" t="s">
        <v>94</v>
      </c>
      <c r="F4" s="421" t="s">
        <v>69</v>
      </c>
      <c r="G4" s="417" t="s">
        <v>68</v>
      </c>
      <c r="H4" s="418">
        <v>2019</v>
      </c>
      <c r="I4" s="419"/>
      <c r="J4" s="101"/>
      <c r="K4" s="101"/>
      <c r="L4" s="418">
        <v>2020</v>
      </c>
      <c r="M4" s="419"/>
      <c r="N4" s="101"/>
      <c r="O4" s="101"/>
      <c r="P4" s="418">
        <v>2021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9"/>
      <c r="B5" s="539"/>
      <c r="C5" s="540"/>
      <c r="D5" s="549"/>
      <c r="E5" s="541"/>
      <c r="F5" s="542"/>
      <c r="G5" s="543"/>
      <c r="H5" s="544" t="s">
        <v>70</v>
      </c>
      <c r="I5" s="545" t="s">
        <v>13</v>
      </c>
      <c r="J5" s="546"/>
      <c r="K5" s="546"/>
      <c r="L5" s="544" t="s">
        <v>70</v>
      </c>
      <c r="M5" s="545" t="s">
        <v>13</v>
      </c>
      <c r="N5" s="546"/>
      <c r="O5" s="546"/>
      <c r="P5" s="544" t="s">
        <v>70</v>
      </c>
      <c r="Q5" s="545" t="s">
        <v>13</v>
      </c>
      <c r="R5" s="547"/>
      <c r="S5" s="548"/>
    </row>
    <row r="6" spans="1:19" ht="14.45" customHeight="1" x14ac:dyDescent="0.2">
      <c r="A6" s="458" t="s">
        <v>565</v>
      </c>
      <c r="B6" s="459" t="s">
        <v>566</v>
      </c>
      <c r="C6" s="459" t="s">
        <v>337</v>
      </c>
      <c r="D6" s="459" t="s">
        <v>553</v>
      </c>
      <c r="E6" s="459" t="s">
        <v>567</v>
      </c>
      <c r="F6" s="459" t="s">
        <v>573</v>
      </c>
      <c r="G6" s="459" t="s">
        <v>574</v>
      </c>
      <c r="H6" s="116">
        <v>0</v>
      </c>
      <c r="I6" s="116">
        <v>0</v>
      </c>
      <c r="J6" s="459"/>
      <c r="K6" s="459"/>
      <c r="L6" s="116"/>
      <c r="M6" s="116"/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565</v>
      </c>
      <c r="B7" s="466" t="s">
        <v>566</v>
      </c>
      <c r="C7" s="466" t="s">
        <v>337</v>
      </c>
      <c r="D7" s="466" t="s">
        <v>553</v>
      </c>
      <c r="E7" s="466" t="s">
        <v>575</v>
      </c>
      <c r="F7" s="466" t="s">
        <v>580</v>
      </c>
      <c r="G7" s="466" t="s">
        <v>581</v>
      </c>
      <c r="H7" s="500">
        <v>0</v>
      </c>
      <c r="I7" s="500">
        <v>0</v>
      </c>
      <c r="J7" s="466"/>
      <c r="K7" s="466"/>
      <c r="L7" s="500"/>
      <c r="M7" s="500"/>
      <c r="N7" s="466"/>
      <c r="O7" s="466"/>
      <c r="P7" s="500"/>
      <c r="Q7" s="500"/>
      <c r="R7" s="471"/>
      <c r="S7" s="501"/>
    </row>
    <row r="8" spans="1:19" ht="14.45" customHeight="1" x14ac:dyDescent="0.2">
      <c r="A8" s="465" t="s">
        <v>565</v>
      </c>
      <c r="B8" s="466" t="s">
        <v>566</v>
      </c>
      <c r="C8" s="466" t="s">
        <v>337</v>
      </c>
      <c r="D8" s="466" t="s">
        <v>553</v>
      </c>
      <c r="E8" s="466" t="s">
        <v>575</v>
      </c>
      <c r="F8" s="466" t="s">
        <v>586</v>
      </c>
      <c r="G8" s="466" t="s">
        <v>587</v>
      </c>
      <c r="H8" s="500">
        <v>33</v>
      </c>
      <c r="I8" s="500">
        <v>1254</v>
      </c>
      <c r="J8" s="466"/>
      <c r="K8" s="466">
        <v>38</v>
      </c>
      <c r="L8" s="500">
        <v>91</v>
      </c>
      <c r="M8" s="500">
        <v>3458</v>
      </c>
      <c r="N8" s="466"/>
      <c r="O8" s="466">
        <v>38</v>
      </c>
      <c r="P8" s="500">
        <v>34</v>
      </c>
      <c r="Q8" s="500">
        <v>1326</v>
      </c>
      <c r="R8" s="471"/>
      <c r="S8" s="501">
        <v>39</v>
      </c>
    </row>
    <row r="9" spans="1:19" ht="14.45" customHeight="1" x14ac:dyDescent="0.2">
      <c r="A9" s="465" t="s">
        <v>565</v>
      </c>
      <c r="B9" s="466" t="s">
        <v>566</v>
      </c>
      <c r="C9" s="466" t="s">
        <v>337</v>
      </c>
      <c r="D9" s="466" t="s">
        <v>553</v>
      </c>
      <c r="E9" s="466" t="s">
        <v>575</v>
      </c>
      <c r="F9" s="466" t="s">
        <v>588</v>
      </c>
      <c r="G9" s="466" t="s">
        <v>589</v>
      </c>
      <c r="H9" s="500">
        <v>7</v>
      </c>
      <c r="I9" s="500">
        <v>938</v>
      </c>
      <c r="J9" s="466"/>
      <c r="K9" s="466">
        <v>134</v>
      </c>
      <c r="L9" s="500">
        <v>16</v>
      </c>
      <c r="M9" s="500">
        <v>2160</v>
      </c>
      <c r="N9" s="466"/>
      <c r="O9" s="466">
        <v>135</v>
      </c>
      <c r="P9" s="500">
        <v>5</v>
      </c>
      <c r="Q9" s="500">
        <v>725</v>
      </c>
      <c r="R9" s="471"/>
      <c r="S9" s="501">
        <v>145</v>
      </c>
    </row>
    <row r="10" spans="1:19" ht="14.45" customHeight="1" x14ac:dyDescent="0.2">
      <c r="A10" s="465" t="s">
        <v>565</v>
      </c>
      <c r="B10" s="466" t="s">
        <v>566</v>
      </c>
      <c r="C10" s="466" t="s">
        <v>337</v>
      </c>
      <c r="D10" s="466" t="s">
        <v>553</v>
      </c>
      <c r="E10" s="466" t="s">
        <v>575</v>
      </c>
      <c r="F10" s="466" t="s">
        <v>594</v>
      </c>
      <c r="G10" s="466" t="s">
        <v>595</v>
      </c>
      <c r="H10" s="500">
        <v>25</v>
      </c>
      <c r="I10" s="500">
        <v>1525</v>
      </c>
      <c r="J10" s="466"/>
      <c r="K10" s="466">
        <v>61</v>
      </c>
      <c r="L10" s="500">
        <v>70</v>
      </c>
      <c r="M10" s="500">
        <v>4340</v>
      </c>
      <c r="N10" s="466"/>
      <c r="O10" s="466">
        <v>62</v>
      </c>
      <c r="P10" s="500">
        <v>47</v>
      </c>
      <c r="Q10" s="500">
        <v>3102</v>
      </c>
      <c r="R10" s="471"/>
      <c r="S10" s="501">
        <v>66</v>
      </c>
    </row>
    <row r="11" spans="1:19" ht="14.45" customHeight="1" x14ac:dyDescent="0.2">
      <c r="A11" s="465" t="s">
        <v>565</v>
      </c>
      <c r="B11" s="466" t="s">
        <v>566</v>
      </c>
      <c r="C11" s="466" t="s">
        <v>337</v>
      </c>
      <c r="D11" s="466" t="s">
        <v>553</v>
      </c>
      <c r="E11" s="466" t="s">
        <v>575</v>
      </c>
      <c r="F11" s="466" t="s">
        <v>596</v>
      </c>
      <c r="G11" s="466" t="s">
        <v>597</v>
      </c>
      <c r="H11" s="500"/>
      <c r="I11" s="500"/>
      <c r="J11" s="466"/>
      <c r="K11" s="466"/>
      <c r="L11" s="500"/>
      <c r="M11" s="500"/>
      <c r="N11" s="466"/>
      <c r="O11" s="466"/>
      <c r="P11" s="500">
        <v>26</v>
      </c>
      <c r="Q11" s="500">
        <v>6812</v>
      </c>
      <c r="R11" s="471"/>
      <c r="S11" s="501">
        <v>262</v>
      </c>
    </row>
    <row r="12" spans="1:19" ht="14.45" customHeight="1" x14ac:dyDescent="0.2">
      <c r="A12" s="465" t="s">
        <v>565</v>
      </c>
      <c r="B12" s="466" t="s">
        <v>566</v>
      </c>
      <c r="C12" s="466" t="s">
        <v>337</v>
      </c>
      <c r="D12" s="466" t="s">
        <v>553</v>
      </c>
      <c r="E12" s="466" t="s">
        <v>575</v>
      </c>
      <c r="F12" s="466" t="s">
        <v>598</v>
      </c>
      <c r="G12" s="466" t="s">
        <v>599</v>
      </c>
      <c r="H12" s="500"/>
      <c r="I12" s="500"/>
      <c r="J12" s="466"/>
      <c r="K12" s="466"/>
      <c r="L12" s="500">
        <v>5</v>
      </c>
      <c r="M12" s="500">
        <v>17930</v>
      </c>
      <c r="N12" s="466"/>
      <c r="O12" s="466">
        <v>3586</v>
      </c>
      <c r="P12" s="500"/>
      <c r="Q12" s="500"/>
      <c r="R12" s="471"/>
      <c r="S12" s="501"/>
    </row>
    <row r="13" spans="1:19" ht="14.45" customHeight="1" x14ac:dyDescent="0.2">
      <c r="A13" s="465" t="s">
        <v>565</v>
      </c>
      <c r="B13" s="466" t="s">
        <v>566</v>
      </c>
      <c r="C13" s="466" t="s">
        <v>337</v>
      </c>
      <c r="D13" s="466" t="s">
        <v>549</v>
      </c>
      <c r="E13" s="466" t="s">
        <v>575</v>
      </c>
      <c r="F13" s="466" t="s">
        <v>596</v>
      </c>
      <c r="G13" s="466" t="s">
        <v>597</v>
      </c>
      <c r="H13" s="500"/>
      <c r="I13" s="500"/>
      <c r="J13" s="466"/>
      <c r="K13" s="466"/>
      <c r="L13" s="500"/>
      <c r="M13" s="500"/>
      <c r="N13" s="466"/>
      <c r="O13" s="466"/>
      <c r="P13" s="500">
        <v>17</v>
      </c>
      <c r="Q13" s="500">
        <v>4454</v>
      </c>
      <c r="R13" s="471"/>
      <c r="S13" s="501">
        <v>262</v>
      </c>
    </row>
    <row r="14" spans="1:19" ht="14.45" customHeight="1" x14ac:dyDescent="0.2">
      <c r="A14" s="465" t="s">
        <v>565</v>
      </c>
      <c r="B14" s="466" t="s">
        <v>566</v>
      </c>
      <c r="C14" s="466" t="s">
        <v>337</v>
      </c>
      <c r="D14" s="466" t="s">
        <v>549</v>
      </c>
      <c r="E14" s="466" t="s">
        <v>575</v>
      </c>
      <c r="F14" s="466" t="s">
        <v>598</v>
      </c>
      <c r="G14" s="466" t="s">
        <v>599</v>
      </c>
      <c r="H14" s="500"/>
      <c r="I14" s="500"/>
      <c r="J14" s="466"/>
      <c r="K14" s="466"/>
      <c r="L14" s="500"/>
      <c r="M14" s="500"/>
      <c r="N14" s="466"/>
      <c r="O14" s="466"/>
      <c r="P14" s="500">
        <v>2</v>
      </c>
      <c r="Q14" s="500">
        <v>7172</v>
      </c>
      <c r="R14" s="471"/>
      <c r="S14" s="501">
        <v>3586</v>
      </c>
    </row>
    <row r="15" spans="1:19" ht="14.45" customHeight="1" x14ac:dyDescent="0.2">
      <c r="A15" s="465" t="s">
        <v>565</v>
      </c>
      <c r="B15" s="466" t="s">
        <v>566</v>
      </c>
      <c r="C15" s="466" t="s">
        <v>337</v>
      </c>
      <c r="D15" s="466" t="s">
        <v>555</v>
      </c>
      <c r="E15" s="466" t="s">
        <v>575</v>
      </c>
      <c r="F15" s="466" t="s">
        <v>576</v>
      </c>
      <c r="G15" s="466" t="s">
        <v>577</v>
      </c>
      <c r="H15" s="500">
        <v>1</v>
      </c>
      <c r="I15" s="500">
        <v>151</v>
      </c>
      <c r="J15" s="466"/>
      <c r="K15" s="466">
        <v>151</v>
      </c>
      <c r="L15" s="500"/>
      <c r="M15" s="500"/>
      <c r="N15" s="466"/>
      <c r="O15" s="466"/>
      <c r="P15" s="500"/>
      <c r="Q15" s="500"/>
      <c r="R15" s="471"/>
      <c r="S15" s="501"/>
    </row>
    <row r="16" spans="1:19" ht="14.45" customHeight="1" x14ac:dyDescent="0.2">
      <c r="A16" s="465" t="s">
        <v>565</v>
      </c>
      <c r="B16" s="466" t="s">
        <v>566</v>
      </c>
      <c r="C16" s="466" t="s">
        <v>337</v>
      </c>
      <c r="D16" s="466" t="s">
        <v>555</v>
      </c>
      <c r="E16" s="466" t="s">
        <v>575</v>
      </c>
      <c r="F16" s="466" t="s">
        <v>578</v>
      </c>
      <c r="G16" s="466" t="s">
        <v>579</v>
      </c>
      <c r="H16" s="500">
        <v>84</v>
      </c>
      <c r="I16" s="500">
        <v>3192</v>
      </c>
      <c r="J16" s="466"/>
      <c r="K16" s="466">
        <v>38</v>
      </c>
      <c r="L16" s="500">
        <v>41</v>
      </c>
      <c r="M16" s="500">
        <v>1558</v>
      </c>
      <c r="N16" s="466"/>
      <c r="O16" s="466">
        <v>38</v>
      </c>
      <c r="P16" s="500">
        <v>33</v>
      </c>
      <c r="Q16" s="500">
        <v>1320</v>
      </c>
      <c r="R16" s="471"/>
      <c r="S16" s="501">
        <v>40</v>
      </c>
    </row>
    <row r="17" spans="1:19" ht="14.45" customHeight="1" x14ac:dyDescent="0.2">
      <c r="A17" s="465" t="s">
        <v>565</v>
      </c>
      <c r="B17" s="466" t="s">
        <v>566</v>
      </c>
      <c r="C17" s="466" t="s">
        <v>337</v>
      </c>
      <c r="D17" s="466" t="s">
        <v>555</v>
      </c>
      <c r="E17" s="466" t="s">
        <v>575</v>
      </c>
      <c r="F17" s="466" t="s">
        <v>582</v>
      </c>
      <c r="G17" s="466" t="s">
        <v>583</v>
      </c>
      <c r="H17" s="500">
        <v>153</v>
      </c>
      <c r="I17" s="500">
        <v>72522</v>
      </c>
      <c r="J17" s="466"/>
      <c r="K17" s="466">
        <v>474</v>
      </c>
      <c r="L17" s="500">
        <v>137</v>
      </c>
      <c r="M17" s="500">
        <v>65349</v>
      </c>
      <c r="N17" s="466"/>
      <c r="O17" s="466">
        <v>477</v>
      </c>
      <c r="P17" s="500">
        <v>162</v>
      </c>
      <c r="Q17" s="500">
        <v>83268</v>
      </c>
      <c r="R17" s="471"/>
      <c r="S17" s="501">
        <v>514</v>
      </c>
    </row>
    <row r="18" spans="1:19" ht="14.45" customHeight="1" x14ac:dyDescent="0.2">
      <c r="A18" s="465" t="s">
        <v>565</v>
      </c>
      <c r="B18" s="466" t="s">
        <v>566</v>
      </c>
      <c r="C18" s="466" t="s">
        <v>337</v>
      </c>
      <c r="D18" s="466" t="s">
        <v>555</v>
      </c>
      <c r="E18" s="466" t="s">
        <v>575</v>
      </c>
      <c r="F18" s="466" t="s">
        <v>584</v>
      </c>
      <c r="G18" s="466" t="s">
        <v>585</v>
      </c>
      <c r="H18" s="500">
        <v>149</v>
      </c>
      <c r="I18" s="500">
        <v>4966.66</v>
      </c>
      <c r="J18" s="466"/>
      <c r="K18" s="466">
        <v>33.333288590604027</v>
      </c>
      <c r="L18" s="500">
        <v>143</v>
      </c>
      <c r="M18" s="500">
        <v>5487.77</v>
      </c>
      <c r="N18" s="466"/>
      <c r="O18" s="466">
        <v>38.376013986013987</v>
      </c>
      <c r="P18" s="500">
        <v>158</v>
      </c>
      <c r="Q18" s="500">
        <v>6468.88</v>
      </c>
      <c r="R18" s="471"/>
      <c r="S18" s="501">
        <v>40.942278481012657</v>
      </c>
    </row>
    <row r="19" spans="1:19" ht="14.45" customHeight="1" x14ac:dyDescent="0.2">
      <c r="A19" s="465" t="s">
        <v>565</v>
      </c>
      <c r="B19" s="466" t="s">
        <v>566</v>
      </c>
      <c r="C19" s="466" t="s">
        <v>337</v>
      </c>
      <c r="D19" s="466" t="s">
        <v>555</v>
      </c>
      <c r="E19" s="466" t="s">
        <v>575</v>
      </c>
      <c r="F19" s="466" t="s">
        <v>586</v>
      </c>
      <c r="G19" s="466" t="s">
        <v>587</v>
      </c>
      <c r="H19" s="500">
        <v>4</v>
      </c>
      <c r="I19" s="500">
        <v>152</v>
      </c>
      <c r="J19" s="466"/>
      <c r="K19" s="466">
        <v>38</v>
      </c>
      <c r="L19" s="500">
        <v>1</v>
      </c>
      <c r="M19" s="500">
        <v>38</v>
      </c>
      <c r="N19" s="466"/>
      <c r="O19" s="466">
        <v>38</v>
      </c>
      <c r="P19" s="500"/>
      <c r="Q19" s="500"/>
      <c r="R19" s="471"/>
      <c r="S19" s="501"/>
    </row>
    <row r="20" spans="1:19" ht="14.45" customHeight="1" x14ac:dyDescent="0.2">
      <c r="A20" s="465" t="s">
        <v>565</v>
      </c>
      <c r="B20" s="466" t="s">
        <v>566</v>
      </c>
      <c r="C20" s="466" t="s">
        <v>337</v>
      </c>
      <c r="D20" s="466" t="s">
        <v>555</v>
      </c>
      <c r="E20" s="466" t="s">
        <v>575</v>
      </c>
      <c r="F20" s="466" t="s">
        <v>590</v>
      </c>
      <c r="G20" s="466" t="s">
        <v>591</v>
      </c>
      <c r="H20" s="500">
        <v>3</v>
      </c>
      <c r="I20" s="500">
        <v>711</v>
      </c>
      <c r="J20" s="466"/>
      <c r="K20" s="466">
        <v>237</v>
      </c>
      <c r="L20" s="500">
        <v>6</v>
      </c>
      <c r="M20" s="500">
        <v>1434</v>
      </c>
      <c r="N20" s="466"/>
      <c r="O20" s="466">
        <v>239</v>
      </c>
      <c r="P20" s="500">
        <v>3</v>
      </c>
      <c r="Q20" s="500">
        <v>774</v>
      </c>
      <c r="R20" s="471"/>
      <c r="S20" s="501">
        <v>258</v>
      </c>
    </row>
    <row r="21" spans="1:19" ht="14.45" customHeight="1" x14ac:dyDescent="0.2">
      <c r="A21" s="465" t="s">
        <v>565</v>
      </c>
      <c r="B21" s="466" t="s">
        <v>566</v>
      </c>
      <c r="C21" s="466" t="s">
        <v>337</v>
      </c>
      <c r="D21" s="466" t="s">
        <v>555</v>
      </c>
      <c r="E21" s="466" t="s">
        <v>575</v>
      </c>
      <c r="F21" s="466" t="s">
        <v>594</v>
      </c>
      <c r="G21" s="466" t="s">
        <v>595</v>
      </c>
      <c r="H21" s="500">
        <v>1</v>
      </c>
      <c r="I21" s="500">
        <v>61</v>
      </c>
      <c r="J21" s="466"/>
      <c r="K21" s="466">
        <v>61</v>
      </c>
      <c r="L21" s="500"/>
      <c r="M21" s="500"/>
      <c r="N21" s="466"/>
      <c r="O21" s="466"/>
      <c r="P21" s="500"/>
      <c r="Q21" s="500"/>
      <c r="R21" s="471"/>
      <c r="S21" s="501"/>
    </row>
    <row r="22" spans="1:19" ht="14.45" customHeight="1" x14ac:dyDescent="0.2">
      <c r="A22" s="465" t="s">
        <v>565</v>
      </c>
      <c r="B22" s="466" t="s">
        <v>566</v>
      </c>
      <c r="C22" s="466" t="s">
        <v>337</v>
      </c>
      <c r="D22" s="466" t="s">
        <v>558</v>
      </c>
      <c r="E22" s="466" t="s">
        <v>567</v>
      </c>
      <c r="F22" s="466" t="s">
        <v>568</v>
      </c>
      <c r="G22" s="466"/>
      <c r="H22" s="500">
        <v>1</v>
      </c>
      <c r="I22" s="500">
        <v>2.44</v>
      </c>
      <c r="J22" s="466"/>
      <c r="K22" s="466">
        <v>2.44</v>
      </c>
      <c r="L22" s="500"/>
      <c r="M22" s="500"/>
      <c r="N22" s="466"/>
      <c r="O22" s="466"/>
      <c r="P22" s="500"/>
      <c r="Q22" s="500"/>
      <c r="R22" s="471"/>
      <c r="S22" s="501"/>
    </row>
    <row r="23" spans="1:19" ht="14.45" customHeight="1" x14ac:dyDescent="0.2">
      <c r="A23" s="465" t="s">
        <v>565</v>
      </c>
      <c r="B23" s="466" t="s">
        <v>566</v>
      </c>
      <c r="C23" s="466" t="s">
        <v>337</v>
      </c>
      <c r="D23" s="466" t="s">
        <v>558</v>
      </c>
      <c r="E23" s="466" t="s">
        <v>567</v>
      </c>
      <c r="F23" s="466" t="s">
        <v>569</v>
      </c>
      <c r="G23" s="466" t="s">
        <v>570</v>
      </c>
      <c r="H23" s="500">
        <v>1</v>
      </c>
      <c r="I23" s="500">
        <v>1118.9000000000001</v>
      </c>
      <c r="J23" s="466"/>
      <c r="K23" s="466">
        <v>1118.9000000000001</v>
      </c>
      <c r="L23" s="500"/>
      <c r="M23" s="500"/>
      <c r="N23" s="466"/>
      <c r="O23" s="466"/>
      <c r="P23" s="500"/>
      <c r="Q23" s="500"/>
      <c r="R23" s="471"/>
      <c r="S23" s="501"/>
    </row>
    <row r="24" spans="1:19" ht="14.45" customHeight="1" x14ac:dyDescent="0.2">
      <c r="A24" s="465" t="s">
        <v>565</v>
      </c>
      <c r="B24" s="466" t="s">
        <v>566</v>
      </c>
      <c r="C24" s="466" t="s">
        <v>337</v>
      </c>
      <c r="D24" s="466" t="s">
        <v>558</v>
      </c>
      <c r="E24" s="466" t="s">
        <v>575</v>
      </c>
      <c r="F24" s="466" t="s">
        <v>576</v>
      </c>
      <c r="G24" s="466" t="s">
        <v>577</v>
      </c>
      <c r="H24" s="500">
        <v>1</v>
      </c>
      <c r="I24" s="500">
        <v>151</v>
      </c>
      <c r="J24" s="466"/>
      <c r="K24" s="466">
        <v>151</v>
      </c>
      <c r="L24" s="500"/>
      <c r="M24" s="500"/>
      <c r="N24" s="466"/>
      <c r="O24" s="466"/>
      <c r="P24" s="500"/>
      <c r="Q24" s="500"/>
      <c r="R24" s="471"/>
      <c r="S24" s="501"/>
    </row>
    <row r="25" spans="1:19" ht="14.45" customHeight="1" x14ac:dyDescent="0.2">
      <c r="A25" s="465" t="s">
        <v>565</v>
      </c>
      <c r="B25" s="466" t="s">
        <v>566</v>
      </c>
      <c r="C25" s="466" t="s">
        <v>337</v>
      </c>
      <c r="D25" s="466" t="s">
        <v>558</v>
      </c>
      <c r="E25" s="466" t="s">
        <v>575</v>
      </c>
      <c r="F25" s="466" t="s">
        <v>596</v>
      </c>
      <c r="G25" s="466" t="s">
        <v>597</v>
      </c>
      <c r="H25" s="500"/>
      <c r="I25" s="500"/>
      <c r="J25" s="466"/>
      <c r="K25" s="466"/>
      <c r="L25" s="500">
        <v>3</v>
      </c>
      <c r="M25" s="500">
        <v>786</v>
      </c>
      <c r="N25" s="466"/>
      <c r="O25" s="466">
        <v>262</v>
      </c>
      <c r="P25" s="500"/>
      <c r="Q25" s="500"/>
      <c r="R25" s="471"/>
      <c r="S25" s="501"/>
    </row>
    <row r="26" spans="1:19" ht="14.45" customHeight="1" x14ac:dyDescent="0.2">
      <c r="A26" s="465" t="s">
        <v>565</v>
      </c>
      <c r="B26" s="466" t="s">
        <v>566</v>
      </c>
      <c r="C26" s="466" t="s">
        <v>337</v>
      </c>
      <c r="D26" s="466" t="s">
        <v>559</v>
      </c>
      <c r="E26" s="466" t="s">
        <v>575</v>
      </c>
      <c r="F26" s="466" t="s">
        <v>594</v>
      </c>
      <c r="G26" s="466" t="s">
        <v>595</v>
      </c>
      <c r="H26" s="500">
        <v>1</v>
      </c>
      <c r="I26" s="500">
        <v>61</v>
      </c>
      <c r="J26" s="466"/>
      <c r="K26" s="466">
        <v>61</v>
      </c>
      <c r="L26" s="500"/>
      <c r="M26" s="500"/>
      <c r="N26" s="466"/>
      <c r="O26" s="466"/>
      <c r="P26" s="500"/>
      <c r="Q26" s="500"/>
      <c r="R26" s="471"/>
      <c r="S26" s="501"/>
    </row>
    <row r="27" spans="1:19" ht="14.45" customHeight="1" x14ac:dyDescent="0.2">
      <c r="A27" s="465" t="s">
        <v>565</v>
      </c>
      <c r="B27" s="466" t="s">
        <v>566</v>
      </c>
      <c r="C27" s="466" t="s">
        <v>337</v>
      </c>
      <c r="D27" s="466" t="s">
        <v>561</v>
      </c>
      <c r="E27" s="466" t="s">
        <v>575</v>
      </c>
      <c r="F27" s="466" t="s">
        <v>586</v>
      </c>
      <c r="G27" s="466" t="s">
        <v>587</v>
      </c>
      <c r="H27" s="500">
        <v>1</v>
      </c>
      <c r="I27" s="500">
        <v>38</v>
      </c>
      <c r="J27" s="466"/>
      <c r="K27" s="466">
        <v>38</v>
      </c>
      <c r="L27" s="500"/>
      <c r="M27" s="500"/>
      <c r="N27" s="466"/>
      <c r="O27" s="466"/>
      <c r="P27" s="500"/>
      <c r="Q27" s="500"/>
      <c r="R27" s="471"/>
      <c r="S27" s="501"/>
    </row>
    <row r="28" spans="1:19" ht="14.45" customHeight="1" x14ac:dyDescent="0.2">
      <c r="A28" s="465" t="s">
        <v>565</v>
      </c>
      <c r="B28" s="466" t="s">
        <v>566</v>
      </c>
      <c r="C28" s="466" t="s">
        <v>337</v>
      </c>
      <c r="D28" s="466" t="s">
        <v>562</v>
      </c>
      <c r="E28" s="466" t="s">
        <v>575</v>
      </c>
      <c r="F28" s="466" t="s">
        <v>578</v>
      </c>
      <c r="G28" s="466" t="s">
        <v>579</v>
      </c>
      <c r="H28" s="500">
        <v>197</v>
      </c>
      <c r="I28" s="500">
        <v>7486</v>
      </c>
      <c r="J28" s="466"/>
      <c r="K28" s="466">
        <v>38</v>
      </c>
      <c r="L28" s="500">
        <v>421</v>
      </c>
      <c r="M28" s="500">
        <v>15998</v>
      </c>
      <c r="N28" s="466"/>
      <c r="O28" s="466">
        <v>38</v>
      </c>
      <c r="P28" s="500">
        <v>519</v>
      </c>
      <c r="Q28" s="500">
        <v>20760</v>
      </c>
      <c r="R28" s="471"/>
      <c r="S28" s="501">
        <v>40</v>
      </c>
    </row>
    <row r="29" spans="1:19" ht="14.45" customHeight="1" x14ac:dyDescent="0.2">
      <c r="A29" s="465" t="s">
        <v>565</v>
      </c>
      <c r="B29" s="466" t="s">
        <v>566</v>
      </c>
      <c r="C29" s="466" t="s">
        <v>337</v>
      </c>
      <c r="D29" s="466" t="s">
        <v>562</v>
      </c>
      <c r="E29" s="466" t="s">
        <v>575</v>
      </c>
      <c r="F29" s="466" t="s">
        <v>582</v>
      </c>
      <c r="G29" s="466" t="s">
        <v>583</v>
      </c>
      <c r="H29" s="500">
        <v>267</v>
      </c>
      <c r="I29" s="500">
        <v>126558</v>
      </c>
      <c r="J29" s="466"/>
      <c r="K29" s="466">
        <v>474</v>
      </c>
      <c r="L29" s="500">
        <v>393</v>
      </c>
      <c r="M29" s="500">
        <v>187461</v>
      </c>
      <c r="N29" s="466"/>
      <c r="O29" s="466">
        <v>477</v>
      </c>
      <c r="P29" s="500">
        <v>559</v>
      </c>
      <c r="Q29" s="500">
        <v>287326</v>
      </c>
      <c r="R29" s="471"/>
      <c r="S29" s="501">
        <v>514</v>
      </c>
    </row>
    <row r="30" spans="1:19" ht="14.45" customHeight="1" x14ac:dyDescent="0.2">
      <c r="A30" s="465" t="s">
        <v>565</v>
      </c>
      <c r="B30" s="466" t="s">
        <v>566</v>
      </c>
      <c r="C30" s="466" t="s">
        <v>337</v>
      </c>
      <c r="D30" s="466" t="s">
        <v>562</v>
      </c>
      <c r="E30" s="466" t="s">
        <v>575</v>
      </c>
      <c r="F30" s="466" t="s">
        <v>584</v>
      </c>
      <c r="G30" s="466" t="s">
        <v>585</v>
      </c>
      <c r="H30" s="500">
        <v>279</v>
      </c>
      <c r="I30" s="500">
        <v>9300.01</v>
      </c>
      <c r="J30" s="466"/>
      <c r="K30" s="466">
        <v>33.33336917562724</v>
      </c>
      <c r="L30" s="500">
        <v>400</v>
      </c>
      <c r="M30" s="500">
        <v>15802.220000000001</v>
      </c>
      <c r="N30" s="466"/>
      <c r="O30" s="466">
        <v>39.505549999999999</v>
      </c>
      <c r="P30" s="500">
        <v>562</v>
      </c>
      <c r="Q30" s="500">
        <v>23278.89</v>
      </c>
      <c r="R30" s="471"/>
      <c r="S30" s="501">
        <v>41.421512455516016</v>
      </c>
    </row>
    <row r="31" spans="1:19" ht="14.45" customHeight="1" x14ac:dyDescent="0.2">
      <c r="A31" s="465" t="s">
        <v>565</v>
      </c>
      <c r="B31" s="466" t="s">
        <v>566</v>
      </c>
      <c r="C31" s="466" t="s">
        <v>337</v>
      </c>
      <c r="D31" s="466" t="s">
        <v>562</v>
      </c>
      <c r="E31" s="466" t="s">
        <v>575</v>
      </c>
      <c r="F31" s="466" t="s">
        <v>586</v>
      </c>
      <c r="G31" s="466" t="s">
        <v>587</v>
      </c>
      <c r="H31" s="500">
        <v>2</v>
      </c>
      <c r="I31" s="500">
        <v>76</v>
      </c>
      <c r="J31" s="466"/>
      <c r="K31" s="466">
        <v>38</v>
      </c>
      <c r="L31" s="500"/>
      <c r="M31" s="500"/>
      <c r="N31" s="466"/>
      <c r="O31" s="466"/>
      <c r="P31" s="500"/>
      <c r="Q31" s="500"/>
      <c r="R31" s="471"/>
      <c r="S31" s="501"/>
    </row>
    <row r="32" spans="1:19" ht="14.45" customHeight="1" x14ac:dyDescent="0.2">
      <c r="A32" s="465" t="s">
        <v>565</v>
      </c>
      <c r="B32" s="466" t="s">
        <v>566</v>
      </c>
      <c r="C32" s="466" t="s">
        <v>337</v>
      </c>
      <c r="D32" s="466" t="s">
        <v>562</v>
      </c>
      <c r="E32" s="466" t="s">
        <v>575</v>
      </c>
      <c r="F32" s="466" t="s">
        <v>590</v>
      </c>
      <c r="G32" s="466" t="s">
        <v>591</v>
      </c>
      <c r="H32" s="500">
        <v>13</v>
      </c>
      <c r="I32" s="500">
        <v>3081</v>
      </c>
      <c r="J32" s="466"/>
      <c r="K32" s="466">
        <v>237</v>
      </c>
      <c r="L32" s="500">
        <v>14</v>
      </c>
      <c r="M32" s="500">
        <v>3346</v>
      </c>
      <c r="N32" s="466"/>
      <c r="O32" s="466">
        <v>239</v>
      </c>
      <c r="P32" s="500">
        <v>22</v>
      </c>
      <c r="Q32" s="500">
        <v>5676</v>
      </c>
      <c r="R32" s="471"/>
      <c r="S32" s="501">
        <v>258</v>
      </c>
    </row>
    <row r="33" spans="1:19" ht="14.45" customHeight="1" x14ac:dyDescent="0.2">
      <c r="A33" s="465" t="s">
        <v>565</v>
      </c>
      <c r="B33" s="466" t="s">
        <v>566</v>
      </c>
      <c r="C33" s="466" t="s">
        <v>337</v>
      </c>
      <c r="D33" s="466" t="s">
        <v>562</v>
      </c>
      <c r="E33" s="466" t="s">
        <v>575</v>
      </c>
      <c r="F33" s="466" t="s">
        <v>592</v>
      </c>
      <c r="G33" s="466" t="s">
        <v>593</v>
      </c>
      <c r="H33" s="500"/>
      <c r="I33" s="500"/>
      <c r="J33" s="466"/>
      <c r="K33" s="466"/>
      <c r="L33" s="500">
        <v>6</v>
      </c>
      <c r="M33" s="500">
        <v>456</v>
      </c>
      <c r="N33" s="466"/>
      <c r="O33" s="466">
        <v>76</v>
      </c>
      <c r="P33" s="500"/>
      <c r="Q33" s="500"/>
      <c r="R33" s="471"/>
      <c r="S33" s="501"/>
    </row>
    <row r="34" spans="1:19" ht="14.45" customHeight="1" x14ac:dyDescent="0.2">
      <c r="A34" s="465" t="s">
        <v>565</v>
      </c>
      <c r="B34" s="466" t="s">
        <v>566</v>
      </c>
      <c r="C34" s="466" t="s">
        <v>337</v>
      </c>
      <c r="D34" s="466" t="s">
        <v>562</v>
      </c>
      <c r="E34" s="466" t="s">
        <v>575</v>
      </c>
      <c r="F34" s="466" t="s">
        <v>594</v>
      </c>
      <c r="G34" s="466" t="s">
        <v>595</v>
      </c>
      <c r="H34" s="500">
        <v>2</v>
      </c>
      <c r="I34" s="500">
        <v>122</v>
      </c>
      <c r="J34" s="466"/>
      <c r="K34" s="466">
        <v>61</v>
      </c>
      <c r="L34" s="500"/>
      <c r="M34" s="500"/>
      <c r="N34" s="466"/>
      <c r="O34" s="466"/>
      <c r="P34" s="500"/>
      <c r="Q34" s="500"/>
      <c r="R34" s="471"/>
      <c r="S34" s="501"/>
    </row>
    <row r="35" spans="1:19" ht="14.45" customHeight="1" x14ac:dyDescent="0.2">
      <c r="A35" s="465" t="s">
        <v>565</v>
      </c>
      <c r="B35" s="466" t="s">
        <v>566</v>
      </c>
      <c r="C35" s="466" t="s">
        <v>337</v>
      </c>
      <c r="D35" s="466" t="s">
        <v>562</v>
      </c>
      <c r="E35" s="466" t="s">
        <v>575</v>
      </c>
      <c r="F35" s="466" t="s">
        <v>596</v>
      </c>
      <c r="G35" s="466" t="s">
        <v>597</v>
      </c>
      <c r="H35" s="500">
        <v>2788</v>
      </c>
      <c r="I35" s="500">
        <v>730456</v>
      </c>
      <c r="J35" s="466"/>
      <c r="K35" s="466">
        <v>262</v>
      </c>
      <c r="L35" s="500">
        <v>5587</v>
      </c>
      <c r="M35" s="500">
        <v>1463794</v>
      </c>
      <c r="N35" s="466"/>
      <c r="O35" s="466">
        <v>262</v>
      </c>
      <c r="P35" s="500">
        <v>5332</v>
      </c>
      <c r="Q35" s="500">
        <v>1396984</v>
      </c>
      <c r="R35" s="471"/>
      <c r="S35" s="501">
        <v>262</v>
      </c>
    </row>
    <row r="36" spans="1:19" ht="14.45" customHeight="1" x14ac:dyDescent="0.2">
      <c r="A36" s="465" t="s">
        <v>565</v>
      </c>
      <c r="B36" s="466" t="s">
        <v>566</v>
      </c>
      <c r="C36" s="466" t="s">
        <v>337</v>
      </c>
      <c r="D36" s="466" t="s">
        <v>562</v>
      </c>
      <c r="E36" s="466" t="s">
        <v>575</v>
      </c>
      <c r="F36" s="466" t="s">
        <v>598</v>
      </c>
      <c r="G36" s="466" t="s">
        <v>599</v>
      </c>
      <c r="H36" s="500">
        <v>789</v>
      </c>
      <c r="I36" s="500">
        <v>2829354</v>
      </c>
      <c r="J36" s="466"/>
      <c r="K36" s="466">
        <v>3586</v>
      </c>
      <c r="L36" s="500">
        <v>1143</v>
      </c>
      <c r="M36" s="500">
        <v>4098798</v>
      </c>
      <c r="N36" s="466"/>
      <c r="O36" s="466">
        <v>3586</v>
      </c>
      <c r="P36" s="500">
        <v>1273</v>
      </c>
      <c r="Q36" s="500">
        <v>4564978</v>
      </c>
      <c r="R36" s="471"/>
      <c r="S36" s="501">
        <v>3586</v>
      </c>
    </row>
    <row r="37" spans="1:19" ht="14.45" customHeight="1" x14ac:dyDescent="0.2">
      <c r="A37" s="465" t="s">
        <v>565</v>
      </c>
      <c r="B37" s="466" t="s">
        <v>566</v>
      </c>
      <c r="C37" s="466" t="s">
        <v>337</v>
      </c>
      <c r="D37" s="466" t="s">
        <v>562</v>
      </c>
      <c r="E37" s="466" t="s">
        <v>575</v>
      </c>
      <c r="F37" s="466" t="s">
        <v>600</v>
      </c>
      <c r="G37" s="466" t="s">
        <v>599</v>
      </c>
      <c r="H37" s="500">
        <v>43</v>
      </c>
      <c r="I37" s="500">
        <v>223600</v>
      </c>
      <c r="J37" s="466"/>
      <c r="K37" s="466">
        <v>5200</v>
      </c>
      <c r="L37" s="500">
        <v>95</v>
      </c>
      <c r="M37" s="500">
        <v>494000</v>
      </c>
      <c r="N37" s="466"/>
      <c r="O37" s="466">
        <v>5200</v>
      </c>
      <c r="P37" s="500">
        <v>91</v>
      </c>
      <c r="Q37" s="500">
        <v>473200</v>
      </c>
      <c r="R37" s="471"/>
      <c r="S37" s="501">
        <v>5200</v>
      </c>
    </row>
    <row r="38" spans="1:19" ht="14.45" customHeight="1" x14ac:dyDescent="0.2">
      <c r="A38" s="465" t="s">
        <v>565</v>
      </c>
      <c r="B38" s="466" t="s">
        <v>566</v>
      </c>
      <c r="C38" s="466" t="s">
        <v>337</v>
      </c>
      <c r="D38" s="466" t="s">
        <v>563</v>
      </c>
      <c r="E38" s="466" t="s">
        <v>575</v>
      </c>
      <c r="F38" s="466" t="s">
        <v>586</v>
      </c>
      <c r="G38" s="466" t="s">
        <v>587</v>
      </c>
      <c r="H38" s="500">
        <v>1</v>
      </c>
      <c r="I38" s="500">
        <v>38</v>
      </c>
      <c r="J38" s="466"/>
      <c r="K38" s="466">
        <v>38</v>
      </c>
      <c r="L38" s="500"/>
      <c r="M38" s="500"/>
      <c r="N38" s="466"/>
      <c r="O38" s="466"/>
      <c r="P38" s="500"/>
      <c r="Q38" s="500"/>
      <c r="R38" s="471"/>
      <c r="S38" s="501"/>
    </row>
    <row r="39" spans="1:19" ht="14.45" customHeight="1" x14ac:dyDescent="0.2">
      <c r="A39" s="465" t="s">
        <v>565</v>
      </c>
      <c r="B39" s="466" t="s">
        <v>566</v>
      </c>
      <c r="C39" s="466" t="s">
        <v>337</v>
      </c>
      <c r="D39" s="466" t="s">
        <v>554</v>
      </c>
      <c r="E39" s="466" t="s">
        <v>575</v>
      </c>
      <c r="F39" s="466" t="s">
        <v>586</v>
      </c>
      <c r="G39" s="466" t="s">
        <v>587</v>
      </c>
      <c r="H39" s="500">
        <v>1</v>
      </c>
      <c r="I39" s="500">
        <v>38</v>
      </c>
      <c r="J39" s="466"/>
      <c r="K39" s="466">
        <v>38</v>
      </c>
      <c r="L39" s="500"/>
      <c r="M39" s="500"/>
      <c r="N39" s="466"/>
      <c r="O39" s="466"/>
      <c r="P39" s="500"/>
      <c r="Q39" s="500"/>
      <c r="R39" s="471"/>
      <c r="S39" s="501"/>
    </row>
    <row r="40" spans="1:19" ht="14.45" customHeight="1" x14ac:dyDescent="0.2">
      <c r="A40" s="465" t="s">
        <v>565</v>
      </c>
      <c r="B40" s="466" t="s">
        <v>566</v>
      </c>
      <c r="C40" s="466" t="s">
        <v>337</v>
      </c>
      <c r="D40" s="466" t="s">
        <v>560</v>
      </c>
      <c r="E40" s="466" t="s">
        <v>575</v>
      </c>
      <c r="F40" s="466" t="s">
        <v>586</v>
      </c>
      <c r="G40" s="466" t="s">
        <v>587</v>
      </c>
      <c r="H40" s="500">
        <v>1</v>
      </c>
      <c r="I40" s="500">
        <v>38</v>
      </c>
      <c r="J40" s="466"/>
      <c r="K40" s="466">
        <v>38</v>
      </c>
      <c r="L40" s="500"/>
      <c r="M40" s="500"/>
      <c r="N40" s="466"/>
      <c r="O40" s="466"/>
      <c r="P40" s="500"/>
      <c r="Q40" s="500"/>
      <c r="R40" s="471"/>
      <c r="S40" s="501"/>
    </row>
    <row r="41" spans="1:19" ht="14.45" customHeight="1" x14ac:dyDescent="0.2">
      <c r="A41" s="465" t="s">
        <v>565</v>
      </c>
      <c r="B41" s="466" t="s">
        <v>566</v>
      </c>
      <c r="C41" s="466" t="s">
        <v>337</v>
      </c>
      <c r="D41" s="466" t="s">
        <v>557</v>
      </c>
      <c r="E41" s="466" t="s">
        <v>575</v>
      </c>
      <c r="F41" s="466" t="s">
        <v>578</v>
      </c>
      <c r="G41" s="466" t="s">
        <v>579</v>
      </c>
      <c r="H41" s="500"/>
      <c r="I41" s="500"/>
      <c r="J41" s="466"/>
      <c r="K41" s="466"/>
      <c r="L41" s="500"/>
      <c r="M41" s="500"/>
      <c r="N41" s="466"/>
      <c r="O41" s="466"/>
      <c r="P41" s="500">
        <v>1</v>
      </c>
      <c r="Q41" s="500">
        <v>40</v>
      </c>
      <c r="R41" s="471"/>
      <c r="S41" s="501">
        <v>40</v>
      </c>
    </row>
    <row r="42" spans="1:19" ht="14.45" customHeight="1" x14ac:dyDescent="0.2">
      <c r="A42" s="465" t="s">
        <v>565</v>
      </c>
      <c r="B42" s="466" t="s">
        <v>566</v>
      </c>
      <c r="C42" s="466" t="s">
        <v>337</v>
      </c>
      <c r="D42" s="466" t="s">
        <v>556</v>
      </c>
      <c r="E42" s="466" t="s">
        <v>567</v>
      </c>
      <c r="F42" s="466" t="s">
        <v>571</v>
      </c>
      <c r="G42" s="466" t="s">
        <v>572</v>
      </c>
      <c r="H42" s="500"/>
      <c r="I42" s="500"/>
      <c r="J42" s="466"/>
      <c r="K42" s="466"/>
      <c r="L42" s="500">
        <v>0.1</v>
      </c>
      <c r="M42" s="500">
        <v>37.54</v>
      </c>
      <c r="N42" s="466"/>
      <c r="O42" s="466">
        <v>375.4</v>
      </c>
      <c r="P42" s="500"/>
      <c r="Q42" s="500"/>
      <c r="R42" s="471"/>
      <c r="S42" s="501"/>
    </row>
    <row r="43" spans="1:19" ht="14.45" customHeight="1" thickBot="1" x14ac:dyDescent="0.25">
      <c r="A43" s="473" t="s">
        <v>565</v>
      </c>
      <c r="B43" s="474" t="s">
        <v>566</v>
      </c>
      <c r="C43" s="474" t="s">
        <v>337</v>
      </c>
      <c r="D43" s="474" t="s">
        <v>556</v>
      </c>
      <c r="E43" s="474" t="s">
        <v>575</v>
      </c>
      <c r="F43" s="474" t="s">
        <v>576</v>
      </c>
      <c r="G43" s="474" t="s">
        <v>577</v>
      </c>
      <c r="H43" s="489"/>
      <c r="I43" s="489"/>
      <c r="J43" s="474"/>
      <c r="K43" s="474"/>
      <c r="L43" s="489">
        <v>1</v>
      </c>
      <c r="M43" s="489">
        <v>153</v>
      </c>
      <c r="N43" s="474"/>
      <c r="O43" s="474">
        <v>153</v>
      </c>
      <c r="P43" s="489"/>
      <c r="Q43" s="489"/>
      <c r="R43" s="479"/>
      <c r="S43" s="49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7EA5BA3-0169-41C4-A021-F445E07C2028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1" t="s">
        <v>235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124</v>
      </c>
      <c r="B3" s="220">
        <f>SUBTOTAL(9,B6:B1048576)</f>
        <v>13277</v>
      </c>
      <c r="C3" s="221">
        <f t="shared" ref="C3:R3" si="0">SUBTOTAL(9,C6:C1048576)</f>
        <v>0</v>
      </c>
      <c r="D3" s="221">
        <f t="shared" si="0"/>
        <v>22125</v>
      </c>
      <c r="E3" s="221">
        <f t="shared" si="0"/>
        <v>0</v>
      </c>
      <c r="F3" s="221">
        <f t="shared" si="0"/>
        <v>15799.56</v>
      </c>
      <c r="G3" s="224">
        <f>IF(D3&lt;&gt;0,F3/D3,"")</f>
        <v>0.71410440677966103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2"/>
      <c r="B5" s="513">
        <v>2019</v>
      </c>
      <c r="C5" s="514"/>
      <c r="D5" s="514">
        <v>2020</v>
      </c>
      <c r="E5" s="514"/>
      <c r="F5" s="514">
        <v>2021</v>
      </c>
      <c r="G5" s="550" t="s">
        <v>2</v>
      </c>
      <c r="H5" s="513">
        <v>2019</v>
      </c>
      <c r="I5" s="514"/>
      <c r="J5" s="514">
        <v>2020</v>
      </c>
      <c r="K5" s="514"/>
      <c r="L5" s="514">
        <v>2021</v>
      </c>
      <c r="M5" s="550" t="s">
        <v>2</v>
      </c>
      <c r="N5" s="513">
        <v>2019</v>
      </c>
      <c r="O5" s="514"/>
      <c r="P5" s="514">
        <v>2020</v>
      </c>
      <c r="Q5" s="514"/>
      <c r="R5" s="514">
        <v>2021</v>
      </c>
      <c r="S5" s="550" t="s">
        <v>2</v>
      </c>
    </row>
    <row r="6" spans="1:19" ht="14.45" customHeight="1" x14ac:dyDescent="0.2">
      <c r="A6" s="536" t="s">
        <v>603</v>
      </c>
      <c r="B6" s="530"/>
      <c r="C6" s="459"/>
      <c r="D6" s="530">
        <v>315</v>
      </c>
      <c r="E6" s="459"/>
      <c r="F6" s="530">
        <v>514</v>
      </c>
      <c r="G6" s="464"/>
      <c r="H6" s="530"/>
      <c r="I6" s="459"/>
      <c r="J6" s="530"/>
      <c r="K6" s="459"/>
      <c r="L6" s="530"/>
      <c r="M6" s="464"/>
      <c r="N6" s="530"/>
      <c r="O6" s="459"/>
      <c r="P6" s="530"/>
      <c r="Q6" s="459"/>
      <c r="R6" s="530"/>
      <c r="S6" s="122"/>
    </row>
    <row r="7" spans="1:19" ht="14.45" customHeight="1" x14ac:dyDescent="0.2">
      <c r="A7" s="537" t="s">
        <v>604</v>
      </c>
      <c r="B7" s="532">
        <v>4923</v>
      </c>
      <c r="C7" s="466"/>
      <c r="D7" s="532">
        <v>6206</v>
      </c>
      <c r="E7" s="466"/>
      <c r="F7" s="532">
        <v>4677.5599999999995</v>
      </c>
      <c r="G7" s="471"/>
      <c r="H7" s="532"/>
      <c r="I7" s="466"/>
      <c r="J7" s="532"/>
      <c r="K7" s="466"/>
      <c r="L7" s="532"/>
      <c r="M7" s="471"/>
      <c r="N7" s="532"/>
      <c r="O7" s="466"/>
      <c r="P7" s="532"/>
      <c r="Q7" s="466"/>
      <c r="R7" s="532"/>
      <c r="S7" s="472"/>
    </row>
    <row r="8" spans="1:19" ht="14.45" customHeight="1" x14ac:dyDescent="0.2">
      <c r="A8" s="537" t="s">
        <v>605</v>
      </c>
      <c r="B8" s="532">
        <v>512</v>
      </c>
      <c r="C8" s="466"/>
      <c r="D8" s="532">
        <v>477</v>
      </c>
      <c r="E8" s="466"/>
      <c r="F8" s="532">
        <v>1108</v>
      </c>
      <c r="G8" s="471"/>
      <c r="H8" s="532"/>
      <c r="I8" s="466"/>
      <c r="J8" s="532"/>
      <c r="K8" s="466"/>
      <c r="L8" s="532"/>
      <c r="M8" s="471"/>
      <c r="N8" s="532"/>
      <c r="O8" s="466"/>
      <c r="P8" s="532"/>
      <c r="Q8" s="466"/>
      <c r="R8" s="532"/>
      <c r="S8" s="472"/>
    </row>
    <row r="9" spans="1:19" ht="14.45" customHeight="1" x14ac:dyDescent="0.2">
      <c r="A9" s="537" t="s">
        <v>606</v>
      </c>
      <c r="B9" s="532">
        <v>5883</v>
      </c>
      <c r="C9" s="466"/>
      <c r="D9" s="532">
        <v>7592</v>
      </c>
      <c r="E9" s="466"/>
      <c r="F9" s="532">
        <v>3166</v>
      </c>
      <c r="G9" s="471"/>
      <c r="H9" s="532"/>
      <c r="I9" s="466"/>
      <c r="J9" s="532"/>
      <c r="K9" s="466"/>
      <c r="L9" s="532"/>
      <c r="M9" s="471"/>
      <c r="N9" s="532"/>
      <c r="O9" s="466"/>
      <c r="P9" s="532"/>
      <c r="Q9" s="466"/>
      <c r="R9" s="532"/>
      <c r="S9" s="472"/>
    </row>
    <row r="10" spans="1:19" ht="14.45" customHeight="1" x14ac:dyDescent="0.2">
      <c r="A10" s="537" t="s">
        <v>607</v>
      </c>
      <c r="B10" s="532"/>
      <c r="C10" s="466"/>
      <c r="D10" s="532"/>
      <c r="E10" s="466"/>
      <c r="F10" s="532">
        <v>514</v>
      </c>
      <c r="G10" s="471"/>
      <c r="H10" s="532"/>
      <c r="I10" s="466"/>
      <c r="J10" s="532"/>
      <c r="K10" s="466"/>
      <c r="L10" s="532"/>
      <c r="M10" s="471"/>
      <c r="N10" s="532"/>
      <c r="O10" s="466"/>
      <c r="P10" s="532"/>
      <c r="Q10" s="466"/>
      <c r="R10" s="532"/>
      <c r="S10" s="472"/>
    </row>
    <row r="11" spans="1:19" ht="14.45" customHeight="1" x14ac:dyDescent="0.2">
      <c r="A11" s="537" t="s">
        <v>608</v>
      </c>
      <c r="B11" s="532">
        <v>275</v>
      </c>
      <c r="C11" s="466"/>
      <c r="D11" s="532"/>
      <c r="E11" s="466"/>
      <c r="F11" s="532"/>
      <c r="G11" s="471"/>
      <c r="H11" s="532"/>
      <c r="I11" s="466"/>
      <c r="J11" s="532"/>
      <c r="K11" s="466"/>
      <c r="L11" s="532"/>
      <c r="M11" s="471"/>
      <c r="N11" s="532"/>
      <c r="O11" s="466"/>
      <c r="P11" s="532"/>
      <c r="Q11" s="466"/>
      <c r="R11" s="532"/>
      <c r="S11" s="472"/>
    </row>
    <row r="12" spans="1:19" ht="14.45" customHeight="1" x14ac:dyDescent="0.2">
      <c r="A12" s="537" t="s">
        <v>609</v>
      </c>
      <c r="B12" s="532"/>
      <c r="C12" s="466"/>
      <c r="D12" s="532">
        <v>277</v>
      </c>
      <c r="E12" s="466"/>
      <c r="F12" s="532">
        <v>40</v>
      </c>
      <c r="G12" s="471"/>
      <c r="H12" s="532"/>
      <c r="I12" s="466"/>
      <c r="J12" s="532"/>
      <c r="K12" s="466"/>
      <c r="L12" s="532"/>
      <c r="M12" s="471"/>
      <c r="N12" s="532"/>
      <c r="O12" s="466"/>
      <c r="P12" s="532"/>
      <c r="Q12" s="466"/>
      <c r="R12" s="532"/>
      <c r="S12" s="472"/>
    </row>
    <row r="13" spans="1:19" ht="14.45" customHeight="1" x14ac:dyDescent="0.2">
      <c r="A13" s="537" t="s">
        <v>610</v>
      </c>
      <c r="B13" s="532"/>
      <c r="C13" s="466"/>
      <c r="D13" s="532"/>
      <c r="E13" s="466"/>
      <c r="F13" s="532">
        <v>514</v>
      </c>
      <c r="G13" s="471"/>
      <c r="H13" s="532"/>
      <c r="I13" s="466"/>
      <c r="J13" s="532"/>
      <c r="K13" s="466"/>
      <c r="L13" s="532"/>
      <c r="M13" s="471"/>
      <c r="N13" s="532"/>
      <c r="O13" s="466"/>
      <c r="P13" s="532"/>
      <c r="Q13" s="466"/>
      <c r="R13" s="532"/>
      <c r="S13" s="472"/>
    </row>
    <row r="14" spans="1:19" ht="14.45" customHeight="1" x14ac:dyDescent="0.2">
      <c r="A14" s="537" t="s">
        <v>611</v>
      </c>
      <c r="B14" s="532"/>
      <c r="C14" s="466"/>
      <c r="D14" s="532">
        <v>716</v>
      </c>
      <c r="E14" s="466"/>
      <c r="F14" s="532"/>
      <c r="G14" s="471"/>
      <c r="H14" s="532"/>
      <c r="I14" s="466"/>
      <c r="J14" s="532"/>
      <c r="K14" s="466"/>
      <c r="L14" s="532"/>
      <c r="M14" s="471"/>
      <c r="N14" s="532"/>
      <c r="O14" s="466"/>
      <c r="P14" s="532"/>
      <c r="Q14" s="466"/>
      <c r="R14" s="532"/>
      <c r="S14" s="472"/>
    </row>
    <row r="15" spans="1:19" ht="14.45" customHeight="1" x14ac:dyDescent="0.2">
      <c r="A15" s="537" t="s">
        <v>612</v>
      </c>
      <c r="B15" s="532">
        <v>190</v>
      </c>
      <c r="C15" s="466"/>
      <c r="D15" s="532"/>
      <c r="E15" s="466"/>
      <c r="F15" s="532"/>
      <c r="G15" s="471"/>
      <c r="H15" s="532"/>
      <c r="I15" s="466"/>
      <c r="J15" s="532"/>
      <c r="K15" s="466"/>
      <c r="L15" s="532"/>
      <c r="M15" s="471"/>
      <c r="N15" s="532"/>
      <c r="O15" s="466"/>
      <c r="P15" s="532"/>
      <c r="Q15" s="466"/>
      <c r="R15" s="532"/>
      <c r="S15" s="472"/>
    </row>
    <row r="16" spans="1:19" ht="14.45" customHeight="1" x14ac:dyDescent="0.2">
      <c r="A16" s="537" t="s">
        <v>613</v>
      </c>
      <c r="B16" s="532">
        <v>711</v>
      </c>
      <c r="C16" s="466"/>
      <c r="D16" s="532">
        <v>3013</v>
      </c>
      <c r="E16" s="466"/>
      <c r="F16" s="532">
        <v>714</v>
      </c>
      <c r="G16" s="471"/>
      <c r="H16" s="532"/>
      <c r="I16" s="466"/>
      <c r="J16" s="532"/>
      <c r="K16" s="466"/>
      <c r="L16" s="532"/>
      <c r="M16" s="471"/>
      <c r="N16" s="532"/>
      <c r="O16" s="466"/>
      <c r="P16" s="532"/>
      <c r="Q16" s="466"/>
      <c r="R16" s="532"/>
      <c r="S16" s="472"/>
    </row>
    <row r="17" spans="1:19" ht="14.45" customHeight="1" x14ac:dyDescent="0.2">
      <c r="A17" s="537" t="s">
        <v>614</v>
      </c>
      <c r="B17" s="532"/>
      <c r="C17" s="466"/>
      <c r="D17" s="532">
        <v>477</v>
      </c>
      <c r="E17" s="466"/>
      <c r="F17" s="532">
        <v>1188</v>
      </c>
      <c r="G17" s="471"/>
      <c r="H17" s="532"/>
      <c r="I17" s="466"/>
      <c r="J17" s="532"/>
      <c r="K17" s="466"/>
      <c r="L17" s="532"/>
      <c r="M17" s="471"/>
      <c r="N17" s="532"/>
      <c r="O17" s="466"/>
      <c r="P17" s="532"/>
      <c r="Q17" s="466"/>
      <c r="R17" s="532"/>
      <c r="S17" s="472"/>
    </row>
    <row r="18" spans="1:19" ht="14.45" customHeight="1" x14ac:dyDescent="0.2">
      <c r="A18" s="537" t="s">
        <v>615</v>
      </c>
      <c r="B18" s="532"/>
      <c r="C18" s="466"/>
      <c r="D18" s="532">
        <v>38</v>
      </c>
      <c r="E18" s="466"/>
      <c r="F18" s="532"/>
      <c r="G18" s="471"/>
      <c r="H18" s="532"/>
      <c r="I18" s="466"/>
      <c r="J18" s="532"/>
      <c r="K18" s="466"/>
      <c r="L18" s="532"/>
      <c r="M18" s="471"/>
      <c r="N18" s="532"/>
      <c r="O18" s="466"/>
      <c r="P18" s="532"/>
      <c r="Q18" s="466"/>
      <c r="R18" s="532"/>
      <c r="S18" s="472"/>
    </row>
    <row r="19" spans="1:19" ht="14.45" customHeight="1" x14ac:dyDescent="0.2">
      <c r="A19" s="537" t="s">
        <v>616</v>
      </c>
      <c r="B19" s="532">
        <v>76</v>
      </c>
      <c r="C19" s="466"/>
      <c r="D19" s="532">
        <v>3014</v>
      </c>
      <c r="E19" s="466"/>
      <c r="F19" s="532">
        <v>3204</v>
      </c>
      <c r="G19" s="471"/>
      <c r="H19" s="532"/>
      <c r="I19" s="466"/>
      <c r="J19" s="532"/>
      <c r="K19" s="466"/>
      <c r="L19" s="532"/>
      <c r="M19" s="471"/>
      <c r="N19" s="532"/>
      <c r="O19" s="466"/>
      <c r="P19" s="532"/>
      <c r="Q19" s="466"/>
      <c r="R19" s="532"/>
      <c r="S19" s="472"/>
    </row>
    <row r="20" spans="1:19" ht="14.45" customHeight="1" x14ac:dyDescent="0.2">
      <c r="A20" s="537" t="s">
        <v>617</v>
      </c>
      <c r="B20" s="532"/>
      <c r="C20" s="466"/>
      <c r="D20" s="532"/>
      <c r="E20" s="466"/>
      <c r="F20" s="532">
        <v>120</v>
      </c>
      <c r="G20" s="471"/>
      <c r="H20" s="532"/>
      <c r="I20" s="466"/>
      <c r="J20" s="532"/>
      <c r="K20" s="466"/>
      <c r="L20" s="532"/>
      <c r="M20" s="471"/>
      <c r="N20" s="532"/>
      <c r="O20" s="466"/>
      <c r="P20" s="532"/>
      <c r="Q20" s="466"/>
      <c r="R20" s="532"/>
      <c r="S20" s="472"/>
    </row>
    <row r="21" spans="1:19" ht="14.45" customHeight="1" x14ac:dyDescent="0.2">
      <c r="A21" s="537" t="s">
        <v>618</v>
      </c>
      <c r="B21" s="532"/>
      <c r="C21" s="466"/>
      <c r="D21" s="532"/>
      <c r="E21" s="466"/>
      <c r="F21" s="532">
        <v>40</v>
      </c>
      <c r="G21" s="471"/>
      <c r="H21" s="532"/>
      <c r="I21" s="466"/>
      <c r="J21" s="532"/>
      <c r="K21" s="466"/>
      <c r="L21" s="532"/>
      <c r="M21" s="471"/>
      <c r="N21" s="532"/>
      <c r="O21" s="466"/>
      <c r="P21" s="532"/>
      <c r="Q21" s="466"/>
      <c r="R21" s="532"/>
      <c r="S21" s="472"/>
    </row>
    <row r="22" spans="1:19" ht="14.45" customHeight="1" thickBot="1" x14ac:dyDescent="0.25">
      <c r="A22" s="538" t="s">
        <v>619</v>
      </c>
      <c r="B22" s="534">
        <v>707</v>
      </c>
      <c r="C22" s="474"/>
      <c r="D22" s="534"/>
      <c r="E22" s="474"/>
      <c r="F22" s="534"/>
      <c r="G22" s="479"/>
      <c r="H22" s="534"/>
      <c r="I22" s="474"/>
      <c r="J22" s="534"/>
      <c r="K22" s="474"/>
      <c r="L22" s="534"/>
      <c r="M22" s="479"/>
      <c r="N22" s="534"/>
      <c r="O22" s="474"/>
      <c r="P22" s="534"/>
      <c r="Q22" s="474"/>
      <c r="R22" s="534"/>
      <c r="S22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8245F98-C10C-4400-8C0C-046213DF492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1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2156.0402299999987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6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0.49703779366700718</v>
      </c>
      <c r="E9" s="165">
        <f t="shared" si="0"/>
        <v>0.8283963227783453</v>
      </c>
    </row>
    <row r="10" spans="1:5" ht="14.45" customHeight="1" x14ac:dyDescent="0.25">
      <c r="A10" s="246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0.71292435258066456</v>
      </c>
      <c r="E10" s="165">
        <f t="shared" si="0"/>
        <v>0.89115544072583064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1952.563239999999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0</v>
      </c>
      <c r="D16" s="183">
        <f ca="1">IF(ISERROR(VLOOKUP("Výnosy celkem",INDIRECT("HI!$A:$G"),5,0)),0,VLOOKUP("Výnosy celkem",INDIRECT("HI!$A:$G"),5,0))</f>
        <v>6887.6647699999994</v>
      </c>
      <c r="E16" s="184">
        <f t="shared" ref="E16:E21" ca="1" si="1">IF(C16=0,0,D16/C16)</f>
        <v>0</v>
      </c>
    </row>
    <row r="17" spans="1:5" ht="14.45" customHeight="1" x14ac:dyDescent="0.25">
      <c r="A17" s="300" t="str">
        <f>HYPERLINK("#HI!A1","Ambulance (body za výkony)")</f>
        <v>Ambulance (body za výkony)</v>
      </c>
      <c r="B17" s="163"/>
      <c r="C17" s="164">
        <f ca="1">IF(ISERROR(VLOOKUP("Ambulance *",INDIRECT("HI!$A:$G"),6,0)),0,VLOOKUP("Ambulance *",INDIRECT("HI!$A:$G"),6,0))</f>
        <v>0</v>
      </c>
      <c r="D17" s="164">
        <f ca="1">IF(ISERROR(VLOOKUP("Ambulance *",INDIRECT("HI!$A:$G"),5,0)),0,VLOOKUP("Ambulance *",INDIRECT("HI!$A:$G"),5,0))</f>
        <v>6887.6647699999994</v>
      </c>
      <c r="E17" s="165">
        <f t="shared" ca="1" si="1"/>
        <v>0</v>
      </c>
    </row>
    <row r="18" spans="1:5" ht="14.45" customHeight="1" x14ac:dyDescent="0.25">
      <c r="A18" s="252" t="str">
        <f>HYPERLINK("#'ZV Vykáz.-A'!A1","Zdravotní výkony vykázané u ambulantních pacientů (min. 100 % 2016)")</f>
        <v>Zdravotní výkony vykázané u ambulantních pacientů (min. 100 % 2016)</v>
      </c>
      <c r="B18" s="253" t="s">
        <v>119</v>
      </c>
      <c r="C18" s="169">
        <v>1</v>
      </c>
      <c r="D18" s="169">
        <f>IF(ISERROR(VLOOKUP("Celkem:",'ZV Vykáz.-A'!$A:$AB,10,0)),"",VLOOKUP("Celkem:",'ZV Vykáz.-A'!$A:$AB,10,0))</f>
        <v>1.0791739500287025</v>
      </c>
      <c r="E18" s="165">
        <f t="shared" si="1"/>
        <v>1.0791739500287025</v>
      </c>
    </row>
    <row r="19" spans="1:5" ht="14.45" customHeight="1" x14ac:dyDescent="0.25">
      <c r="A19" s="251" t="str">
        <f>HYPERLINK("#'ZV Vykáz.-A'!A1","Specializovaná ambulantní péče")</f>
        <v>Specializovaná ambulantní péče</v>
      </c>
      <c r="B19" s="253" t="s">
        <v>119</v>
      </c>
      <c r="C19" s="169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65">
        <f t="shared" si="1"/>
        <v>0</v>
      </c>
    </row>
    <row r="20" spans="1:5" ht="14.45" customHeight="1" x14ac:dyDescent="0.25">
      <c r="A20" s="251" t="str">
        <f>HYPERLINK("#'ZV Vykáz.-A'!A1","Ambulantní péče ve vyjmenovaných odbornostech (§9)")</f>
        <v>Ambulantní péče ve vyjmenovaných odbornostech (§9)</v>
      </c>
      <c r="B20" s="253" t="s">
        <v>119</v>
      </c>
      <c r="C20" s="169">
        <v>1</v>
      </c>
      <c r="D20" s="245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5" t="str">
        <f>HYPERLINK("#'ZV Vykáz.-H'!A1","Zdravotní výkony vykázané u hospitalizovaných pacientů (max. 85 %)")</f>
        <v>Zdravotní výkony vykázané u hospitalizovaných pacientů (max. 85 %)</v>
      </c>
      <c r="B21" s="253" t="s">
        <v>121</v>
      </c>
      <c r="C21" s="169">
        <v>0.85</v>
      </c>
      <c r="D21" s="169">
        <f>IF(ISERROR(VLOOKUP("Celkem:",'ZV Vykáz.-H'!$A:$S,7,0)),"",VLOOKUP("Celkem:",'ZV Vykáz.-H'!$A:$S,7,0))</f>
        <v>0.71410440677966103</v>
      </c>
      <c r="E21" s="165">
        <f t="shared" si="1"/>
        <v>0.84012283150548361</v>
      </c>
    </row>
    <row r="22" spans="1:5" ht="14.45" customHeight="1" x14ac:dyDescent="0.2">
      <c r="A22" s="186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7" t="s">
        <v>147</v>
      </c>
      <c r="B23" s="174"/>
      <c r="C23" s="175"/>
      <c r="D23" s="175"/>
      <c r="E23" s="176"/>
    </row>
    <row r="24" spans="1:5" ht="14.45" customHeight="1" thickBot="1" x14ac:dyDescent="0.25">
      <c r="A24" s="188"/>
      <c r="B24" s="189"/>
      <c r="C24" s="190"/>
      <c r="D24" s="190"/>
      <c r="E24" s="191"/>
    </row>
    <row r="25" spans="1:5" ht="14.45" customHeight="1" thickBot="1" x14ac:dyDescent="0.25">
      <c r="A25" s="192" t="s">
        <v>148</v>
      </c>
      <c r="B25" s="193"/>
      <c r="C25" s="194"/>
      <c r="D25" s="194"/>
      <c r="E25" s="195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23810A3-1E25-454E-92C4-16B4BF07813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05" t="s">
        <v>638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1" t="s">
        <v>235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124</v>
      </c>
      <c r="F3" s="102">
        <f t="shared" ref="F3:O3" si="0">SUBTOTAL(9,F6:F1048576)</f>
        <v>32</v>
      </c>
      <c r="G3" s="103">
        <f t="shared" si="0"/>
        <v>13277</v>
      </c>
      <c r="H3" s="103"/>
      <c r="I3" s="103"/>
      <c r="J3" s="103">
        <f t="shared" si="0"/>
        <v>80</v>
      </c>
      <c r="K3" s="103">
        <f t="shared" si="0"/>
        <v>22125</v>
      </c>
      <c r="L3" s="103"/>
      <c r="M3" s="103"/>
      <c r="N3" s="103">
        <f t="shared" si="0"/>
        <v>64</v>
      </c>
      <c r="O3" s="103">
        <f t="shared" si="0"/>
        <v>15799.560000000001</v>
      </c>
      <c r="P3" s="75">
        <f>IF(K3=0,0,O3/K3)</f>
        <v>0.71410440677966103</v>
      </c>
      <c r="Q3" s="104">
        <f>IF(N3=0,0,O3/N3)</f>
        <v>246.86812500000002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2019</v>
      </c>
      <c r="G4" s="424"/>
      <c r="H4" s="105"/>
      <c r="I4" s="105"/>
      <c r="J4" s="423">
        <v>2020</v>
      </c>
      <c r="K4" s="424"/>
      <c r="L4" s="105"/>
      <c r="M4" s="105"/>
      <c r="N4" s="423">
        <v>2021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41"/>
      <c r="B5" s="539"/>
      <c r="C5" s="541"/>
      <c r="D5" s="551"/>
      <c r="E5" s="543"/>
      <c r="F5" s="552" t="s">
        <v>70</v>
      </c>
      <c r="G5" s="553" t="s">
        <v>13</v>
      </c>
      <c r="H5" s="554"/>
      <c r="I5" s="554"/>
      <c r="J5" s="552" t="s">
        <v>70</v>
      </c>
      <c r="K5" s="553" t="s">
        <v>13</v>
      </c>
      <c r="L5" s="554"/>
      <c r="M5" s="554"/>
      <c r="N5" s="552" t="s">
        <v>70</v>
      </c>
      <c r="O5" s="553" t="s">
        <v>13</v>
      </c>
      <c r="P5" s="555"/>
      <c r="Q5" s="548"/>
    </row>
    <row r="6" spans="1:17" ht="14.45" customHeight="1" x14ac:dyDescent="0.2">
      <c r="A6" s="458" t="s">
        <v>620</v>
      </c>
      <c r="B6" s="459" t="s">
        <v>566</v>
      </c>
      <c r="C6" s="459" t="s">
        <v>575</v>
      </c>
      <c r="D6" s="459" t="s">
        <v>578</v>
      </c>
      <c r="E6" s="459" t="s">
        <v>579</v>
      </c>
      <c r="F6" s="116"/>
      <c r="G6" s="116"/>
      <c r="H6" s="116"/>
      <c r="I6" s="116"/>
      <c r="J6" s="116">
        <v>2</v>
      </c>
      <c r="K6" s="116">
        <v>76</v>
      </c>
      <c r="L6" s="116"/>
      <c r="M6" s="116">
        <v>38</v>
      </c>
      <c r="N6" s="116"/>
      <c r="O6" s="116"/>
      <c r="P6" s="464"/>
      <c r="Q6" s="488"/>
    </row>
    <row r="7" spans="1:17" ht="14.45" customHeight="1" x14ac:dyDescent="0.2">
      <c r="A7" s="465" t="s">
        <v>620</v>
      </c>
      <c r="B7" s="466" t="s">
        <v>566</v>
      </c>
      <c r="C7" s="466" t="s">
        <v>575</v>
      </c>
      <c r="D7" s="466" t="s">
        <v>582</v>
      </c>
      <c r="E7" s="466" t="s">
        <v>583</v>
      </c>
      <c r="F7" s="500"/>
      <c r="G7" s="500"/>
      <c r="H7" s="500"/>
      <c r="I7" s="500"/>
      <c r="J7" s="500"/>
      <c r="K7" s="500"/>
      <c r="L7" s="500"/>
      <c r="M7" s="500"/>
      <c r="N7" s="500">
        <v>1</v>
      </c>
      <c r="O7" s="500">
        <v>514</v>
      </c>
      <c r="P7" s="471"/>
      <c r="Q7" s="501">
        <v>514</v>
      </c>
    </row>
    <row r="8" spans="1:17" ht="14.45" customHeight="1" x14ac:dyDescent="0.2">
      <c r="A8" s="465" t="s">
        <v>620</v>
      </c>
      <c r="B8" s="466" t="s">
        <v>566</v>
      </c>
      <c r="C8" s="466" t="s">
        <v>575</v>
      </c>
      <c r="D8" s="466" t="s">
        <v>590</v>
      </c>
      <c r="E8" s="466" t="s">
        <v>591</v>
      </c>
      <c r="F8" s="500"/>
      <c r="G8" s="500"/>
      <c r="H8" s="500"/>
      <c r="I8" s="500"/>
      <c r="J8" s="500">
        <v>1</v>
      </c>
      <c r="K8" s="500">
        <v>239</v>
      </c>
      <c r="L8" s="500"/>
      <c r="M8" s="500">
        <v>239</v>
      </c>
      <c r="N8" s="500"/>
      <c r="O8" s="500"/>
      <c r="P8" s="471"/>
      <c r="Q8" s="501"/>
    </row>
    <row r="9" spans="1:17" ht="14.45" customHeight="1" x14ac:dyDescent="0.2">
      <c r="A9" s="465" t="s">
        <v>621</v>
      </c>
      <c r="B9" s="466" t="s">
        <v>566</v>
      </c>
      <c r="C9" s="466" t="s">
        <v>575</v>
      </c>
      <c r="D9" s="466" t="s">
        <v>578</v>
      </c>
      <c r="E9" s="466" t="s">
        <v>579</v>
      </c>
      <c r="F9" s="500">
        <v>4</v>
      </c>
      <c r="G9" s="500">
        <v>152</v>
      </c>
      <c r="H9" s="500"/>
      <c r="I9" s="500">
        <v>38</v>
      </c>
      <c r="J9" s="500">
        <v>25</v>
      </c>
      <c r="K9" s="500">
        <v>950</v>
      </c>
      <c r="L9" s="500"/>
      <c r="M9" s="500">
        <v>38</v>
      </c>
      <c r="N9" s="500">
        <v>13</v>
      </c>
      <c r="O9" s="500">
        <v>520</v>
      </c>
      <c r="P9" s="471"/>
      <c r="Q9" s="501">
        <v>40</v>
      </c>
    </row>
    <row r="10" spans="1:17" ht="14.45" customHeight="1" x14ac:dyDescent="0.2">
      <c r="A10" s="465" t="s">
        <v>621</v>
      </c>
      <c r="B10" s="466" t="s">
        <v>566</v>
      </c>
      <c r="C10" s="466" t="s">
        <v>575</v>
      </c>
      <c r="D10" s="466" t="s">
        <v>582</v>
      </c>
      <c r="E10" s="466" t="s">
        <v>583</v>
      </c>
      <c r="F10" s="500">
        <v>2</v>
      </c>
      <c r="G10" s="500">
        <v>948</v>
      </c>
      <c r="H10" s="500"/>
      <c r="I10" s="500">
        <v>474</v>
      </c>
      <c r="J10" s="500">
        <v>3</v>
      </c>
      <c r="K10" s="500">
        <v>1431</v>
      </c>
      <c r="L10" s="500"/>
      <c r="M10" s="500">
        <v>477</v>
      </c>
      <c r="N10" s="500">
        <v>8</v>
      </c>
      <c r="O10" s="500">
        <v>4112</v>
      </c>
      <c r="P10" s="471"/>
      <c r="Q10" s="501">
        <v>514</v>
      </c>
    </row>
    <row r="11" spans="1:17" ht="14.45" customHeight="1" x14ac:dyDescent="0.2">
      <c r="A11" s="465" t="s">
        <v>621</v>
      </c>
      <c r="B11" s="466" t="s">
        <v>566</v>
      </c>
      <c r="C11" s="466" t="s">
        <v>575</v>
      </c>
      <c r="D11" s="466" t="s">
        <v>584</v>
      </c>
      <c r="E11" s="466" t="s">
        <v>585</v>
      </c>
      <c r="F11" s="500"/>
      <c r="G11" s="500"/>
      <c r="H11" s="500"/>
      <c r="I11" s="500"/>
      <c r="J11" s="500"/>
      <c r="K11" s="500"/>
      <c r="L11" s="500"/>
      <c r="M11" s="500"/>
      <c r="N11" s="500">
        <v>1</v>
      </c>
      <c r="O11" s="500">
        <v>45.56</v>
      </c>
      <c r="P11" s="471"/>
      <c r="Q11" s="501">
        <v>45.56</v>
      </c>
    </row>
    <row r="12" spans="1:17" ht="14.45" customHeight="1" x14ac:dyDescent="0.2">
      <c r="A12" s="465" t="s">
        <v>621</v>
      </c>
      <c r="B12" s="466" t="s">
        <v>566</v>
      </c>
      <c r="C12" s="466" t="s">
        <v>575</v>
      </c>
      <c r="D12" s="466" t="s">
        <v>590</v>
      </c>
      <c r="E12" s="466" t="s">
        <v>591</v>
      </c>
      <c r="F12" s="500">
        <v>1</v>
      </c>
      <c r="G12" s="500">
        <v>237</v>
      </c>
      <c r="H12" s="500"/>
      <c r="I12" s="500">
        <v>237</v>
      </c>
      <c r="J12" s="500">
        <v>1</v>
      </c>
      <c r="K12" s="500">
        <v>239</v>
      </c>
      <c r="L12" s="500"/>
      <c r="M12" s="500">
        <v>239</v>
      </c>
      <c r="N12" s="500"/>
      <c r="O12" s="500"/>
      <c r="P12" s="471"/>
      <c r="Q12" s="501"/>
    </row>
    <row r="13" spans="1:17" ht="14.45" customHeight="1" x14ac:dyDescent="0.2">
      <c r="A13" s="465" t="s">
        <v>621</v>
      </c>
      <c r="B13" s="466" t="s">
        <v>566</v>
      </c>
      <c r="C13" s="466" t="s">
        <v>575</v>
      </c>
      <c r="D13" s="466" t="s">
        <v>598</v>
      </c>
      <c r="E13" s="466" t="s">
        <v>599</v>
      </c>
      <c r="F13" s="500">
        <v>1</v>
      </c>
      <c r="G13" s="500">
        <v>3586</v>
      </c>
      <c r="H13" s="500"/>
      <c r="I13" s="500">
        <v>3586</v>
      </c>
      <c r="J13" s="500">
        <v>1</v>
      </c>
      <c r="K13" s="500">
        <v>3586</v>
      </c>
      <c r="L13" s="500"/>
      <c r="M13" s="500">
        <v>3586</v>
      </c>
      <c r="N13" s="500"/>
      <c r="O13" s="500"/>
      <c r="P13" s="471"/>
      <c r="Q13" s="501"/>
    </row>
    <row r="14" spans="1:17" ht="14.45" customHeight="1" x14ac:dyDescent="0.2">
      <c r="A14" s="465" t="s">
        <v>622</v>
      </c>
      <c r="B14" s="466" t="s">
        <v>566</v>
      </c>
      <c r="C14" s="466" t="s">
        <v>575</v>
      </c>
      <c r="D14" s="466" t="s">
        <v>578</v>
      </c>
      <c r="E14" s="466" t="s">
        <v>579</v>
      </c>
      <c r="F14" s="500">
        <v>1</v>
      </c>
      <c r="G14" s="500">
        <v>38</v>
      </c>
      <c r="H14" s="500"/>
      <c r="I14" s="500">
        <v>38</v>
      </c>
      <c r="J14" s="500"/>
      <c r="K14" s="500"/>
      <c r="L14" s="500"/>
      <c r="M14" s="500"/>
      <c r="N14" s="500">
        <v>2</v>
      </c>
      <c r="O14" s="500">
        <v>80</v>
      </c>
      <c r="P14" s="471"/>
      <c r="Q14" s="501">
        <v>40</v>
      </c>
    </row>
    <row r="15" spans="1:17" ht="14.45" customHeight="1" x14ac:dyDescent="0.2">
      <c r="A15" s="465" t="s">
        <v>622</v>
      </c>
      <c r="B15" s="466" t="s">
        <v>566</v>
      </c>
      <c r="C15" s="466" t="s">
        <v>575</v>
      </c>
      <c r="D15" s="466" t="s">
        <v>582</v>
      </c>
      <c r="E15" s="466" t="s">
        <v>583</v>
      </c>
      <c r="F15" s="500">
        <v>1</v>
      </c>
      <c r="G15" s="500">
        <v>474</v>
      </c>
      <c r="H15" s="500"/>
      <c r="I15" s="500">
        <v>474</v>
      </c>
      <c r="J15" s="500">
        <v>1</v>
      </c>
      <c r="K15" s="500">
        <v>477</v>
      </c>
      <c r="L15" s="500"/>
      <c r="M15" s="500">
        <v>477</v>
      </c>
      <c r="N15" s="500">
        <v>2</v>
      </c>
      <c r="O15" s="500">
        <v>1028</v>
      </c>
      <c r="P15" s="471"/>
      <c r="Q15" s="501">
        <v>514</v>
      </c>
    </row>
    <row r="16" spans="1:17" ht="14.45" customHeight="1" x14ac:dyDescent="0.2">
      <c r="A16" s="465" t="s">
        <v>623</v>
      </c>
      <c r="B16" s="466" t="s">
        <v>566</v>
      </c>
      <c r="C16" s="466" t="s">
        <v>575</v>
      </c>
      <c r="D16" s="466" t="s">
        <v>578</v>
      </c>
      <c r="E16" s="466" t="s">
        <v>579</v>
      </c>
      <c r="F16" s="500">
        <v>3</v>
      </c>
      <c r="G16" s="500">
        <v>114</v>
      </c>
      <c r="H16" s="500"/>
      <c r="I16" s="500">
        <v>38</v>
      </c>
      <c r="J16" s="500">
        <v>5</v>
      </c>
      <c r="K16" s="500">
        <v>190</v>
      </c>
      <c r="L16" s="500"/>
      <c r="M16" s="500">
        <v>38</v>
      </c>
      <c r="N16" s="500">
        <v>2</v>
      </c>
      <c r="O16" s="500">
        <v>80</v>
      </c>
      <c r="P16" s="471"/>
      <c r="Q16" s="501">
        <v>40</v>
      </c>
    </row>
    <row r="17" spans="1:17" ht="14.45" customHeight="1" x14ac:dyDescent="0.2">
      <c r="A17" s="465" t="s">
        <v>623</v>
      </c>
      <c r="B17" s="466" t="s">
        <v>566</v>
      </c>
      <c r="C17" s="466" t="s">
        <v>575</v>
      </c>
      <c r="D17" s="466" t="s">
        <v>582</v>
      </c>
      <c r="E17" s="466" t="s">
        <v>583</v>
      </c>
      <c r="F17" s="500">
        <v>3</v>
      </c>
      <c r="G17" s="500">
        <v>1422</v>
      </c>
      <c r="H17" s="500"/>
      <c r="I17" s="500">
        <v>474</v>
      </c>
      <c r="J17" s="500">
        <v>8</v>
      </c>
      <c r="K17" s="500">
        <v>3816</v>
      </c>
      <c r="L17" s="500"/>
      <c r="M17" s="500">
        <v>477</v>
      </c>
      <c r="N17" s="500">
        <v>5</v>
      </c>
      <c r="O17" s="500">
        <v>2570</v>
      </c>
      <c r="P17" s="471"/>
      <c r="Q17" s="501">
        <v>514</v>
      </c>
    </row>
    <row r="18" spans="1:17" ht="14.45" customHeight="1" x14ac:dyDescent="0.2">
      <c r="A18" s="465" t="s">
        <v>623</v>
      </c>
      <c r="B18" s="466" t="s">
        <v>566</v>
      </c>
      <c r="C18" s="466" t="s">
        <v>575</v>
      </c>
      <c r="D18" s="466" t="s">
        <v>590</v>
      </c>
      <c r="E18" s="466" t="s">
        <v>591</v>
      </c>
      <c r="F18" s="500">
        <v>1</v>
      </c>
      <c r="G18" s="500">
        <v>237</v>
      </c>
      <c r="H18" s="500"/>
      <c r="I18" s="500">
        <v>237</v>
      </c>
      <c r="J18" s="500"/>
      <c r="K18" s="500"/>
      <c r="L18" s="500"/>
      <c r="M18" s="500"/>
      <c r="N18" s="500">
        <v>2</v>
      </c>
      <c r="O18" s="500">
        <v>516</v>
      </c>
      <c r="P18" s="471"/>
      <c r="Q18" s="501">
        <v>258</v>
      </c>
    </row>
    <row r="19" spans="1:17" ht="14.45" customHeight="1" x14ac:dyDescent="0.2">
      <c r="A19" s="465" t="s">
        <v>623</v>
      </c>
      <c r="B19" s="466" t="s">
        <v>566</v>
      </c>
      <c r="C19" s="466" t="s">
        <v>575</v>
      </c>
      <c r="D19" s="466" t="s">
        <v>596</v>
      </c>
      <c r="E19" s="466" t="s">
        <v>597</v>
      </c>
      <c r="F19" s="500">
        <v>2</v>
      </c>
      <c r="G19" s="500">
        <v>524</v>
      </c>
      <c r="H19" s="500"/>
      <c r="I19" s="500">
        <v>262</v>
      </c>
      <c r="J19" s="500"/>
      <c r="K19" s="500"/>
      <c r="L19" s="500"/>
      <c r="M19" s="500"/>
      <c r="N19" s="500"/>
      <c r="O19" s="500"/>
      <c r="P19" s="471"/>
      <c r="Q19" s="501"/>
    </row>
    <row r="20" spans="1:17" ht="14.45" customHeight="1" x14ac:dyDescent="0.2">
      <c r="A20" s="465" t="s">
        <v>623</v>
      </c>
      <c r="B20" s="466" t="s">
        <v>566</v>
      </c>
      <c r="C20" s="466" t="s">
        <v>575</v>
      </c>
      <c r="D20" s="466" t="s">
        <v>598</v>
      </c>
      <c r="E20" s="466" t="s">
        <v>599</v>
      </c>
      <c r="F20" s="500">
        <v>1</v>
      </c>
      <c r="G20" s="500">
        <v>3586</v>
      </c>
      <c r="H20" s="500"/>
      <c r="I20" s="500">
        <v>3586</v>
      </c>
      <c r="J20" s="500">
        <v>1</v>
      </c>
      <c r="K20" s="500">
        <v>3586</v>
      </c>
      <c r="L20" s="500"/>
      <c r="M20" s="500">
        <v>3586</v>
      </c>
      <c r="N20" s="500"/>
      <c r="O20" s="500"/>
      <c r="P20" s="471"/>
      <c r="Q20" s="501"/>
    </row>
    <row r="21" spans="1:17" ht="14.45" customHeight="1" x14ac:dyDescent="0.2">
      <c r="A21" s="465" t="s">
        <v>565</v>
      </c>
      <c r="B21" s="466" t="s">
        <v>566</v>
      </c>
      <c r="C21" s="466" t="s">
        <v>575</v>
      </c>
      <c r="D21" s="466" t="s">
        <v>582</v>
      </c>
      <c r="E21" s="466" t="s">
        <v>583</v>
      </c>
      <c r="F21" s="500"/>
      <c r="G21" s="500"/>
      <c r="H21" s="500"/>
      <c r="I21" s="500"/>
      <c r="J21" s="500"/>
      <c r="K21" s="500"/>
      <c r="L21" s="500"/>
      <c r="M21" s="500"/>
      <c r="N21" s="500">
        <v>1</v>
      </c>
      <c r="O21" s="500">
        <v>514</v>
      </c>
      <c r="P21" s="471"/>
      <c r="Q21" s="501">
        <v>514</v>
      </c>
    </row>
    <row r="22" spans="1:17" ht="14.45" customHeight="1" x14ac:dyDescent="0.2">
      <c r="A22" s="465" t="s">
        <v>624</v>
      </c>
      <c r="B22" s="466" t="s">
        <v>566</v>
      </c>
      <c r="C22" s="466" t="s">
        <v>575</v>
      </c>
      <c r="D22" s="466" t="s">
        <v>578</v>
      </c>
      <c r="E22" s="466" t="s">
        <v>579</v>
      </c>
      <c r="F22" s="500">
        <v>1</v>
      </c>
      <c r="G22" s="500">
        <v>38</v>
      </c>
      <c r="H22" s="500"/>
      <c r="I22" s="500">
        <v>38</v>
      </c>
      <c r="J22" s="500"/>
      <c r="K22" s="500"/>
      <c r="L22" s="500"/>
      <c r="M22" s="500"/>
      <c r="N22" s="500"/>
      <c r="O22" s="500"/>
      <c r="P22" s="471"/>
      <c r="Q22" s="501"/>
    </row>
    <row r="23" spans="1:17" ht="14.45" customHeight="1" x14ac:dyDescent="0.2">
      <c r="A23" s="465" t="s">
        <v>624</v>
      </c>
      <c r="B23" s="466" t="s">
        <v>566</v>
      </c>
      <c r="C23" s="466" t="s">
        <v>575</v>
      </c>
      <c r="D23" s="466" t="s">
        <v>590</v>
      </c>
      <c r="E23" s="466" t="s">
        <v>591</v>
      </c>
      <c r="F23" s="500">
        <v>1</v>
      </c>
      <c r="G23" s="500">
        <v>237</v>
      </c>
      <c r="H23" s="500"/>
      <c r="I23" s="500">
        <v>237</v>
      </c>
      <c r="J23" s="500"/>
      <c r="K23" s="500"/>
      <c r="L23" s="500"/>
      <c r="M23" s="500"/>
      <c r="N23" s="500"/>
      <c r="O23" s="500"/>
      <c r="P23" s="471"/>
      <c r="Q23" s="501"/>
    </row>
    <row r="24" spans="1:17" ht="14.45" customHeight="1" x14ac:dyDescent="0.2">
      <c r="A24" s="465" t="s">
        <v>625</v>
      </c>
      <c r="B24" s="466" t="s">
        <v>566</v>
      </c>
      <c r="C24" s="466" t="s">
        <v>575</v>
      </c>
      <c r="D24" s="466" t="s">
        <v>578</v>
      </c>
      <c r="E24" s="466" t="s">
        <v>579</v>
      </c>
      <c r="F24" s="500"/>
      <c r="G24" s="500"/>
      <c r="H24" s="500"/>
      <c r="I24" s="500"/>
      <c r="J24" s="500">
        <v>1</v>
      </c>
      <c r="K24" s="500">
        <v>38</v>
      </c>
      <c r="L24" s="500"/>
      <c r="M24" s="500">
        <v>38</v>
      </c>
      <c r="N24" s="500">
        <v>1</v>
      </c>
      <c r="O24" s="500">
        <v>40</v>
      </c>
      <c r="P24" s="471"/>
      <c r="Q24" s="501">
        <v>40</v>
      </c>
    </row>
    <row r="25" spans="1:17" ht="14.45" customHeight="1" x14ac:dyDescent="0.2">
      <c r="A25" s="465" t="s">
        <v>625</v>
      </c>
      <c r="B25" s="466" t="s">
        <v>566</v>
      </c>
      <c r="C25" s="466" t="s">
        <v>575</v>
      </c>
      <c r="D25" s="466" t="s">
        <v>590</v>
      </c>
      <c r="E25" s="466" t="s">
        <v>591</v>
      </c>
      <c r="F25" s="500"/>
      <c r="G25" s="500"/>
      <c r="H25" s="500"/>
      <c r="I25" s="500"/>
      <c r="J25" s="500">
        <v>1</v>
      </c>
      <c r="K25" s="500">
        <v>239</v>
      </c>
      <c r="L25" s="500"/>
      <c r="M25" s="500">
        <v>239</v>
      </c>
      <c r="N25" s="500"/>
      <c r="O25" s="500"/>
      <c r="P25" s="471"/>
      <c r="Q25" s="501"/>
    </row>
    <row r="26" spans="1:17" ht="14.45" customHeight="1" x14ac:dyDescent="0.2">
      <c r="A26" s="465" t="s">
        <v>626</v>
      </c>
      <c r="B26" s="466" t="s">
        <v>566</v>
      </c>
      <c r="C26" s="466" t="s">
        <v>575</v>
      </c>
      <c r="D26" s="466" t="s">
        <v>582</v>
      </c>
      <c r="E26" s="466" t="s">
        <v>583</v>
      </c>
      <c r="F26" s="500"/>
      <c r="G26" s="500"/>
      <c r="H26" s="500"/>
      <c r="I26" s="500"/>
      <c r="J26" s="500"/>
      <c r="K26" s="500"/>
      <c r="L26" s="500"/>
      <c r="M26" s="500"/>
      <c r="N26" s="500">
        <v>1</v>
      </c>
      <c r="O26" s="500">
        <v>514</v>
      </c>
      <c r="P26" s="471"/>
      <c r="Q26" s="501">
        <v>514</v>
      </c>
    </row>
    <row r="27" spans="1:17" ht="14.45" customHeight="1" x14ac:dyDescent="0.2">
      <c r="A27" s="465" t="s">
        <v>627</v>
      </c>
      <c r="B27" s="466" t="s">
        <v>566</v>
      </c>
      <c r="C27" s="466" t="s">
        <v>575</v>
      </c>
      <c r="D27" s="466" t="s">
        <v>582</v>
      </c>
      <c r="E27" s="466" t="s">
        <v>583</v>
      </c>
      <c r="F27" s="500"/>
      <c r="G27" s="500"/>
      <c r="H27" s="500"/>
      <c r="I27" s="500"/>
      <c r="J27" s="500">
        <v>1</v>
      </c>
      <c r="K27" s="500">
        <v>477</v>
      </c>
      <c r="L27" s="500"/>
      <c r="M27" s="500">
        <v>477</v>
      </c>
      <c r="N27" s="500"/>
      <c r="O27" s="500"/>
      <c r="P27" s="471"/>
      <c r="Q27" s="501"/>
    </row>
    <row r="28" spans="1:17" ht="14.45" customHeight="1" x14ac:dyDescent="0.2">
      <c r="A28" s="465" t="s">
        <v>627</v>
      </c>
      <c r="B28" s="466" t="s">
        <v>566</v>
      </c>
      <c r="C28" s="466" t="s">
        <v>575</v>
      </c>
      <c r="D28" s="466" t="s">
        <v>590</v>
      </c>
      <c r="E28" s="466" t="s">
        <v>591</v>
      </c>
      <c r="F28" s="500"/>
      <c r="G28" s="500"/>
      <c r="H28" s="500"/>
      <c r="I28" s="500"/>
      <c r="J28" s="500">
        <v>1</v>
      </c>
      <c r="K28" s="500">
        <v>239</v>
      </c>
      <c r="L28" s="500"/>
      <c r="M28" s="500">
        <v>239</v>
      </c>
      <c r="N28" s="500"/>
      <c r="O28" s="500"/>
      <c r="P28" s="471"/>
      <c r="Q28" s="501"/>
    </row>
    <row r="29" spans="1:17" ht="14.45" customHeight="1" x14ac:dyDescent="0.2">
      <c r="A29" s="465" t="s">
        <v>628</v>
      </c>
      <c r="B29" s="466" t="s">
        <v>566</v>
      </c>
      <c r="C29" s="466" t="s">
        <v>575</v>
      </c>
      <c r="D29" s="466" t="s">
        <v>578</v>
      </c>
      <c r="E29" s="466" t="s">
        <v>579</v>
      </c>
      <c r="F29" s="500">
        <v>5</v>
      </c>
      <c r="G29" s="500">
        <v>190</v>
      </c>
      <c r="H29" s="500"/>
      <c r="I29" s="500">
        <v>38</v>
      </c>
      <c r="J29" s="500"/>
      <c r="K29" s="500"/>
      <c r="L29" s="500"/>
      <c r="M29" s="500"/>
      <c r="N29" s="500"/>
      <c r="O29" s="500"/>
      <c r="P29" s="471"/>
      <c r="Q29" s="501"/>
    </row>
    <row r="30" spans="1:17" ht="14.45" customHeight="1" x14ac:dyDescent="0.2">
      <c r="A30" s="465" t="s">
        <v>629</v>
      </c>
      <c r="B30" s="466" t="s">
        <v>566</v>
      </c>
      <c r="C30" s="466" t="s">
        <v>575</v>
      </c>
      <c r="D30" s="466" t="s">
        <v>578</v>
      </c>
      <c r="E30" s="466" t="s">
        <v>579</v>
      </c>
      <c r="F30" s="500"/>
      <c r="G30" s="500"/>
      <c r="H30" s="500"/>
      <c r="I30" s="500"/>
      <c r="J30" s="500">
        <v>9</v>
      </c>
      <c r="K30" s="500">
        <v>342</v>
      </c>
      <c r="L30" s="500"/>
      <c r="M30" s="500">
        <v>38</v>
      </c>
      <c r="N30" s="500">
        <v>5</v>
      </c>
      <c r="O30" s="500">
        <v>200</v>
      </c>
      <c r="P30" s="471"/>
      <c r="Q30" s="501">
        <v>40</v>
      </c>
    </row>
    <row r="31" spans="1:17" ht="14.45" customHeight="1" x14ac:dyDescent="0.2">
      <c r="A31" s="465" t="s">
        <v>629</v>
      </c>
      <c r="B31" s="466" t="s">
        <v>566</v>
      </c>
      <c r="C31" s="466" t="s">
        <v>575</v>
      </c>
      <c r="D31" s="466" t="s">
        <v>582</v>
      </c>
      <c r="E31" s="466" t="s">
        <v>583</v>
      </c>
      <c r="F31" s="500">
        <v>1</v>
      </c>
      <c r="G31" s="500">
        <v>474</v>
      </c>
      <c r="H31" s="500"/>
      <c r="I31" s="500">
        <v>474</v>
      </c>
      <c r="J31" s="500">
        <v>4</v>
      </c>
      <c r="K31" s="500">
        <v>1908</v>
      </c>
      <c r="L31" s="500"/>
      <c r="M31" s="500">
        <v>477</v>
      </c>
      <c r="N31" s="500">
        <v>1</v>
      </c>
      <c r="O31" s="500">
        <v>514</v>
      </c>
      <c r="P31" s="471"/>
      <c r="Q31" s="501">
        <v>514</v>
      </c>
    </row>
    <row r="32" spans="1:17" ht="14.45" customHeight="1" x14ac:dyDescent="0.2">
      <c r="A32" s="465" t="s">
        <v>629</v>
      </c>
      <c r="B32" s="466" t="s">
        <v>566</v>
      </c>
      <c r="C32" s="466" t="s">
        <v>575</v>
      </c>
      <c r="D32" s="466" t="s">
        <v>590</v>
      </c>
      <c r="E32" s="466" t="s">
        <v>591</v>
      </c>
      <c r="F32" s="500">
        <v>1</v>
      </c>
      <c r="G32" s="500">
        <v>237</v>
      </c>
      <c r="H32" s="500"/>
      <c r="I32" s="500">
        <v>237</v>
      </c>
      <c r="J32" s="500">
        <v>1</v>
      </c>
      <c r="K32" s="500">
        <v>239</v>
      </c>
      <c r="L32" s="500"/>
      <c r="M32" s="500">
        <v>239</v>
      </c>
      <c r="N32" s="500"/>
      <c r="O32" s="500"/>
      <c r="P32" s="471"/>
      <c r="Q32" s="501"/>
    </row>
    <row r="33" spans="1:17" ht="14.45" customHeight="1" x14ac:dyDescent="0.2">
      <c r="A33" s="465" t="s">
        <v>629</v>
      </c>
      <c r="B33" s="466" t="s">
        <v>566</v>
      </c>
      <c r="C33" s="466" t="s">
        <v>575</v>
      </c>
      <c r="D33" s="466" t="s">
        <v>596</v>
      </c>
      <c r="E33" s="466" t="s">
        <v>597</v>
      </c>
      <c r="F33" s="500">
        <v>0</v>
      </c>
      <c r="G33" s="500">
        <v>0</v>
      </c>
      <c r="H33" s="500"/>
      <c r="I33" s="500"/>
      <c r="J33" s="500">
        <v>2</v>
      </c>
      <c r="K33" s="500">
        <v>524</v>
      </c>
      <c r="L33" s="500"/>
      <c r="M33" s="500">
        <v>262</v>
      </c>
      <c r="N33" s="500"/>
      <c r="O33" s="500"/>
      <c r="P33" s="471"/>
      <c r="Q33" s="501"/>
    </row>
    <row r="34" spans="1:17" ht="14.45" customHeight="1" x14ac:dyDescent="0.2">
      <c r="A34" s="465" t="s">
        <v>629</v>
      </c>
      <c r="B34" s="466" t="s">
        <v>566</v>
      </c>
      <c r="C34" s="466" t="s">
        <v>575</v>
      </c>
      <c r="D34" s="466" t="s">
        <v>598</v>
      </c>
      <c r="E34" s="466" t="s">
        <v>599</v>
      </c>
      <c r="F34" s="500">
        <v>0</v>
      </c>
      <c r="G34" s="500">
        <v>0</v>
      </c>
      <c r="H34" s="500"/>
      <c r="I34" s="500"/>
      <c r="J34" s="500">
        <v>0</v>
      </c>
      <c r="K34" s="500">
        <v>0</v>
      </c>
      <c r="L34" s="500"/>
      <c r="M34" s="500"/>
      <c r="N34" s="500"/>
      <c r="O34" s="500"/>
      <c r="P34" s="471"/>
      <c r="Q34" s="501"/>
    </row>
    <row r="35" spans="1:17" ht="14.45" customHeight="1" x14ac:dyDescent="0.2">
      <c r="A35" s="465" t="s">
        <v>630</v>
      </c>
      <c r="B35" s="466" t="s">
        <v>566</v>
      </c>
      <c r="C35" s="466" t="s">
        <v>575</v>
      </c>
      <c r="D35" s="466" t="s">
        <v>578</v>
      </c>
      <c r="E35" s="466" t="s">
        <v>579</v>
      </c>
      <c r="F35" s="500"/>
      <c r="G35" s="500"/>
      <c r="H35" s="500"/>
      <c r="I35" s="500"/>
      <c r="J35" s="500"/>
      <c r="K35" s="500"/>
      <c r="L35" s="500"/>
      <c r="M35" s="500"/>
      <c r="N35" s="500">
        <v>4</v>
      </c>
      <c r="O35" s="500">
        <v>160</v>
      </c>
      <c r="P35" s="471"/>
      <c r="Q35" s="501">
        <v>40</v>
      </c>
    </row>
    <row r="36" spans="1:17" ht="14.45" customHeight="1" x14ac:dyDescent="0.2">
      <c r="A36" s="465" t="s">
        <v>630</v>
      </c>
      <c r="B36" s="466" t="s">
        <v>566</v>
      </c>
      <c r="C36" s="466" t="s">
        <v>575</v>
      </c>
      <c r="D36" s="466" t="s">
        <v>582</v>
      </c>
      <c r="E36" s="466" t="s">
        <v>583</v>
      </c>
      <c r="F36" s="500"/>
      <c r="G36" s="500"/>
      <c r="H36" s="500"/>
      <c r="I36" s="500"/>
      <c r="J36" s="500">
        <v>1</v>
      </c>
      <c r="K36" s="500">
        <v>477</v>
      </c>
      <c r="L36" s="500"/>
      <c r="M36" s="500">
        <v>477</v>
      </c>
      <c r="N36" s="500">
        <v>2</v>
      </c>
      <c r="O36" s="500">
        <v>1028</v>
      </c>
      <c r="P36" s="471"/>
      <c r="Q36" s="501">
        <v>514</v>
      </c>
    </row>
    <row r="37" spans="1:17" ht="14.45" customHeight="1" x14ac:dyDescent="0.2">
      <c r="A37" s="465" t="s">
        <v>631</v>
      </c>
      <c r="B37" s="466" t="s">
        <v>566</v>
      </c>
      <c r="C37" s="466" t="s">
        <v>575</v>
      </c>
      <c r="D37" s="466" t="s">
        <v>578</v>
      </c>
      <c r="E37" s="466" t="s">
        <v>579</v>
      </c>
      <c r="F37" s="500"/>
      <c r="G37" s="500"/>
      <c r="H37" s="500"/>
      <c r="I37" s="500"/>
      <c r="J37" s="500">
        <v>1</v>
      </c>
      <c r="K37" s="500">
        <v>38</v>
      </c>
      <c r="L37" s="500"/>
      <c r="M37" s="500">
        <v>38</v>
      </c>
      <c r="N37" s="500"/>
      <c r="O37" s="500"/>
      <c r="P37" s="471"/>
      <c r="Q37" s="501"/>
    </row>
    <row r="38" spans="1:17" ht="14.45" customHeight="1" x14ac:dyDescent="0.2">
      <c r="A38" s="465" t="s">
        <v>632</v>
      </c>
      <c r="B38" s="466" t="s">
        <v>566</v>
      </c>
      <c r="C38" s="466" t="s">
        <v>575</v>
      </c>
      <c r="D38" s="466" t="s">
        <v>578</v>
      </c>
      <c r="E38" s="466" t="s">
        <v>579</v>
      </c>
      <c r="F38" s="500">
        <v>2</v>
      </c>
      <c r="G38" s="500">
        <v>76</v>
      </c>
      <c r="H38" s="500"/>
      <c r="I38" s="500">
        <v>38</v>
      </c>
      <c r="J38" s="500">
        <v>4</v>
      </c>
      <c r="K38" s="500">
        <v>152</v>
      </c>
      <c r="L38" s="500"/>
      <c r="M38" s="500">
        <v>38</v>
      </c>
      <c r="N38" s="500">
        <v>3</v>
      </c>
      <c r="O38" s="500">
        <v>120</v>
      </c>
      <c r="P38" s="471"/>
      <c r="Q38" s="501">
        <v>40</v>
      </c>
    </row>
    <row r="39" spans="1:17" ht="14.45" customHeight="1" x14ac:dyDescent="0.2">
      <c r="A39" s="465" t="s">
        <v>632</v>
      </c>
      <c r="B39" s="466" t="s">
        <v>566</v>
      </c>
      <c r="C39" s="466" t="s">
        <v>575</v>
      </c>
      <c r="D39" s="466" t="s">
        <v>582</v>
      </c>
      <c r="E39" s="466" t="s">
        <v>583</v>
      </c>
      <c r="F39" s="500"/>
      <c r="G39" s="500"/>
      <c r="H39" s="500"/>
      <c r="I39" s="500"/>
      <c r="J39" s="500">
        <v>6</v>
      </c>
      <c r="K39" s="500">
        <v>2862</v>
      </c>
      <c r="L39" s="500"/>
      <c r="M39" s="500">
        <v>477</v>
      </c>
      <c r="N39" s="500">
        <v>6</v>
      </c>
      <c r="O39" s="500">
        <v>3084</v>
      </c>
      <c r="P39" s="471"/>
      <c r="Q39" s="501">
        <v>514</v>
      </c>
    </row>
    <row r="40" spans="1:17" ht="14.45" customHeight="1" x14ac:dyDescent="0.2">
      <c r="A40" s="465" t="s">
        <v>632</v>
      </c>
      <c r="B40" s="466" t="s">
        <v>566</v>
      </c>
      <c r="C40" s="466" t="s">
        <v>575</v>
      </c>
      <c r="D40" s="466" t="s">
        <v>596</v>
      </c>
      <c r="E40" s="466" t="s">
        <v>597</v>
      </c>
      <c r="F40" s="500"/>
      <c r="G40" s="500"/>
      <c r="H40" s="500"/>
      <c r="I40" s="500"/>
      <c r="J40" s="500">
        <v>0</v>
      </c>
      <c r="K40" s="500">
        <v>0</v>
      </c>
      <c r="L40" s="500"/>
      <c r="M40" s="500"/>
      <c r="N40" s="500"/>
      <c r="O40" s="500"/>
      <c r="P40" s="471"/>
      <c r="Q40" s="501"/>
    </row>
    <row r="41" spans="1:17" ht="14.45" customHeight="1" x14ac:dyDescent="0.2">
      <c r="A41" s="465" t="s">
        <v>632</v>
      </c>
      <c r="B41" s="466" t="s">
        <v>566</v>
      </c>
      <c r="C41" s="466" t="s">
        <v>575</v>
      </c>
      <c r="D41" s="466" t="s">
        <v>598</v>
      </c>
      <c r="E41" s="466" t="s">
        <v>599</v>
      </c>
      <c r="F41" s="500">
        <v>0</v>
      </c>
      <c r="G41" s="500">
        <v>0</v>
      </c>
      <c r="H41" s="500"/>
      <c r="I41" s="500"/>
      <c r="J41" s="500">
        <v>0</v>
      </c>
      <c r="K41" s="500">
        <v>0</v>
      </c>
      <c r="L41" s="500"/>
      <c r="M41" s="500"/>
      <c r="N41" s="500"/>
      <c r="O41" s="500"/>
      <c r="P41" s="471"/>
      <c r="Q41" s="501"/>
    </row>
    <row r="42" spans="1:17" ht="14.45" customHeight="1" x14ac:dyDescent="0.2">
      <c r="A42" s="465" t="s">
        <v>633</v>
      </c>
      <c r="B42" s="466" t="s">
        <v>566</v>
      </c>
      <c r="C42" s="466" t="s">
        <v>575</v>
      </c>
      <c r="D42" s="466" t="s">
        <v>578</v>
      </c>
      <c r="E42" s="466" t="s">
        <v>579</v>
      </c>
      <c r="F42" s="500"/>
      <c r="G42" s="500"/>
      <c r="H42" s="500"/>
      <c r="I42" s="500"/>
      <c r="J42" s="500"/>
      <c r="K42" s="500"/>
      <c r="L42" s="500"/>
      <c r="M42" s="500"/>
      <c r="N42" s="500">
        <v>3</v>
      </c>
      <c r="O42" s="500">
        <v>120</v>
      </c>
      <c r="P42" s="471"/>
      <c r="Q42" s="501">
        <v>40</v>
      </c>
    </row>
    <row r="43" spans="1:17" ht="14.45" customHeight="1" x14ac:dyDescent="0.2">
      <c r="A43" s="465" t="s">
        <v>634</v>
      </c>
      <c r="B43" s="466" t="s">
        <v>566</v>
      </c>
      <c r="C43" s="466" t="s">
        <v>575</v>
      </c>
      <c r="D43" s="466" t="s">
        <v>578</v>
      </c>
      <c r="E43" s="466" t="s">
        <v>579</v>
      </c>
      <c r="F43" s="500"/>
      <c r="G43" s="500"/>
      <c r="H43" s="500"/>
      <c r="I43" s="500"/>
      <c r="J43" s="500"/>
      <c r="K43" s="500"/>
      <c r="L43" s="500"/>
      <c r="M43" s="500"/>
      <c r="N43" s="500">
        <v>1</v>
      </c>
      <c r="O43" s="500">
        <v>40</v>
      </c>
      <c r="P43" s="471"/>
      <c r="Q43" s="501">
        <v>40</v>
      </c>
    </row>
    <row r="44" spans="1:17" ht="14.45" customHeight="1" thickBot="1" x14ac:dyDescent="0.25">
      <c r="A44" s="473" t="s">
        <v>635</v>
      </c>
      <c r="B44" s="474" t="s">
        <v>566</v>
      </c>
      <c r="C44" s="474" t="s">
        <v>575</v>
      </c>
      <c r="D44" s="474" t="s">
        <v>636</v>
      </c>
      <c r="E44" s="474" t="s">
        <v>637</v>
      </c>
      <c r="F44" s="489">
        <v>1</v>
      </c>
      <c r="G44" s="489">
        <v>707</v>
      </c>
      <c r="H44" s="489"/>
      <c r="I44" s="489">
        <v>707</v>
      </c>
      <c r="J44" s="489"/>
      <c r="K44" s="489"/>
      <c r="L44" s="489"/>
      <c r="M44" s="489"/>
      <c r="N44" s="489"/>
      <c r="O44" s="489"/>
      <c r="P44" s="479"/>
      <c r="Q44" s="4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40C2B14-EB55-4346-93B2-86AD7882481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1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2019</v>
      </c>
      <c r="C3" s="40">
        <v>2020</v>
      </c>
      <c r="D3" s="7"/>
      <c r="E3" s="311">
        <v>2021</v>
      </c>
      <c r="F3" s="312"/>
      <c r="G3" s="312"/>
      <c r="H3" s="313"/>
      <c r="I3" s="314">
        <v>2021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6" t="s">
        <v>211</v>
      </c>
      <c r="J4" s="257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1324.5575599999997</v>
      </c>
      <c r="C6" s="31">
        <v>1641.5504799999994</v>
      </c>
      <c r="D6" s="8"/>
      <c r="E6" s="118">
        <v>1952.563239999999</v>
      </c>
      <c r="F6" s="30">
        <v>0</v>
      </c>
      <c r="G6" s="119">
        <f>E6-F6</f>
        <v>1952.563239999999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177.73135000000025</v>
      </c>
      <c r="C8" s="33">
        <v>139.09198000000015</v>
      </c>
      <c r="D8" s="8"/>
      <c r="E8" s="120">
        <v>203.47698999999966</v>
      </c>
      <c r="F8" s="32">
        <v>0</v>
      </c>
      <c r="G8" s="121">
        <f>E8-F8</f>
        <v>203.47698999999966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1502.28891</v>
      </c>
      <c r="C9" s="35">
        <v>1780.6424599999996</v>
      </c>
      <c r="D9" s="8"/>
      <c r="E9" s="3">
        <v>2156.0402299999987</v>
      </c>
      <c r="F9" s="34">
        <v>0</v>
      </c>
      <c r="G9" s="34">
        <f>E9-F9</f>
        <v>2156.0402299999987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4015.86967</v>
      </c>
      <c r="C11" s="29">
        <f>IF(ISERROR(VLOOKUP("Celkem:",'ZV Vykáz.-A'!A:H,5,0)),0,VLOOKUP("Celkem:",'ZV Vykáz.-A'!A:H,5,0)/1000)</f>
        <v>6382.3489899999995</v>
      </c>
      <c r="D11" s="8"/>
      <c r="E11" s="117">
        <f>IF(ISERROR(VLOOKUP("Celkem:",'ZV Vykáz.-A'!A:H,8,0)),0,VLOOKUP("Celkem:",'ZV Vykáz.-A'!A:H,8,0)/1000)</f>
        <v>6887.6647699999994</v>
      </c>
      <c r="F11" s="28"/>
      <c r="G11" s="116">
        <f>E11-F11</f>
        <v>6887.6647699999994</v>
      </c>
      <c r="H11" s="122" t="str">
        <f>IF(F11&lt;0.00000001,"",E11/F11)</f>
        <v/>
      </c>
      <c r="I11" s="116">
        <f>E11-B11</f>
        <v>2871.7950999999994</v>
      </c>
      <c r="J11" s="122">
        <f>IF(B11&lt;0.00000001,"",E11/B11)</f>
        <v>1.7151116286101982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4015.86967</v>
      </c>
      <c r="C13" s="37">
        <f>SUM(C11:C12)</f>
        <v>6382.3489899999995</v>
      </c>
      <c r="D13" s="8"/>
      <c r="E13" s="5">
        <f>SUM(E11:E12)</f>
        <v>6887.6647699999994</v>
      </c>
      <c r="F13" s="36"/>
      <c r="G13" s="36">
        <f>E13-F13</f>
        <v>6887.6647699999994</v>
      </c>
      <c r="H13" s="126" t="str">
        <f>IF(F13&lt;0.00000001,"",E13/F13)</f>
        <v/>
      </c>
      <c r="I13" s="36">
        <f>SUM(I11:I12)</f>
        <v>2871.7950999999994</v>
      </c>
      <c r="J13" s="126">
        <f>IF(B13&lt;0.00000001,"",E13/B13)</f>
        <v>1.7151116286101982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2.6731673536749998</v>
      </c>
      <c r="C15" s="39">
        <f>IF(C9=0,"",C13/C9)</f>
        <v>3.5842956311397858</v>
      </c>
      <c r="D15" s="8"/>
      <c r="E15" s="6">
        <f>IF(E9=0,"",E13/E9)</f>
        <v>3.1945900981634296</v>
      </c>
      <c r="F15" s="38"/>
      <c r="G15" s="38">
        <f>IF(ISERROR(F15-E15),"",E15-F15)</f>
        <v>3.1945900981634296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4" t="s">
        <v>165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164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210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EFE42071-799D-4A36-AB8C-0227069AFC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1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80</v>
      </c>
      <c r="C3" s="199" t="s">
        <v>81</v>
      </c>
      <c r="D3" s="199" t="s">
        <v>82</v>
      </c>
      <c r="E3" s="198" t="s">
        <v>83</v>
      </c>
      <c r="F3" s="199" t="s">
        <v>84</v>
      </c>
      <c r="G3" s="199" t="s">
        <v>85</v>
      </c>
      <c r="H3" s="199" t="s">
        <v>86</v>
      </c>
      <c r="I3" s="199" t="s">
        <v>87</v>
      </c>
      <c r="J3" s="199" t="s">
        <v>88</v>
      </c>
      <c r="K3" s="199" t="s">
        <v>89</v>
      </c>
      <c r="L3" s="199" t="s">
        <v>90</v>
      </c>
      <c r="M3" s="199" t="s">
        <v>91</v>
      </c>
    </row>
    <row r="4" spans="1:13" ht="14.45" customHeight="1" x14ac:dyDescent="0.2">
      <c r="A4" s="197" t="s">
        <v>79</v>
      </c>
      <c r="B4" s="200">
        <f>(B10+B8)/B6</f>
        <v>4.361763289957886</v>
      </c>
      <c r="C4" s="200">
        <f t="shared" ref="C4:M4" si="0">(C10+C8)/C6</f>
        <v>5.3184791055381329</v>
      </c>
      <c r="D4" s="200">
        <f t="shared" si="0"/>
        <v>4.4690250852362512</v>
      </c>
      <c r="E4" s="200">
        <f t="shared" si="0"/>
        <v>4.5935904643384848</v>
      </c>
      <c r="F4" s="200">
        <f t="shared" si="0"/>
        <v>4.101186164936129</v>
      </c>
      <c r="G4" s="200">
        <f t="shared" si="0"/>
        <v>3.5946168894582318</v>
      </c>
      <c r="H4" s="200">
        <f t="shared" si="0"/>
        <v>3.8093637972512298</v>
      </c>
      <c r="I4" s="200">
        <f t="shared" si="0"/>
        <v>3.7364106655663245</v>
      </c>
      <c r="J4" s="200">
        <f t="shared" si="0"/>
        <v>3.8246528308414414</v>
      </c>
      <c r="K4" s="200">
        <f t="shared" si="0"/>
        <v>3.9015268964806471</v>
      </c>
      <c r="L4" s="200">
        <f t="shared" si="0"/>
        <v>3.8680785417191506</v>
      </c>
      <c r="M4" s="200">
        <f t="shared" si="0"/>
        <v>3.8680785417191506</v>
      </c>
    </row>
    <row r="5" spans="1:13" ht="14.45" customHeight="1" x14ac:dyDescent="0.2">
      <c r="A5" s="201" t="s">
        <v>52</v>
      </c>
      <c r="B5" s="200">
        <f>IF(ISERROR(VLOOKUP($A5,'Man Tab'!$A:$Q,COLUMN()+2,0)),0,VLOOKUP($A5,'Man Tab'!$A:$Q,COLUMN()+2,0))</f>
        <v>135.66276999999999</v>
      </c>
      <c r="C5" s="200">
        <f>IF(ISERROR(VLOOKUP($A5,'Man Tab'!$A:$Q,COLUMN()+2,0)),0,VLOOKUP($A5,'Man Tab'!$A:$Q,COLUMN()+2,0))</f>
        <v>75.920090000000002</v>
      </c>
      <c r="D5" s="200">
        <f>IF(ISERROR(VLOOKUP($A5,'Man Tab'!$A:$Q,COLUMN()+2,0)),0,VLOOKUP($A5,'Man Tab'!$A:$Q,COLUMN()+2,0))</f>
        <v>176.82289</v>
      </c>
      <c r="E5" s="200">
        <f>IF(ISERROR(VLOOKUP($A5,'Man Tab'!$A:$Q,COLUMN()+2,0)),0,VLOOKUP($A5,'Man Tab'!$A:$Q,COLUMN()+2,0))</f>
        <v>138.36126999999999</v>
      </c>
      <c r="F5" s="200">
        <f>IF(ISERROR(VLOOKUP($A5,'Man Tab'!$A:$Q,COLUMN()+2,0)),0,VLOOKUP($A5,'Man Tab'!$A:$Q,COLUMN()+2,0))</f>
        <v>221.26132999999999</v>
      </c>
      <c r="G5" s="200">
        <f>IF(ISERROR(VLOOKUP($A5,'Man Tab'!$A:$Q,COLUMN()+2,0)),0,VLOOKUP($A5,'Man Tab'!$A:$Q,COLUMN()+2,0))</f>
        <v>289.76976999999999</v>
      </c>
      <c r="H5" s="200">
        <f>IF(ISERROR(VLOOKUP($A5,'Man Tab'!$A:$Q,COLUMN()+2,0)),0,VLOOKUP($A5,'Man Tab'!$A:$Q,COLUMN()+2,0))</f>
        <v>106.56946000000001</v>
      </c>
      <c r="I5" s="200">
        <f>IF(ISERROR(VLOOKUP($A5,'Man Tab'!$A:$Q,COLUMN()+2,0)),0,VLOOKUP($A5,'Man Tab'!$A:$Q,COLUMN()+2,0))</f>
        <v>191.99164999999999</v>
      </c>
      <c r="J5" s="200">
        <f>IF(ISERROR(VLOOKUP($A5,'Man Tab'!$A:$Q,COLUMN()+2,0)),0,VLOOKUP($A5,'Man Tab'!$A:$Q,COLUMN()+2,0))</f>
        <v>132.00277</v>
      </c>
      <c r="K5" s="200">
        <f>IF(ISERROR(VLOOKUP($A5,'Man Tab'!$A:$Q,COLUMN()+2,0)),0,VLOOKUP($A5,'Man Tab'!$A:$Q,COLUMN()+2,0))</f>
        <v>132.22064</v>
      </c>
      <c r="L5" s="200">
        <f>IF(ISERROR(VLOOKUP($A5,'Man Tab'!$A:$Q,COLUMN()+2,0)),0,VLOOKUP($A5,'Man Tab'!$A:$Q,COLUMN()+2,0))</f>
        <v>180.05982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75</v>
      </c>
      <c r="B6" s="202">
        <f>B5</f>
        <v>135.66276999999999</v>
      </c>
      <c r="C6" s="202">
        <f t="shared" ref="C6:M6" si="1">C5+B6</f>
        <v>211.58285999999998</v>
      </c>
      <c r="D6" s="202">
        <f t="shared" si="1"/>
        <v>388.40575000000001</v>
      </c>
      <c r="E6" s="202">
        <f t="shared" si="1"/>
        <v>526.76702</v>
      </c>
      <c r="F6" s="202">
        <f t="shared" si="1"/>
        <v>748.02835000000005</v>
      </c>
      <c r="G6" s="202">
        <f t="shared" si="1"/>
        <v>1037.7981199999999</v>
      </c>
      <c r="H6" s="202">
        <f t="shared" si="1"/>
        <v>1144.3675799999999</v>
      </c>
      <c r="I6" s="202">
        <f t="shared" si="1"/>
        <v>1336.3592299999998</v>
      </c>
      <c r="J6" s="202">
        <f t="shared" si="1"/>
        <v>1468.3619999999999</v>
      </c>
      <c r="K6" s="202">
        <f t="shared" si="1"/>
        <v>1600.5826399999999</v>
      </c>
      <c r="L6" s="202">
        <f t="shared" si="1"/>
        <v>1780.6424599999998</v>
      </c>
      <c r="M6" s="202">
        <f t="shared" si="1"/>
        <v>1780.6424599999998</v>
      </c>
    </row>
    <row r="7" spans="1:13" ht="14.45" customHeight="1" x14ac:dyDescent="0.2">
      <c r="A7" s="201" t="s">
        <v>100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76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101</v>
      </c>
      <c r="B9" s="201">
        <v>591728.89</v>
      </c>
      <c r="C9" s="201">
        <v>533570.12999999989</v>
      </c>
      <c r="D9" s="201">
        <v>610496.02</v>
      </c>
      <c r="E9" s="201">
        <v>683956.92</v>
      </c>
      <c r="F9" s="201">
        <v>648051.56000000006</v>
      </c>
      <c r="G9" s="201">
        <v>662683.12999999989</v>
      </c>
      <c r="H9" s="201">
        <v>628825.78</v>
      </c>
      <c r="I9" s="201">
        <v>633874.44999999995</v>
      </c>
      <c r="J9" s="201">
        <v>622788</v>
      </c>
      <c r="K9" s="201">
        <v>628741.34000000008</v>
      </c>
      <c r="L9" s="201">
        <v>642948.66999999993</v>
      </c>
      <c r="M9" s="201">
        <v>0</v>
      </c>
    </row>
    <row r="10" spans="1:13" ht="14.45" customHeight="1" x14ac:dyDescent="0.2">
      <c r="A10" s="201" t="s">
        <v>77</v>
      </c>
      <c r="B10" s="202">
        <f>B9/1000</f>
        <v>591.72888999999998</v>
      </c>
      <c r="C10" s="202">
        <f t="shared" ref="C10:M10" si="3">C9/1000+B10</f>
        <v>1125.2990199999999</v>
      </c>
      <c r="D10" s="202">
        <f t="shared" si="3"/>
        <v>1735.79504</v>
      </c>
      <c r="E10" s="202">
        <f t="shared" si="3"/>
        <v>2419.7519600000001</v>
      </c>
      <c r="F10" s="202">
        <f t="shared" si="3"/>
        <v>3067.8035200000004</v>
      </c>
      <c r="G10" s="202">
        <f t="shared" si="3"/>
        <v>3730.4866500000003</v>
      </c>
      <c r="H10" s="202">
        <f t="shared" si="3"/>
        <v>4359.3124299999999</v>
      </c>
      <c r="I10" s="202">
        <f t="shared" si="3"/>
        <v>4993.1868800000002</v>
      </c>
      <c r="J10" s="202">
        <f t="shared" si="3"/>
        <v>5615.9748799999998</v>
      </c>
      <c r="K10" s="202">
        <f t="shared" si="3"/>
        <v>6244.7162200000002</v>
      </c>
      <c r="L10" s="202">
        <f t="shared" si="3"/>
        <v>6887.66489</v>
      </c>
      <c r="M10" s="202">
        <f t="shared" si="3"/>
        <v>6887.66489</v>
      </c>
    </row>
    <row r="11" spans="1:13" ht="14.45" customHeight="1" x14ac:dyDescent="0.2">
      <c r="A11" s="197"/>
      <c r="B11" s="197" t="s">
        <v>92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6600D2F4-86CD-4DE3-BE33-BAECDF5FF12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3" customFormat="1" ht="14.45" customHeight="1" thickBot="1" x14ac:dyDescent="0.25">
      <c r="A2" s="231" t="s">
        <v>235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2021</v>
      </c>
      <c r="C4" s="138" t="s">
        <v>29</v>
      </c>
      <c r="D4" s="250" t="s">
        <v>214</v>
      </c>
      <c r="E4" s="250" t="s">
        <v>215</v>
      </c>
      <c r="F4" s="250" t="s">
        <v>216</v>
      </c>
      <c r="G4" s="250" t="s">
        <v>217</v>
      </c>
      <c r="H4" s="250" t="s">
        <v>218</v>
      </c>
      <c r="I4" s="250" t="s">
        <v>219</v>
      </c>
      <c r="J4" s="250" t="s">
        <v>220</v>
      </c>
      <c r="K4" s="250" t="s">
        <v>221</v>
      </c>
      <c r="L4" s="250" t="s">
        <v>222</v>
      </c>
      <c r="M4" s="250" t="s">
        <v>223</v>
      </c>
      <c r="N4" s="250" t="s">
        <v>224</v>
      </c>
      <c r="O4" s="250" t="s">
        <v>225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2296</v>
      </c>
      <c r="C9" s="52">
        <v>191.33333333333334</v>
      </c>
      <c r="D9" s="52">
        <v>121.50319999999999</v>
      </c>
      <c r="E9" s="52">
        <v>63.378720000000001</v>
      </c>
      <c r="F9" s="52">
        <v>173.27764000000002</v>
      </c>
      <c r="G9" s="52">
        <v>130.57991000000001</v>
      </c>
      <c r="H9" s="52">
        <v>210.79504999999997</v>
      </c>
      <c r="I9" s="52">
        <v>282.35025000000002</v>
      </c>
      <c r="J9" s="52">
        <v>92.786749999999998</v>
      </c>
      <c r="K9" s="52">
        <v>183.81975</v>
      </c>
      <c r="L9" s="52">
        <v>127.36233</v>
      </c>
      <c r="M9" s="52">
        <v>103.72371000000001</v>
      </c>
      <c r="N9" s="52">
        <v>151.97317000000001</v>
      </c>
      <c r="O9" s="52">
        <v>0</v>
      </c>
      <c r="P9" s="53">
        <v>1641.5504799999999</v>
      </c>
      <c r="Q9" s="95">
        <v>0.77995746594868531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236</v>
      </c>
    </row>
    <row r="13" spans="1:17" ht="14.45" customHeight="1" x14ac:dyDescent="0.2">
      <c r="A13" s="15" t="s">
        <v>40</v>
      </c>
      <c r="B13" s="51">
        <v>29.999999800000001</v>
      </c>
      <c r="C13" s="52">
        <v>2.4999999833333333</v>
      </c>
      <c r="D13" s="52">
        <v>1.78752</v>
      </c>
      <c r="E13" s="52">
        <v>0</v>
      </c>
      <c r="F13" s="52">
        <v>4.1131200000000003</v>
      </c>
      <c r="G13" s="52">
        <v>2.0313599999999998</v>
      </c>
      <c r="H13" s="52">
        <v>3.6652800000000001</v>
      </c>
      <c r="I13" s="52">
        <v>3.1795200000000001</v>
      </c>
      <c r="J13" s="52">
        <v>4.3718399999999997</v>
      </c>
      <c r="K13" s="52">
        <v>3.9744000000000002</v>
      </c>
      <c r="L13" s="52">
        <v>0.39744000000000002</v>
      </c>
      <c r="M13" s="52">
        <v>3.32775</v>
      </c>
      <c r="N13" s="52">
        <v>3.1795200000000001</v>
      </c>
      <c r="O13" s="52">
        <v>0</v>
      </c>
      <c r="P13" s="53">
        <v>30.027750000000001</v>
      </c>
      <c r="Q13" s="95">
        <v>1.0919181890976364</v>
      </c>
    </row>
    <row r="14" spans="1:17" ht="14.45" customHeight="1" x14ac:dyDescent="0.2">
      <c r="A14" s="15" t="s">
        <v>41</v>
      </c>
      <c r="B14" s="51">
        <v>32.369605</v>
      </c>
      <c r="C14" s="52">
        <v>2.6974670833333332</v>
      </c>
      <c r="D14" s="52">
        <v>3.79</v>
      </c>
      <c r="E14" s="52">
        <v>3.516</v>
      </c>
      <c r="F14" s="52">
        <v>3.391</v>
      </c>
      <c r="G14" s="52">
        <v>2.7210000000000001</v>
      </c>
      <c r="H14" s="52">
        <v>2.2109999999999999</v>
      </c>
      <c r="I14" s="52">
        <v>1.7070000000000001</v>
      </c>
      <c r="J14" s="52">
        <v>1.673</v>
      </c>
      <c r="K14" s="52">
        <v>1.6639999999999999</v>
      </c>
      <c r="L14" s="52">
        <v>1.71</v>
      </c>
      <c r="M14" s="52">
        <v>2.5590000000000002</v>
      </c>
      <c r="N14" s="52">
        <v>2.7957800000000002</v>
      </c>
      <c r="O14" s="52">
        <v>0</v>
      </c>
      <c r="P14" s="53">
        <v>27.737780000000004</v>
      </c>
      <c r="Q14" s="95">
        <v>0.93480894696232375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11.800145800000001</v>
      </c>
      <c r="C17" s="52">
        <v>0.98334548333333338</v>
      </c>
      <c r="D17" s="52">
        <v>6.0490500000000003</v>
      </c>
      <c r="E17" s="52">
        <v>6.4918699999999996</v>
      </c>
      <c r="F17" s="52">
        <v>-6.4918699999999996</v>
      </c>
      <c r="G17" s="52">
        <v>0.496</v>
      </c>
      <c r="H17" s="52">
        <v>0</v>
      </c>
      <c r="I17" s="52">
        <v>0</v>
      </c>
      <c r="J17" s="52">
        <v>5.2043699999999999</v>
      </c>
      <c r="K17" s="52">
        <v>0</v>
      </c>
      <c r="L17" s="52">
        <v>0</v>
      </c>
      <c r="M17" s="52">
        <v>0.39400000000000002</v>
      </c>
      <c r="N17" s="52">
        <v>0.26619999999999999</v>
      </c>
      <c r="O17" s="52">
        <v>0</v>
      </c>
      <c r="P17" s="53">
        <v>12.40962</v>
      </c>
      <c r="Q17" s="95">
        <v>1.14725423754741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10.816956599999999</v>
      </c>
      <c r="C19" s="52">
        <v>0.90141304999999994</v>
      </c>
      <c r="D19" s="52">
        <v>0</v>
      </c>
      <c r="E19" s="52">
        <v>0</v>
      </c>
      <c r="F19" s="52">
        <v>0</v>
      </c>
      <c r="G19" s="52">
        <v>0</v>
      </c>
      <c r="H19" s="52">
        <v>2.0569999999999999</v>
      </c>
      <c r="I19" s="52">
        <v>0</v>
      </c>
      <c r="J19" s="52">
        <v>0</v>
      </c>
      <c r="K19" s="52">
        <v>0</v>
      </c>
      <c r="L19" s="52">
        <v>0</v>
      </c>
      <c r="M19" s="52">
        <v>19.68318</v>
      </c>
      <c r="N19" s="52">
        <v>12.293659999999999</v>
      </c>
      <c r="O19" s="52">
        <v>0</v>
      </c>
      <c r="P19" s="53">
        <v>34.033839999999998</v>
      </c>
      <c r="Q19" s="95">
        <v>3.4323726004914779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30.396000000000001</v>
      </c>
      <c r="C21" s="52">
        <v>2.5329999999999999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2.5329999999999999</v>
      </c>
      <c r="J21" s="52">
        <v>2.5329999999999999</v>
      </c>
      <c r="K21" s="52">
        <v>2.5329999999999999</v>
      </c>
      <c r="L21" s="52">
        <v>2.5329999999999999</v>
      </c>
      <c r="M21" s="52">
        <v>2.5329999999999999</v>
      </c>
      <c r="N21" s="52">
        <v>2.5329999999999999</v>
      </c>
      <c r="O21" s="52">
        <v>0</v>
      </c>
      <c r="P21" s="53">
        <v>27.863000000000003</v>
      </c>
      <c r="Q21" s="95">
        <v>1.0000000000000002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7.0179999999999998</v>
      </c>
      <c r="O22" s="52">
        <v>0</v>
      </c>
      <c r="P22" s="53">
        <v>7.0179999999999998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4.9999999998817657E-4</v>
      </c>
      <c r="F24" s="52">
        <v>0</v>
      </c>
      <c r="G24" s="52">
        <v>0</v>
      </c>
      <c r="H24" s="52">
        <v>0</v>
      </c>
      <c r="I24" s="52">
        <v>0</v>
      </c>
      <c r="J24" s="52">
        <v>5.0000000000238742E-4</v>
      </c>
      <c r="K24" s="52">
        <v>5.0000000001659828E-4</v>
      </c>
      <c r="L24" s="52">
        <v>0</v>
      </c>
      <c r="M24" s="52">
        <v>0</v>
      </c>
      <c r="N24" s="52">
        <v>4.9000000001342414E-4</v>
      </c>
      <c r="O24" s="52">
        <v>0</v>
      </c>
      <c r="P24" s="53">
        <v>1.9900000000205864E-3</v>
      </c>
      <c r="Q24" s="95" t="s">
        <v>236</v>
      </c>
    </row>
    <row r="25" spans="1:17" ht="14.45" customHeight="1" x14ac:dyDescent="0.2">
      <c r="A25" s="17" t="s">
        <v>52</v>
      </c>
      <c r="B25" s="54">
        <v>2411.3827071999999</v>
      </c>
      <c r="C25" s="55">
        <v>200.94855893333332</v>
      </c>
      <c r="D25" s="55">
        <v>135.66276999999999</v>
      </c>
      <c r="E25" s="55">
        <v>75.920090000000002</v>
      </c>
      <c r="F25" s="55">
        <v>176.82289</v>
      </c>
      <c r="G25" s="55">
        <v>138.36126999999999</v>
      </c>
      <c r="H25" s="55">
        <v>221.26132999999999</v>
      </c>
      <c r="I25" s="55">
        <v>289.76976999999999</v>
      </c>
      <c r="J25" s="55">
        <v>106.56946000000001</v>
      </c>
      <c r="K25" s="55">
        <v>191.99164999999999</v>
      </c>
      <c r="L25" s="55">
        <v>132.00277</v>
      </c>
      <c r="M25" s="55">
        <v>132.22064</v>
      </c>
      <c r="N25" s="55">
        <v>180.05982</v>
      </c>
      <c r="O25" s="55">
        <v>0</v>
      </c>
      <c r="P25" s="56">
        <v>1780.6424599999998</v>
      </c>
      <c r="Q25" s="96">
        <v>0.80556231969014236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0.40077999999999997</v>
      </c>
      <c r="G26" s="52">
        <v>0</v>
      </c>
      <c r="H26" s="52">
        <v>8.5169999999999996E-2</v>
      </c>
      <c r="I26" s="52">
        <v>0.73678999999999994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1.2227399999999999</v>
      </c>
      <c r="Q26" s="95" t="s">
        <v>236</v>
      </c>
    </row>
    <row r="27" spans="1:17" ht="14.45" customHeight="1" x14ac:dyDescent="0.2">
      <c r="A27" s="18" t="s">
        <v>54</v>
      </c>
      <c r="B27" s="54">
        <v>2411.3827071999999</v>
      </c>
      <c r="C27" s="55">
        <v>200.94855893333332</v>
      </c>
      <c r="D27" s="55">
        <v>135.66276999999999</v>
      </c>
      <c r="E27" s="55">
        <v>75.920090000000002</v>
      </c>
      <c r="F27" s="55">
        <v>177.22367</v>
      </c>
      <c r="G27" s="55">
        <v>138.36126999999999</v>
      </c>
      <c r="H27" s="55">
        <v>221.34649999999999</v>
      </c>
      <c r="I27" s="55">
        <v>290.50655999999998</v>
      </c>
      <c r="J27" s="55">
        <v>106.56946000000001</v>
      </c>
      <c r="K27" s="55">
        <v>191.99164999999999</v>
      </c>
      <c r="L27" s="55">
        <v>132.00277</v>
      </c>
      <c r="M27" s="55">
        <v>132.22064</v>
      </c>
      <c r="N27" s="55">
        <v>180.05982</v>
      </c>
      <c r="O27" s="55">
        <v>0</v>
      </c>
      <c r="P27" s="56">
        <v>1781.8651999999997</v>
      </c>
      <c r="Q27" s="96">
        <v>0.80611548704007618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A2FCE3AB-1A59-4BD7-8226-1BB56A30A0F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1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229</v>
      </c>
      <c r="G4" s="329" t="s">
        <v>63</v>
      </c>
      <c r="H4" s="140" t="s">
        <v>136</v>
      </c>
      <c r="I4" s="327" t="s">
        <v>64</v>
      </c>
      <c r="J4" s="329" t="s">
        <v>227</v>
      </c>
      <c r="K4" s="330" t="s">
        <v>226</v>
      </c>
    </row>
    <row r="5" spans="1:13" ht="39" thickBot="1" x14ac:dyDescent="0.25">
      <c r="A5" s="78"/>
      <c r="B5" s="24" t="s">
        <v>233</v>
      </c>
      <c r="C5" s="25" t="s">
        <v>232</v>
      </c>
      <c r="D5" s="26" t="s">
        <v>231</v>
      </c>
      <c r="E5" s="26" t="s">
        <v>230</v>
      </c>
      <c r="F5" s="328"/>
      <c r="G5" s="328"/>
      <c r="H5" s="25" t="s">
        <v>228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-2408.3158416000001</v>
      </c>
      <c r="C6" s="429">
        <v>8018.7219999999998</v>
      </c>
      <c r="D6" s="429">
        <v>10427.0378416</v>
      </c>
      <c r="E6" s="430">
        <v>-3.3295973316658682</v>
      </c>
      <c r="F6" s="428">
        <v>4080.4024434000003</v>
      </c>
      <c r="G6" s="429">
        <v>3740.3689064500004</v>
      </c>
      <c r="H6" s="429">
        <v>818.50135999999998</v>
      </c>
      <c r="I6" s="429">
        <v>8596.7869600000013</v>
      </c>
      <c r="J6" s="429">
        <v>4856.4180535500009</v>
      </c>
      <c r="K6" s="431">
        <v>2.1068478120106011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2408.3158416000001</v>
      </c>
      <c r="C7" s="429">
        <v>2339.7519900000002</v>
      </c>
      <c r="D7" s="429">
        <v>-68.563851599999907</v>
      </c>
      <c r="E7" s="430">
        <v>0.97153037387552599</v>
      </c>
      <c r="F7" s="428">
        <v>2411.3827071999999</v>
      </c>
      <c r="G7" s="429">
        <v>2210.4341482666664</v>
      </c>
      <c r="H7" s="429">
        <v>180.05982</v>
      </c>
      <c r="I7" s="429">
        <v>1780.64246</v>
      </c>
      <c r="J7" s="429">
        <v>-429.79168826666637</v>
      </c>
      <c r="K7" s="431">
        <v>0.73843212638263056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2358.2550179</v>
      </c>
      <c r="C8" s="429">
        <v>2190.9183900000003</v>
      </c>
      <c r="D8" s="429">
        <v>-167.33662789999971</v>
      </c>
      <c r="E8" s="430">
        <v>0.92904218304218378</v>
      </c>
      <c r="F8" s="428">
        <v>2358.3696047999997</v>
      </c>
      <c r="G8" s="429">
        <v>2161.8388043999998</v>
      </c>
      <c r="H8" s="429">
        <v>157.94896</v>
      </c>
      <c r="I8" s="429">
        <v>1699.318</v>
      </c>
      <c r="J8" s="429">
        <v>-462.52080439999986</v>
      </c>
      <c r="K8" s="431">
        <v>0.72054778714132461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2325.9999997999998</v>
      </c>
      <c r="C9" s="429">
        <v>2159.0093900000002</v>
      </c>
      <c r="D9" s="429">
        <v>-166.99060979999967</v>
      </c>
      <c r="E9" s="430">
        <v>0.92820696052693108</v>
      </c>
      <c r="F9" s="428">
        <v>2325.9999997999998</v>
      </c>
      <c r="G9" s="429">
        <v>2132.1666664833333</v>
      </c>
      <c r="H9" s="429">
        <v>155.15317999999999</v>
      </c>
      <c r="I9" s="429">
        <v>1671.5802200000001</v>
      </c>
      <c r="J9" s="429">
        <v>-460.58644648333325</v>
      </c>
      <c r="K9" s="431">
        <v>0.71865013763702934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7.3999999999999999E-4</v>
      </c>
      <c r="D10" s="429">
        <v>7.3999999999999999E-4</v>
      </c>
      <c r="E10" s="430">
        <v>0</v>
      </c>
      <c r="F10" s="428">
        <v>0</v>
      </c>
      <c r="G10" s="429">
        <v>0</v>
      </c>
      <c r="H10" s="429">
        <v>4.8999999999999998E-4</v>
      </c>
      <c r="I10" s="429">
        <v>1.99E-3</v>
      </c>
      <c r="J10" s="429">
        <v>1.99E-3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7.3999999999999999E-4</v>
      </c>
      <c r="D11" s="429">
        <v>7.3999999999999999E-4</v>
      </c>
      <c r="E11" s="430">
        <v>0</v>
      </c>
      <c r="F11" s="428">
        <v>0</v>
      </c>
      <c r="G11" s="429">
        <v>0</v>
      </c>
      <c r="H11" s="429">
        <v>4.8999999999999998E-4</v>
      </c>
      <c r="I11" s="429">
        <v>1.99E-3</v>
      </c>
      <c r="J11" s="429">
        <v>1.99E-3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2295.9999997999998</v>
      </c>
      <c r="C12" s="429">
        <v>2126.17533</v>
      </c>
      <c r="D12" s="429">
        <v>-169.82466979999981</v>
      </c>
      <c r="E12" s="430">
        <v>0.92603455147439329</v>
      </c>
      <c r="F12" s="428">
        <v>2296</v>
      </c>
      <c r="G12" s="429">
        <v>2104.666666666667</v>
      </c>
      <c r="H12" s="429">
        <v>151.97317000000001</v>
      </c>
      <c r="I12" s="429">
        <v>1641.5504799999999</v>
      </c>
      <c r="J12" s="429">
        <v>-463.11618666666709</v>
      </c>
      <c r="K12" s="431">
        <v>0.71496101045296157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</v>
      </c>
      <c r="C13" s="429">
        <v>312.20941999999997</v>
      </c>
      <c r="D13" s="429">
        <v>122.20941999999997</v>
      </c>
      <c r="E13" s="430">
        <v>1.6432074736842104</v>
      </c>
      <c r="F13" s="428">
        <v>350.00000019999999</v>
      </c>
      <c r="G13" s="429">
        <v>320.83333351666664</v>
      </c>
      <c r="H13" s="429">
        <v>10.70539</v>
      </c>
      <c r="I13" s="429">
        <v>206.82550000000001</v>
      </c>
      <c r="J13" s="429">
        <v>-114.00783351666664</v>
      </c>
      <c r="K13" s="431">
        <v>0.59092999966232573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1440</v>
      </c>
      <c r="C14" s="429">
        <v>874.58256999999992</v>
      </c>
      <c r="D14" s="429">
        <v>-565.41743000000008</v>
      </c>
      <c r="E14" s="430">
        <v>0.60734900694444438</v>
      </c>
      <c r="F14" s="428">
        <v>1003.9999999</v>
      </c>
      <c r="G14" s="429">
        <v>920.33333324166676</v>
      </c>
      <c r="H14" s="429">
        <v>49.183480000000003</v>
      </c>
      <c r="I14" s="429">
        <v>474.96065999999996</v>
      </c>
      <c r="J14" s="429">
        <v>-445.3726732416668</v>
      </c>
      <c r="K14" s="431">
        <v>0.47306838650130156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535.99999979999996</v>
      </c>
      <c r="C15" s="429">
        <v>732.09888999999998</v>
      </c>
      <c r="D15" s="429">
        <v>196.09889020000003</v>
      </c>
      <c r="E15" s="430">
        <v>1.3658561385693493</v>
      </c>
      <c r="F15" s="428">
        <v>729.99999990000003</v>
      </c>
      <c r="G15" s="429">
        <v>669.16666657500002</v>
      </c>
      <c r="H15" s="429">
        <v>69.943439999999995</v>
      </c>
      <c r="I15" s="429">
        <v>703.02298999999994</v>
      </c>
      <c r="J15" s="429">
        <v>33.856323424999914</v>
      </c>
      <c r="K15" s="431">
        <v>0.96304519191274573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34.999999799999998</v>
      </c>
      <c r="C16" s="429">
        <v>61.427800000000005</v>
      </c>
      <c r="D16" s="429">
        <v>26.427800200000007</v>
      </c>
      <c r="E16" s="430">
        <v>1.7550800100290289</v>
      </c>
      <c r="F16" s="428">
        <v>62</v>
      </c>
      <c r="G16" s="429">
        <v>56.833333333333336</v>
      </c>
      <c r="H16" s="429">
        <v>1.03688</v>
      </c>
      <c r="I16" s="429">
        <v>53.710569999999997</v>
      </c>
      <c r="J16" s="429">
        <v>-3.1227633333333387</v>
      </c>
      <c r="K16" s="431">
        <v>0.86629951612903222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90.000000199999988</v>
      </c>
      <c r="C17" s="429">
        <v>136.59814</v>
      </c>
      <c r="D17" s="429">
        <v>46.598139800000013</v>
      </c>
      <c r="E17" s="430">
        <v>1.5177571077383178</v>
      </c>
      <c r="F17" s="428">
        <v>140</v>
      </c>
      <c r="G17" s="429">
        <v>128.33333333333331</v>
      </c>
      <c r="H17" s="429">
        <v>20.784580000000002</v>
      </c>
      <c r="I17" s="429">
        <v>181.07532</v>
      </c>
      <c r="J17" s="429">
        <v>52.741986666666691</v>
      </c>
      <c r="K17" s="431">
        <v>1.2933951428571429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5</v>
      </c>
      <c r="C18" s="429">
        <v>9.2585099999999994</v>
      </c>
      <c r="D18" s="429">
        <v>4.2585099999999994</v>
      </c>
      <c r="E18" s="430">
        <v>1.851702</v>
      </c>
      <c r="F18" s="428">
        <v>10</v>
      </c>
      <c r="G18" s="429">
        <v>9.1666666666666679</v>
      </c>
      <c r="H18" s="429">
        <v>0</v>
      </c>
      <c r="I18" s="429">
        <v>21.267040000000001</v>
      </c>
      <c r="J18" s="429">
        <v>12.100373333333334</v>
      </c>
      <c r="K18" s="431">
        <v>2.1267040000000001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0</v>
      </c>
      <c r="D19" s="429">
        <v>0</v>
      </c>
      <c r="E19" s="430">
        <v>0</v>
      </c>
      <c r="F19" s="428">
        <v>0</v>
      </c>
      <c r="G19" s="429">
        <v>0</v>
      </c>
      <c r="H19" s="429">
        <v>0.31939999999999996</v>
      </c>
      <c r="I19" s="429">
        <v>0.68840000000000001</v>
      </c>
      <c r="J19" s="429">
        <v>0.68840000000000001</v>
      </c>
      <c r="K19" s="431">
        <v>0</v>
      </c>
      <c r="L19" s="150"/>
      <c r="M19" s="427" t="str">
        <f t="shared" si="0"/>
        <v/>
      </c>
    </row>
    <row r="20" spans="1:13" ht="14.45" customHeight="1" x14ac:dyDescent="0.2">
      <c r="A20" s="432" t="s">
        <v>251</v>
      </c>
      <c r="B20" s="428">
        <v>0</v>
      </c>
      <c r="C20" s="429">
        <v>3.5681599999999998</v>
      </c>
      <c r="D20" s="429">
        <v>3.5681599999999998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>X</v>
      </c>
    </row>
    <row r="21" spans="1:13" ht="14.45" customHeight="1" x14ac:dyDescent="0.2">
      <c r="A21" s="432" t="s">
        <v>252</v>
      </c>
      <c r="B21" s="428">
        <v>0</v>
      </c>
      <c r="C21" s="429">
        <v>3.5681599999999998</v>
      </c>
      <c r="D21" s="429">
        <v>3.5681599999999998</v>
      </c>
      <c r="E21" s="430">
        <v>0</v>
      </c>
      <c r="F21" s="428">
        <v>0</v>
      </c>
      <c r="G21" s="429">
        <v>0</v>
      </c>
      <c r="H21" s="429">
        <v>0</v>
      </c>
      <c r="I21" s="429">
        <v>0</v>
      </c>
      <c r="J21" s="429">
        <v>0</v>
      </c>
      <c r="K21" s="431">
        <v>0</v>
      </c>
      <c r="L21" s="150"/>
      <c r="M21" s="427" t="str">
        <f t="shared" si="0"/>
        <v/>
      </c>
    </row>
    <row r="22" spans="1:13" ht="14.45" customHeight="1" x14ac:dyDescent="0.2">
      <c r="A22" s="432" t="s">
        <v>253</v>
      </c>
      <c r="B22" s="428">
        <v>0</v>
      </c>
      <c r="C22" s="429">
        <v>0.42963999999999997</v>
      </c>
      <c r="D22" s="429">
        <v>0.42963999999999997</v>
      </c>
      <c r="E22" s="430">
        <v>0</v>
      </c>
      <c r="F22" s="428">
        <v>0</v>
      </c>
      <c r="G22" s="429">
        <v>0</v>
      </c>
      <c r="H22" s="429">
        <v>0</v>
      </c>
      <c r="I22" s="429">
        <v>0</v>
      </c>
      <c r="J22" s="429">
        <v>0</v>
      </c>
      <c r="K22" s="431">
        <v>0</v>
      </c>
      <c r="L22" s="150"/>
      <c r="M22" s="427" t="str">
        <f t="shared" si="0"/>
        <v>X</v>
      </c>
    </row>
    <row r="23" spans="1:13" ht="14.45" customHeight="1" x14ac:dyDescent="0.2">
      <c r="A23" s="432" t="s">
        <v>254</v>
      </c>
      <c r="B23" s="428">
        <v>0</v>
      </c>
      <c r="C23" s="429">
        <v>0.42963999999999997</v>
      </c>
      <c r="D23" s="429">
        <v>0.42963999999999997</v>
      </c>
      <c r="E23" s="430">
        <v>0</v>
      </c>
      <c r="F23" s="428">
        <v>0</v>
      </c>
      <c r="G23" s="429">
        <v>0</v>
      </c>
      <c r="H23" s="429">
        <v>0</v>
      </c>
      <c r="I23" s="429">
        <v>0</v>
      </c>
      <c r="J23" s="429">
        <v>0</v>
      </c>
      <c r="K23" s="431">
        <v>0</v>
      </c>
      <c r="L23" s="150"/>
      <c r="M23" s="427" t="str">
        <f t="shared" si="0"/>
        <v/>
      </c>
    </row>
    <row r="24" spans="1:13" ht="14.45" customHeight="1" x14ac:dyDescent="0.2">
      <c r="A24" s="432" t="s">
        <v>255</v>
      </c>
      <c r="B24" s="428">
        <v>30</v>
      </c>
      <c r="C24" s="429">
        <v>28.835519999999999</v>
      </c>
      <c r="D24" s="429">
        <v>-1.1644800000000011</v>
      </c>
      <c r="E24" s="430">
        <v>0.96118399999999993</v>
      </c>
      <c r="F24" s="428">
        <v>29.999999800000001</v>
      </c>
      <c r="G24" s="429">
        <v>27.499999816666666</v>
      </c>
      <c r="H24" s="429">
        <v>3.1795200000000001</v>
      </c>
      <c r="I24" s="429">
        <v>30.027750000000001</v>
      </c>
      <c r="J24" s="429">
        <v>2.5277501833333353</v>
      </c>
      <c r="K24" s="431">
        <v>1.0009250066728335</v>
      </c>
      <c r="L24" s="150"/>
      <c r="M24" s="427" t="str">
        <f t="shared" si="0"/>
        <v>X</v>
      </c>
    </row>
    <row r="25" spans="1:13" ht="14.45" customHeight="1" x14ac:dyDescent="0.2">
      <c r="A25" s="432" t="s">
        <v>256</v>
      </c>
      <c r="B25" s="428">
        <v>2</v>
      </c>
      <c r="C25" s="429">
        <v>1.61324</v>
      </c>
      <c r="D25" s="429">
        <v>-0.38675999999999999</v>
      </c>
      <c r="E25" s="430">
        <v>0.80662</v>
      </c>
      <c r="F25" s="428">
        <v>1.9999998999999999</v>
      </c>
      <c r="G25" s="429">
        <v>1.8333332416666666</v>
      </c>
      <c r="H25" s="429">
        <v>0</v>
      </c>
      <c r="I25" s="429">
        <v>0.14823</v>
      </c>
      <c r="J25" s="429">
        <v>-1.6851032416666665</v>
      </c>
      <c r="K25" s="431">
        <v>7.4115003705750193E-2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28</v>
      </c>
      <c r="C26" s="429">
        <v>27.222279999999998</v>
      </c>
      <c r="D26" s="429">
        <v>-0.77772000000000219</v>
      </c>
      <c r="E26" s="430">
        <v>0.97222428571428565</v>
      </c>
      <c r="F26" s="428">
        <v>27.999999899999999</v>
      </c>
      <c r="G26" s="429">
        <v>25.666666575000001</v>
      </c>
      <c r="H26" s="429">
        <v>3.1795200000000001</v>
      </c>
      <c r="I26" s="429">
        <v>29.879519999999999</v>
      </c>
      <c r="J26" s="429">
        <v>4.2128534249999987</v>
      </c>
      <c r="K26" s="431">
        <v>1.0671257180968776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32.255018100000001</v>
      </c>
      <c r="C27" s="429">
        <v>31.908999999999999</v>
      </c>
      <c r="D27" s="429">
        <v>-0.34601810000000199</v>
      </c>
      <c r="E27" s="430">
        <v>0.98927242579969277</v>
      </c>
      <c r="F27" s="428">
        <v>32.369605</v>
      </c>
      <c r="G27" s="429">
        <v>29.672137916666664</v>
      </c>
      <c r="H27" s="429">
        <v>2.7957800000000002</v>
      </c>
      <c r="I27" s="429">
        <v>27.737779999999997</v>
      </c>
      <c r="J27" s="429">
        <v>-1.9343579166666665</v>
      </c>
      <c r="K27" s="431">
        <v>0.85690820138212986</v>
      </c>
      <c r="L27" s="150"/>
      <c r="M27" s="427" t="str">
        <f t="shared" si="0"/>
        <v/>
      </c>
    </row>
    <row r="28" spans="1:13" ht="14.45" customHeight="1" x14ac:dyDescent="0.2">
      <c r="A28" s="432" t="s">
        <v>259</v>
      </c>
      <c r="B28" s="428">
        <v>32.255018100000001</v>
      </c>
      <c r="C28" s="429">
        <v>31.908999999999999</v>
      </c>
      <c r="D28" s="429">
        <v>-0.34601810000000199</v>
      </c>
      <c r="E28" s="430">
        <v>0.98927242579969277</v>
      </c>
      <c r="F28" s="428">
        <v>32.369605</v>
      </c>
      <c r="G28" s="429">
        <v>29.672137916666664</v>
      </c>
      <c r="H28" s="429">
        <v>2.7957800000000002</v>
      </c>
      <c r="I28" s="429">
        <v>27.737779999999997</v>
      </c>
      <c r="J28" s="429">
        <v>-1.9343579166666665</v>
      </c>
      <c r="K28" s="431">
        <v>0.85690820138212986</v>
      </c>
      <c r="L28" s="150"/>
      <c r="M28" s="427" t="str">
        <f t="shared" si="0"/>
        <v>X</v>
      </c>
    </row>
    <row r="29" spans="1:13" ht="14.45" customHeight="1" x14ac:dyDescent="0.2">
      <c r="A29" s="432" t="s">
        <v>260</v>
      </c>
      <c r="B29" s="428">
        <v>13.935348299999999</v>
      </c>
      <c r="C29" s="429">
        <v>13.488</v>
      </c>
      <c r="D29" s="429">
        <v>-0.44734829999999981</v>
      </c>
      <c r="E29" s="430">
        <v>0.96789830506066366</v>
      </c>
      <c r="F29" s="428">
        <v>13.4460411</v>
      </c>
      <c r="G29" s="429">
        <v>12.325537675000001</v>
      </c>
      <c r="H29" s="429">
        <v>0.88678000000000001</v>
      </c>
      <c r="I29" s="429">
        <v>11.391780000000001</v>
      </c>
      <c r="J29" s="429">
        <v>-0.93375767500000073</v>
      </c>
      <c r="K29" s="431">
        <v>0.84722186369042118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18.3196698</v>
      </c>
      <c r="C30" s="429">
        <v>18.420999999999999</v>
      </c>
      <c r="D30" s="429">
        <v>0.10133019999999959</v>
      </c>
      <c r="E30" s="430">
        <v>1.0055312241490291</v>
      </c>
      <c r="F30" s="428">
        <v>18.923563900000001</v>
      </c>
      <c r="G30" s="429">
        <v>17.346600241666668</v>
      </c>
      <c r="H30" s="429">
        <v>1.909</v>
      </c>
      <c r="I30" s="429">
        <v>16.346</v>
      </c>
      <c r="J30" s="429">
        <v>-1.0006002416666675</v>
      </c>
      <c r="K30" s="431">
        <v>0.86379077886063516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22.187137100000001</v>
      </c>
      <c r="C31" s="429">
        <v>45.837589999999999</v>
      </c>
      <c r="D31" s="429">
        <v>23.650452899999998</v>
      </c>
      <c r="E31" s="430">
        <v>2.0659533401449974</v>
      </c>
      <c r="F31" s="428">
        <v>22.6171024</v>
      </c>
      <c r="G31" s="429">
        <v>20.732343866666668</v>
      </c>
      <c r="H31" s="429">
        <v>12.55986</v>
      </c>
      <c r="I31" s="429">
        <v>46.443460000000002</v>
      </c>
      <c r="J31" s="429">
        <v>25.711116133333334</v>
      </c>
      <c r="K31" s="431">
        <v>2.053466406908075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11.779507600000001</v>
      </c>
      <c r="C32" s="429">
        <v>18.798779999999997</v>
      </c>
      <c r="D32" s="429">
        <v>7.0192723999999966</v>
      </c>
      <c r="E32" s="430">
        <v>1.5958884393435933</v>
      </c>
      <c r="F32" s="428">
        <v>11.800145800000001</v>
      </c>
      <c r="G32" s="429">
        <v>10.816800316666667</v>
      </c>
      <c r="H32" s="429">
        <v>0.26619999999999999</v>
      </c>
      <c r="I32" s="429">
        <v>12.40962</v>
      </c>
      <c r="J32" s="429">
        <v>1.5928196833333335</v>
      </c>
      <c r="K32" s="431">
        <v>1.0516497177517925</v>
      </c>
      <c r="L32" s="150"/>
      <c r="M32" s="427" t="str">
        <f t="shared" si="0"/>
        <v/>
      </c>
    </row>
    <row r="33" spans="1:13" ht="14.45" customHeight="1" x14ac:dyDescent="0.2">
      <c r="A33" s="432" t="s">
        <v>264</v>
      </c>
      <c r="B33" s="428">
        <v>11.779507600000001</v>
      </c>
      <c r="C33" s="429">
        <v>18.798779999999997</v>
      </c>
      <c r="D33" s="429">
        <v>7.0192723999999966</v>
      </c>
      <c r="E33" s="430">
        <v>1.5958884393435933</v>
      </c>
      <c r="F33" s="428">
        <v>11.800145800000001</v>
      </c>
      <c r="G33" s="429">
        <v>10.816800316666667</v>
      </c>
      <c r="H33" s="429">
        <v>0.26619999999999999</v>
      </c>
      <c r="I33" s="429">
        <v>12.40962</v>
      </c>
      <c r="J33" s="429">
        <v>1.5928196833333335</v>
      </c>
      <c r="K33" s="431">
        <v>1.0516497177517925</v>
      </c>
      <c r="L33" s="150"/>
      <c r="M33" s="427" t="str">
        <f t="shared" si="0"/>
        <v>X</v>
      </c>
    </row>
    <row r="34" spans="1:13" ht="14.45" customHeight="1" x14ac:dyDescent="0.2">
      <c r="A34" s="432" t="s">
        <v>265</v>
      </c>
      <c r="B34" s="428">
        <v>11.758334000000001</v>
      </c>
      <c r="C34" s="429">
        <v>16.43741</v>
      </c>
      <c r="D34" s="429">
        <v>4.6790759999999985</v>
      </c>
      <c r="E34" s="430">
        <v>1.39793698665134</v>
      </c>
      <c r="F34" s="428">
        <v>11.758334000000001</v>
      </c>
      <c r="G34" s="429">
        <v>10.778472833333336</v>
      </c>
      <c r="H34" s="429">
        <v>0</v>
      </c>
      <c r="I34" s="429">
        <v>11.25342</v>
      </c>
      <c r="J34" s="429">
        <v>0.4749471666666647</v>
      </c>
      <c r="K34" s="431">
        <v>0.95705905275356173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2.1173600000000001E-2</v>
      </c>
      <c r="C35" s="429">
        <v>2.36137</v>
      </c>
      <c r="D35" s="429">
        <v>2.3401964</v>
      </c>
      <c r="E35" s="430">
        <v>111.52425662145312</v>
      </c>
      <c r="F35" s="428">
        <v>4.1811799999999996E-2</v>
      </c>
      <c r="G35" s="429">
        <v>3.8327483333333329E-2</v>
      </c>
      <c r="H35" s="429">
        <v>0.26619999999999999</v>
      </c>
      <c r="I35" s="429">
        <v>1.1562000000000001</v>
      </c>
      <c r="J35" s="429">
        <v>1.1178725166666668</v>
      </c>
      <c r="K35" s="431">
        <v>27.652480878603654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10.407629499999999</v>
      </c>
      <c r="C36" s="429">
        <v>27.038810000000002</v>
      </c>
      <c r="D36" s="429">
        <v>16.631180500000003</v>
      </c>
      <c r="E36" s="430">
        <v>2.5979796840385223</v>
      </c>
      <c r="F36" s="428">
        <v>10.816956599999999</v>
      </c>
      <c r="G36" s="429">
        <v>9.9155435499999989</v>
      </c>
      <c r="H36" s="429">
        <v>12.293659999999999</v>
      </c>
      <c r="I36" s="429">
        <v>34.033839999999998</v>
      </c>
      <c r="J36" s="429">
        <v>24.118296449999999</v>
      </c>
      <c r="K36" s="431">
        <v>3.1463415504505212</v>
      </c>
      <c r="L36" s="150"/>
      <c r="M36" s="427" t="str">
        <f t="shared" si="0"/>
        <v/>
      </c>
    </row>
    <row r="37" spans="1:13" ht="14.45" customHeight="1" x14ac:dyDescent="0.2">
      <c r="A37" s="432" t="s">
        <v>268</v>
      </c>
      <c r="B37" s="428">
        <v>10.407629499999999</v>
      </c>
      <c r="C37" s="429">
        <v>27.038810000000002</v>
      </c>
      <c r="D37" s="429">
        <v>16.631180500000003</v>
      </c>
      <c r="E37" s="430">
        <v>2.5979796840385223</v>
      </c>
      <c r="F37" s="428">
        <v>10.816956599999999</v>
      </c>
      <c r="G37" s="429">
        <v>9.9155435499999989</v>
      </c>
      <c r="H37" s="429">
        <v>12.293659999999999</v>
      </c>
      <c r="I37" s="429">
        <v>34.033839999999998</v>
      </c>
      <c r="J37" s="429">
        <v>24.118296449999999</v>
      </c>
      <c r="K37" s="431">
        <v>3.1463415504505212</v>
      </c>
      <c r="L37" s="150"/>
      <c r="M37" s="427" t="str">
        <f t="shared" si="0"/>
        <v>X</v>
      </c>
    </row>
    <row r="38" spans="1:13" ht="14.45" customHeight="1" x14ac:dyDescent="0.2">
      <c r="A38" s="432" t="s">
        <v>269</v>
      </c>
      <c r="B38" s="428">
        <v>10.407629499999999</v>
      </c>
      <c r="C38" s="429">
        <v>27.038810000000002</v>
      </c>
      <c r="D38" s="429">
        <v>16.631180500000003</v>
      </c>
      <c r="E38" s="430">
        <v>2.5979796840385223</v>
      </c>
      <c r="F38" s="428">
        <v>10.816956599999999</v>
      </c>
      <c r="G38" s="429">
        <v>9.9155435499999989</v>
      </c>
      <c r="H38" s="429">
        <v>12.293659999999999</v>
      </c>
      <c r="I38" s="429">
        <v>34.033839999999998</v>
      </c>
      <c r="J38" s="429">
        <v>24.118296449999999</v>
      </c>
      <c r="K38" s="431">
        <v>3.1463415504505212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27.873686599999999</v>
      </c>
      <c r="C39" s="429">
        <v>102.99601</v>
      </c>
      <c r="D39" s="429">
        <v>75.122323399999999</v>
      </c>
      <c r="E39" s="430">
        <v>3.6950982293099326</v>
      </c>
      <c r="F39" s="428">
        <v>30.396000000000001</v>
      </c>
      <c r="G39" s="429">
        <v>27.863</v>
      </c>
      <c r="H39" s="429">
        <v>9.5510000000000002</v>
      </c>
      <c r="I39" s="429">
        <v>34.881</v>
      </c>
      <c r="J39" s="429">
        <v>7.0180000000000007</v>
      </c>
      <c r="K39" s="431">
        <v>1.1475523095144098</v>
      </c>
      <c r="L39" s="150"/>
      <c r="M39" s="427" t="str">
        <f t="shared" si="0"/>
        <v/>
      </c>
    </row>
    <row r="40" spans="1:13" ht="14.45" customHeight="1" x14ac:dyDescent="0.2">
      <c r="A40" s="432" t="s">
        <v>271</v>
      </c>
      <c r="B40" s="428">
        <v>27.873686599999999</v>
      </c>
      <c r="C40" s="429">
        <v>30.396000000000001</v>
      </c>
      <c r="D40" s="429">
        <v>2.5223134000000016</v>
      </c>
      <c r="E40" s="430">
        <v>1.0904908430734814</v>
      </c>
      <c r="F40" s="428">
        <v>30.396000000000001</v>
      </c>
      <c r="G40" s="429">
        <v>27.863</v>
      </c>
      <c r="H40" s="429">
        <v>2.5329999999999999</v>
      </c>
      <c r="I40" s="429">
        <v>27.863</v>
      </c>
      <c r="J40" s="429">
        <v>0</v>
      </c>
      <c r="K40" s="431">
        <v>0.91666666666666663</v>
      </c>
      <c r="L40" s="150"/>
      <c r="M40" s="427" t="str">
        <f t="shared" si="0"/>
        <v/>
      </c>
    </row>
    <row r="41" spans="1:13" ht="14.45" customHeight="1" x14ac:dyDescent="0.2">
      <c r="A41" s="432" t="s">
        <v>272</v>
      </c>
      <c r="B41" s="428">
        <v>27.873686599999999</v>
      </c>
      <c r="C41" s="429">
        <v>30.396000000000001</v>
      </c>
      <c r="D41" s="429">
        <v>2.5223134000000016</v>
      </c>
      <c r="E41" s="430">
        <v>1.0904908430734814</v>
      </c>
      <c r="F41" s="428">
        <v>30.396000000000001</v>
      </c>
      <c r="G41" s="429">
        <v>27.863</v>
      </c>
      <c r="H41" s="429">
        <v>2.5329999999999999</v>
      </c>
      <c r="I41" s="429">
        <v>27.863</v>
      </c>
      <c r="J41" s="429">
        <v>0</v>
      </c>
      <c r="K41" s="431">
        <v>0.91666666666666663</v>
      </c>
      <c r="L41" s="150"/>
      <c r="M41" s="427" t="str">
        <f t="shared" si="0"/>
        <v>X</v>
      </c>
    </row>
    <row r="42" spans="1:13" ht="14.45" customHeight="1" x14ac:dyDescent="0.2">
      <c r="A42" s="432" t="s">
        <v>273</v>
      </c>
      <c r="B42" s="428">
        <v>27.873686599999999</v>
      </c>
      <c r="C42" s="429">
        <v>30.396000000000001</v>
      </c>
      <c r="D42" s="429">
        <v>2.5223134000000016</v>
      </c>
      <c r="E42" s="430">
        <v>1.0904908430734814</v>
      </c>
      <c r="F42" s="428">
        <v>30.396000000000001</v>
      </c>
      <c r="G42" s="429">
        <v>27.863</v>
      </c>
      <c r="H42" s="429">
        <v>2.5329999999999999</v>
      </c>
      <c r="I42" s="429">
        <v>27.863</v>
      </c>
      <c r="J42" s="429">
        <v>0</v>
      </c>
      <c r="K42" s="431">
        <v>0.91666666666666663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0</v>
      </c>
      <c r="C43" s="429">
        <v>72.600009999999997</v>
      </c>
      <c r="D43" s="429">
        <v>72.600009999999997</v>
      </c>
      <c r="E43" s="430">
        <v>0</v>
      </c>
      <c r="F43" s="428">
        <v>0</v>
      </c>
      <c r="G43" s="429">
        <v>0</v>
      </c>
      <c r="H43" s="429">
        <v>7.0179999999999998</v>
      </c>
      <c r="I43" s="429">
        <v>7.0179999999999998</v>
      </c>
      <c r="J43" s="429">
        <v>7.0179999999999998</v>
      </c>
      <c r="K43" s="431">
        <v>0</v>
      </c>
      <c r="L43" s="150"/>
      <c r="M43" s="427" t="str">
        <f t="shared" si="0"/>
        <v/>
      </c>
    </row>
    <row r="44" spans="1:13" ht="14.45" customHeight="1" x14ac:dyDescent="0.2">
      <c r="A44" s="432" t="s">
        <v>275</v>
      </c>
      <c r="B44" s="428">
        <v>0</v>
      </c>
      <c r="C44" s="429">
        <v>72.600009999999997</v>
      </c>
      <c r="D44" s="429">
        <v>72.600009999999997</v>
      </c>
      <c r="E44" s="430">
        <v>0</v>
      </c>
      <c r="F44" s="428">
        <v>0</v>
      </c>
      <c r="G44" s="429">
        <v>0</v>
      </c>
      <c r="H44" s="429">
        <v>7.0179999999999998</v>
      </c>
      <c r="I44" s="429">
        <v>7.0179999999999998</v>
      </c>
      <c r="J44" s="429">
        <v>7.0179999999999998</v>
      </c>
      <c r="K44" s="431">
        <v>0</v>
      </c>
      <c r="L44" s="150"/>
      <c r="M44" s="427" t="str">
        <f t="shared" si="0"/>
        <v>X</v>
      </c>
    </row>
    <row r="45" spans="1:13" ht="14.45" customHeight="1" x14ac:dyDescent="0.2">
      <c r="A45" s="432" t="s">
        <v>276</v>
      </c>
      <c r="B45" s="428">
        <v>0</v>
      </c>
      <c r="C45" s="429">
        <v>72.600009999999997</v>
      </c>
      <c r="D45" s="429">
        <v>72.600009999999997</v>
      </c>
      <c r="E45" s="430">
        <v>0</v>
      </c>
      <c r="F45" s="428">
        <v>0</v>
      </c>
      <c r="G45" s="429">
        <v>0</v>
      </c>
      <c r="H45" s="429">
        <v>7.0179999999999998</v>
      </c>
      <c r="I45" s="429">
        <v>7.0179999999999998</v>
      </c>
      <c r="J45" s="429">
        <v>7.0179999999999998</v>
      </c>
      <c r="K45" s="431">
        <v>0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10358.379070000001</v>
      </c>
      <c r="D46" s="429">
        <v>10358.379070000001</v>
      </c>
      <c r="E46" s="430">
        <v>0</v>
      </c>
      <c r="F46" s="428">
        <v>6491.7851506000006</v>
      </c>
      <c r="G46" s="429">
        <v>5950.8030547166672</v>
      </c>
      <c r="H46" s="429">
        <v>998.56118000000004</v>
      </c>
      <c r="I46" s="429">
        <v>10378.42411</v>
      </c>
      <c r="J46" s="429">
        <v>4427.6210552833327</v>
      </c>
      <c r="K46" s="431">
        <v>1.598701107512897</v>
      </c>
      <c r="L46" s="150"/>
      <c r="M46" s="427" t="str">
        <f t="shared" si="0"/>
        <v/>
      </c>
    </row>
    <row r="47" spans="1:13" ht="14.45" customHeight="1" x14ac:dyDescent="0.2">
      <c r="A47" s="432" t="s">
        <v>278</v>
      </c>
      <c r="B47" s="428">
        <v>0</v>
      </c>
      <c r="C47" s="429">
        <v>10358.379070000001</v>
      </c>
      <c r="D47" s="429">
        <v>10358.379070000001</v>
      </c>
      <c r="E47" s="430">
        <v>0</v>
      </c>
      <c r="F47" s="428">
        <v>6491.7851506000006</v>
      </c>
      <c r="G47" s="429">
        <v>5950.8030547166672</v>
      </c>
      <c r="H47" s="429">
        <v>998.56118000000004</v>
      </c>
      <c r="I47" s="429">
        <v>10378.42411</v>
      </c>
      <c r="J47" s="429">
        <v>4427.6210552833327</v>
      </c>
      <c r="K47" s="431">
        <v>1.598701107512897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0</v>
      </c>
      <c r="C48" s="429">
        <v>10358.379070000001</v>
      </c>
      <c r="D48" s="429">
        <v>10358.379070000001</v>
      </c>
      <c r="E48" s="430">
        <v>0</v>
      </c>
      <c r="F48" s="428">
        <v>6491.7851506000006</v>
      </c>
      <c r="G48" s="429">
        <v>5950.8030547166672</v>
      </c>
      <c r="H48" s="429">
        <v>998.56118000000004</v>
      </c>
      <c r="I48" s="429">
        <v>10378.42411</v>
      </c>
      <c r="J48" s="429">
        <v>4427.6210552833327</v>
      </c>
      <c r="K48" s="431">
        <v>1.598701107512897</v>
      </c>
      <c r="L48" s="150"/>
      <c r="M48" s="427" t="str">
        <f t="shared" si="0"/>
        <v/>
      </c>
    </row>
    <row r="49" spans="1:13" ht="14.45" customHeight="1" x14ac:dyDescent="0.2">
      <c r="A49" s="432" t="s">
        <v>280</v>
      </c>
      <c r="B49" s="428">
        <v>0</v>
      </c>
      <c r="C49" s="429">
        <v>0.66301999999999994</v>
      </c>
      <c r="D49" s="429">
        <v>0.66301999999999994</v>
      </c>
      <c r="E49" s="430">
        <v>0</v>
      </c>
      <c r="F49" s="428">
        <v>16.079370600000001</v>
      </c>
      <c r="G49" s="429">
        <v>14.739423049999999</v>
      </c>
      <c r="H49" s="429">
        <v>0</v>
      </c>
      <c r="I49" s="429">
        <v>1.282E-2</v>
      </c>
      <c r="J49" s="429">
        <v>-14.72660305</v>
      </c>
      <c r="K49" s="431">
        <v>7.9729488914199163E-4</v>
      </c>
      <c r="L49" s="150"/>
      <c r="M49" s="427" t="str">
        <f t="shared" si="0"/>
        <v>X</v>
      </c>
    </row>
    <row r="50" spans="1:13" ht="14.45" customHeight="1" x14ac:dyDescent="0.2">
      <c r="A50" s="432" t="s">
        <v>281</v>
      </c>
      <c r="B50" s="428">
        <v>0</v>
      </c>
      <c r="C50" s="429">
        <v>0.66301999999999994</v>
      </c>
      <c r="D50" s="429">
        <v>0.66301999999999994</v>
      </c>
      <c r="E50" s="430">
        <v>0</v>
      </c>
      <c r="F50" s="428">
        <v>16.079370600000001</v>
      </c>
      <c r="G50" s="429">
        <v>14.739423049999999</v>
      </c>
      <c r="H50" s="429">
        <v>0</v>
      </c>
      <c r="I50" s="429">
        <v>1.282E-2</v>
      </c>
      <c r="J50" s="429">
        <v>-14.72660305</v>
      </c>
      <c r="K50" s="431">
        <v>7.9729488914199163E-4</v>
      </c>
      <c r="L50" s="150"/>
      <c r="M50" s="427" t="str">
        <f t="shared" si="0"/>
        <v/>
      </c>
    </row>
    <row r="51" spans="1:13" ht="14.45" customHeight="1" x14ac:dyDescent="0.2">
      <c r="A51" s="432" t="s">
        <v>282</v>
      </c>
      <c r="B51" s="428">
        <v>0</v>
      </c>
      <c r="C51" s="429">
        <v>10083.489529999999</v>
      </c>
      <c r="D51" s="429">
        <v>10083.489529999999</v>
      </c>
      <c r="E51" s="430">
        <v>0</v>
      </c>
      <c r="F51" s="428">
        <v>6475.7057800000002</v>
      </c>
      <c r="G51" s="429">
        <v>5936.0636316666669</v>
      </c>
      <c r="H51" s="429">
        <v>982.06696999999997</v>
      </c>
      <c r="I51" s="429">
        <v>10174.966259999999</v>
      </c>
      <c r="J51" s="429">
        <v>4238.9026283333324</v>
      </c>
      <c r="K51" s="431">
        <v>1.5712520929263094</v>
      </c>
      <c r="L51" s="150"/>
      <c r="M51" s="427" t="str">
        <f t="shared" si="0"/>
        <v>X</v>
      </c>
    </row>
    <row r="52" spans="1:13" ht="14.45" customHeight="1" x14ac:dyDescent="0.2">
      <c r="A52" s="432" t="s">
        <v>283</v>
      </c>
      <c r="B52" s="428">
        <v>0</v>
      </c>
      <c r="C52" s="429">
        <v>10083.489529999999</v>
      </c>
      <c r="D52" s="429">
        <v>10083.489529999999</v>
      </c>
      <c r="E52" s="430">
        <v>0</v>
      </c>
      <c r="F52" s="428">
        <v>6475.7057800000002</v>
      </c>
      <c r="G52" s="429">
        <v>5936.0636316666669</v>
      </c>
      <c r="H52" s="429">
        <v>982.06696999999997</v>
      </c>
      <c r="I52" s="429">
        <v>10174.966259999999</v>
      </c>
      <c r="J52" s="429">
        <v>4238.9026283333324</v>
      </c>
      <c r="K52" s="431">
        <v>1.5712520929263094</v>
      </c>
      <c r="L52" s="150"/>
      <c r="M52" s="427" t="str">
        <f t="shared" si="0"/>
        <v/>
      </c>
    </row>
    <row r="53" spans="1:13" ht="14.45" customHeight="1" x14ac:dyDescent="0.2">
      <c r="A53" s="432" t="s">
        <v>284</v>
      </c>
      <c r="B53" s="428">
        <v>0</v>
      </c>
      <c r="C53" s="429">
        <v>274.22651999999999</v>
      </c>
      <c r="D53" s="429">
        <v>274.22651999999999</v>
      </c>
      <c r="E53" s="430">
        <v>0</v>
      </c>
      <c r="F53" s="428">
        <v>0</v>
      </c>
      <c r="G53" s="429">
        <v>0</v>
      </c>
      <c r="H53" s="429">
        <v>16.494209999999999</v>
      </c>
      <c r="I53" s="429">
        <v>203.44503</v>
      </c>
      <c r="J53" s="429">
        <v>203.44503</v>
      </c>
      <c r="K53" s="431">
        <v>0</v>
      </c>
      <c r="L53" s="150"/>
      <c r="M53" s="427" t="str">
        <f t="shared" si="0"/>
        <v>X</v>
      </c>
    </row>
    <row r="54" spans="1:13" ht="14.45" customHeight="1" x14ac:dyDescent="0.2">
      <c r="A54" s="432" t="s">
        <v>285</v>
      </c>
      <c r="B54" s="428">
        <v>0</v>
      </c>
      <c r="C54" s="429">
        <v>274.22651999999999</v>
      </c>
      <c r="D54" s="429">
        <v>274.22651999999999</v>
      </c>
      <c r="E54" s="430">
        <v>0</v>
      </c>
      <c r="F54" s="428">
        <v>0</v>
      </c>
      <c r="G54" s="429">
        <v>0</v>
      </c>
      <c r="H54" s="429">
        <v>16.494209999999999</v>
      </c>
      <c r="I54" s="429">
        <v>203.44503</v>
      </c>
      <c r="J54" s="429">
        <v>203.44503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0</v>
      </c>
      <c r="D55" s="429">
        <v>0</v>
      </c>
      <c r="E55" s="430">
        <v>0</v>
      </c>
      <c r="F55" s="428">
        <v>0</v>
      </c>
      <c r="G55" s="429">
        <v>0</v>
      </c>
      <c r="H55" s="429">
        <v>0</v>
      </c>
      <c r="I55" s="429">
        <v>1.2227399999999999</v>
      </c>
      <c r="J55" s="429">
        <v>1.2227399999999999</v>
      </c>
      <c r="K55" s="431">
        <v>0</v>
      </c>
      <c r="L55" s="150"/>
      <c r="M55" s="427" t="str">
        <f t="shared" si="0"/>
        <v/>
      </c>
    </row>
    <row r="56" spans="1:13" ht="14.45" customHeight="1" x14ac:dyDescent="0.2">
      <c r="A56" s="432" t="s">
        <v>287</v>
      </c>
      <c r="B56" s="428">
        <v>0</v>
      </c>
      <c r="C56" s="429">
        <v>0</v>
      </c>
      <c r="D56" s="429">
        <v>0</v>
      </c>
      <c r="E56" s="430">
        <v>0</v>
      </c>
      <c r="F56" s="428">
        <v>0</v>
      </c>
      <c r="G56" s="429">
        <v>0</v>
      </c>
      <c r="H56" s="429">
        <v>0</v>
      </c>
      <c r="I56" s="429">
        <v>1.2227399999999999</v>
      </c>
      <c r="J56" s="429">
        <v>1.2227399999999999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 t="s">
        <v>288</v>
      </c>
      <c r="B57" s="428">
        <v>0</v>
      </c>
      <c r="C57" s="429">
        <v>0</v>
      </c>
      <c r="D57" s="429">
        <v>0</v>
      </c>
      <c r="E57" s="430">
        <v>0</v>
      </c>
      <c r="F57" s="428">
        <v>0</v>
      </c>
      <c r="G57" s="429">
        <v>0</v>
      </c>
      <c r="H57" s="429">
        <v>0</v>
      </c>
      <c r="I57" s="429">
        <v>1.2227399999999999</v>
      </c>
      <c r="J57" s="429">
        <v>1.2227399999999999</v>
      </c>
      <c r="K57" s="431">
        <v>0</v>
      </c>
      <c r="L57" s="150"/>
      <c r="M57" s="427" t="str">
        <f t="shared" si="0"/>
        <v/>
      </c>
    </row>
    <row r="58" spans="1:13" ht="14.45" customHeight="1" x14ac:dyDescent="0.2">
      <c r="A58" s="432" t="s">
        <v>289</v>
      </c>
      <c r="B58" s="428">
        <v>0</v>
      </c>
      <c r="C58" s="429">
        <v>0</v>
      </c>
      <c r="D58" s="429">
        <v>0</v>
      </c>
      <c r="E58" s="430">
        <v>0</v>
      </c>
      <c r="F58" s="428">
        <v>0</v>
      </c>
      <c r="G58" s="429">
        <v>0</v>
      </c>
      <c r="H58" s="429">
        <v>0</v>
      </c>
      <c r="I58" s="429">
        <v>1.2227399999999999</v>
      </c>
      <c r="J58" s="429">
        <v>1.2227399999999999</v>
      </c>
      <c r="K58" s="431">
        <v>0</v>
      </c>
      <c r="L58" s="150"/>
      <c r="M58" s="427" t="str">
        <f t="shared" si="0"/>
        <v>X</v>
      </c>
    </row>
    <row r="59" spans="1:13" ht="14.45" customHeight="1" x14ac:dyDescent="0.2">
      <c r="A59" s="432" t="s">
        <v>290</v>
      </c>
      <c r="B59" s="428">
        <v>0</v>
      </c>
      <c r="C59" s="429">
        <v>0</v>
      </c>
      <c r="D59" s="429">
        <v>0</v>
      </c>
      <c r="E59" s="430">
        <v>0</v>
      </c>
      <c r="F59" s="428">
        <v>0</v>
      </c>
      <c r="G59" s="429">
        <v>0</v>
      </c>
      <c r="H59" s="429">
        <v>0</v>
      </c>
      <c r="I59" s="429">
        <v>1.2227399999999999</v>
      </c>
      <c r="J59" s="429">
        <v>1.2227399999999999</v>
      </c>
      <c r="K59" s="431">
        <v>0</v>
      </c>
      <c r="L59" s="150"/>
      <c r="M59" s="427" t="str">
        <f t="shared" si="0"/>
        <v/>
      </c>
    </row>
    <row r="60" spans="1:13" ht="14.45" customHeight="1" x14ac:dyDescent="0.2">
      <c r="A60" s="432" t="s">
        <v>291</v>
      </c>
      <c r="B60" s="428">
        <v>0</v>
      </c>
      <c r="C60" s="429">
        <v>9.4920000000000004E-2</v>
      </c>
      <c r="D60" s="429">
        <v>9.4920000000000004E-2</v>
      </c>
      <c r="E60" s="430">
        <v>0</v>
      </c>
      <c r="F60" s="428">
        <v>0</v>
      </c>
      <c r="G60" s="429">
        <v>0</v>
      </c>
      <c r="H60" s="429">
        <v>0</v>
      </c>
      <c r="I60" s="429">
        <v>0.22805</v>
      </c>
      <c r="J60" s="429">
        <v>0.22805</v>
      </c>
      <c r="K60" s="431">
        <v>0</v>
      </c>
      <c r="L60" s="150"/>
      <c r="M60" s="427" t="str">
        <f t="shared" si="0"/>
        <v/>
      </c>
    </row>
    <row r="61" spans="1:13" ht="14.45" customHeight="1" x14ac:dyDescent="0.2">
      <c r="A61" s="432" t="s">
        <v>292</v>
      </c>
      <c r="B61" s="428">
        <v>0</v>
      </c>
      <c r="C61" s="429">
        <v>9.4920000000000004E-2</v>
      </c>
      <c r="D61" s="429">
        <v>9.4920000000000004E-2</v>
      </c>
      <c r="E61" s="430">
        <v>0</v>
      </c>
      <c r="F61" s="428">
        <v>0</v>
      </c>
      <c r="G61" s="429">
        <v>0</v>
      </c>
      <c r="H61" s="429">
        <v>0</v>
      </c>
      <c r="I61" s="429">
        <v>0.22805</v>
      </c>
      <c r="J61" s="429">
        <v>0.22805</v>
      </c>
      <c r="K61" s="431">
        <v>0</v>
      </c>
      <c r="L61" s="150"/>
      <c r="M61" s="427" t="str">
        <f t="shared" si="0"/>
        <v/>
      </c>
    </row>
    <row r="62" spans="1:13" ht="14.45" customHeight="1" x14ac:dyDescent="0.2">
      <c r="A62" s="432" t="s">
        <v>293</v>
      </c>
      <c r="B62" s="428">
        <v>0</v>
      </c>
      <c r="C62" s="429">
        <v>9.4920000000000004E-2</v>
      </c>
      <c r="D62" s="429">
        <v>9.4920000000000004E-2</v>
      </c>
      <c r="E62" s="430">
        <v>0</v>
      </c>
      <c r="F62" s="428">
        <v>0</v>
      </c>
      <c r="G62" s="429">
        <v>0</v>
      </c>
      <c r="H62" s="429">
        <v>0</v>
      </c>
      <c r="I62" s="429">
        <v>0.22805</v>
      </c>
      <c r="J62" s="429">
        <v>0.22805</v>
      </c>
      <c r="K62" s="431">
        <v>0</v>
      </c>
      <c r="L62" s="150"/>
      <c r="M62" s="427" t="str">
        <f t="shared" si="0"/>
        <v/>
      </c>
    </row>
    <row r="63" spans="1:13" ht="14.45" customHeight="1" x14ac:dyDescent="0.2">
      <c r="A63" s="432" t="s">
        <v>294</v>
      </c>
      <c r="B63" s="428">
        <v>0</v>
      </c>
      <c r="C63" s="429">
        <v>9.4920000000000004E-2</v>
      </c>
      <c r="D63" s="429">
        <v>9.4920000000000004E-2</v>
      </c>
      <c r="E63" s="430">
        <v>0</v>
      </c>
      <c r="F63" s="428">
        <v>0</v>
      </c>
      <c r="G63" s="429">
        <v>0</v>
      </c>
      <c r="H63" s="429">
        <v>0</v>
      </c>
      <c r="I63" s="429">
        <v>0.22805</v>
      </c>
      <c r="J63" s="429">
        <v>0.22805</v>
      </c>
      <c r="K63" s="431">
        <v>0</v>
      </c>
      <c r="L63" s="150"/>
      <c r="M63" s="427" t="str">
        <f t="shared" si="0"/>
        <v>X</v>
      </c>
    </row>
    <row r="64" spans="1:13" ht="14.45" customHeight="1" x14ac:dyDescent="0.2">
      <c r="A64" s="432" t="s">
        <v>295</v>
      </c>
      <c r="B64" s="428">
        <v>0</v>
      </c>
      <c r="C64" s="429">
        <v>9.4920000000000004E-2</v>
      </c>
      <c r="D64" s="429">
        <v>9.4920000000000004E-2</v>
      </c>
      <c r="E64" s="430">
        <v>0</v>
      </c>
      <c r="F64" s="428">
        <v>0</v>
      </c>
      <c r="G64" s="429">
        <v>0</v>
      </c>
      <c r="H64" s="429">
        <v>0</v>
      </c>
      <c r="I64" s="429">
        <v>0.22805</v>
      </c>
      <c r="J64" s="429">
        <v>0.22805</v>
      </c>
      <c r="K64" s="431">
        <v>0</v>
      </c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F3CB60BF-81A7-4C20-AC97-A75C23ABBCC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1" t="s">
        <v>235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296</v>
      </c>
      <c r="C5" s="435">
        <v>832.15</v>
      </c>
      <c r="D5" s="435">
        <v>2</v>
      </c>
      <c r="E5" s="435">
        <v>413.61</v>
      </c>
      <c r="F5" s="436">
        <v>0.49703779366700718</v>
      </c>
      <c r="G5" s="435">
        <v>1</v>
      </c>
      <c r="H5" s="436">
        <v>0.5</v>
      </c>
      <c r="I5" s="435">
        <v>418.53999999999996</v>
      </c>
      <c r="J5" s="436">
        <v>0.50296220633299282</v>
      </c>
      <c r="K5" s="435">
        <v>1</v>
      </c>
      <c r="L5" s="436">
        <v>0.5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297</v>
      </c>
      <c r="C6" s="435">
        <v>832.15</v>
      </c>
      <c r="D6" s="435">
        <v>2</v>
      </c>
      <c r="E6" s="435">
        <v>413.61</v>
      </c>
      <c r="F6" s="436">
        <v>0.49703779366700718</v>
      </c>
      <c r="G6" s="435">
        <v>1</v>
      </c>
      <c r="H6" s="436">
        <v>0.5</v>
      </c>
      <c r="I6" s="435">
        <v>418.53999999999996</v>
      </c>
      <c r="J6" s="436">
        <v>0.50296220633299282</v>
      </c>
      <c r="K6" s="435">
        <v>1</v>
      </c>
      <c r="L6" s="436">
        <v>0.5</v>
      </c>
      <c r="M6" s="435" t="s">
        <v>1</v>
      </c>
      <c r="N6" s="150"/>
    </row>
    <row r="7" spans="1:14" ht="14.45" customHeight="1" x14ac:dyDescent="0.2">
      <c r="A7" s="433" t="s">
        <v>298</v>
      </c>
      <c r="B7" s="434" t="s">
        <v>3</v>
      </c>
      <c r="C7" s="435">
        <v>832.15</v>
      </c>
      <c r="D7" s="435">
        <v>2</v>
      </c>
      <c r="E7" s="435">
        <v>413.61</v>
      </c>
      <c r="F7" s="436">
        <v>0.49703779366700718</v>
      </c>
      <c r="G7" s="435">
        <v>1</v>
      </c>
      <c r="H7" s="436">
        <v>0.5</v>
      </c>
      <c r="I7" s="435">
        <v>418.53999999999996</v>
      </c>
      <c r="J7" s="436">
        <v>0.50296220633299282</v>
      </c>
      <c r="K7" s="435">
        <v>1</v>
      </c>
      <c r="L7" s="436">
        <v>0.5</v>
      </c>
      <c r="M7" s="435" t="s">
        <v>299</v>
      </c>
      <c r="N7" s="150"/>
    </row>
    <row r="9" spans="1:14" ht="14.45" customHeight="1" x14ac:dyDescent="0.2">
      <c r="A9" s="433">
        <v>57</v>
      </c>
      <c r="B9" s="434" t="s">
        <v>296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300</v>
      </c>
      <c r="B10" s="434" t="s">
        <v>297</v>
      </c>
      <c r="C10" s="435">
        <v>832.15</v>
      </c>
      <c r="D10" s="435">
        <v>2</v>
      </c>
      <c r="E10" s="435">
        <v>413.61</v>
      </c>
      <c r="F10" s="436">
        <v>0.49703779366700718</v>
      </c>
      <c r="G10" s="435">
        <v>1</v>
      </c>
      <c r="H10" s="436">
        <v>0.5</v>
      </c>
      <c r="I10" s="435">
        <v>418.53999999999996</v>
      </c>
      <c r="J10" s="436">
        <v>0.50296220633299282</v>
      </c>
      <c r="K10" s="435">
        <v>1</v>
      </c>
      <c r="L10" s="436">
        <v>0.5</v>
      </c>
      <c r="M10" s="435" t="s">
        <v>1</v>
      </c>
      <c r="N10" s="150"/>
    </row>
    <row r="11" spans="1:14" ht="14.45" customHeight="1" x14ac:dyDescent="0.2">
      <c r="A11" s="433" t="s">
        <v>300</v>
      </c>
      <c r="B11" s="434" t="s">
        <v>301</v>
      </c>
      <c r="C11" s="435">
        <v>832.15</v>
      </c>
      <c r="D11" s="435">
        <v>2</v>
      </c>
      <c r="E11" s="435">
        <v>413.61</v>
      </c>
      <c r="F11" s="436">
        <v>0.49703779366700718</v>
      </c>
      <c r="G11" s="435">
        <v>1</v>
      </c>
      <c r="H11" s="436">
        <v>0.5</v>
      </c>
      <c r="I11" s="435">
        <v>418.53999999999996</v>
      </c>
      <c r="J11" s="436">
        <v>0.50296220633299282</v>
      </c>
      <c r="K11" s="435">
        <v>1</v>
      </c>
      <c r="L11" s="436">
        <v>0.5</v>
      </c>
      <c r="M11" s="435" t="s">
        <v>302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303</v>
      </c>
      <c r="N12" s="150"/>
    </row>
    <row r="13" spans="1:14" ht="14.45" customHeight="1" x14ac:dyDescent="0.2">
      <c r="A13" s="433" t="s">
        <v>298</v>
      </c>
      <c r="B13" s="434" t="s">
        <v>304</v>
      </c>
      <c r="C13" s="435">
        <v>832.15</v>
      </c>
      <c r="D13" s="435">
        <v>2</v>
      </c>
      <c r="E13" s="435">
        <v>413.61</v>
      </c>
      <c r="F13" s="436">
        <v>0.49703779366700718</v>
      </c>
      <c r="G13" s="435">
        <v>1</v>
      </c>
      <c r="H13" s="436">
        <v>0.5</v>
      </c>
      <c r="I13" s="435">
        <v>418.53999999999996</v>
      </c>
      <c r="J13" s="436">
        <v>0.50296220633299282</v>
      </c>
      <c r="K13" s="435">
        <v>1</v>
      </c>
      <c r="L13" s="436">
        <v>0.5</v>
      </c>
      <c r="M13" s="435" t="s">
        <v>299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305</v>
      </c>
    </row>
    <row r="16" spans="1:14" ht="14.45" customHeight="1" x14ac:dyDescent="0.2">
      <c r="A16" s="437" t="s">
        <v>306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7B27A35A-B78B-406D-BE1D-0B474757F78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1" t="s">
        <v>235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307</v>
      </c>
      <c r="B5" s="444">
        <v>832.15</v>
      </c>
      <c r="C5" s="445">
        <v>1</v>
      </c>
      <c r="D5" s="447">
        <v>2</v>
      </c>
      <c r="E5" s="440" t="s">
        <v>307</v>
      </c>
      <c r="F5" s="444">
        <v>413.61</v>
      </c>
      <c r="G5" s="450">
        <v>0.49703779366700718</v>
      </c>
      <c r="H5" s="446">
        <v>1</v>
      </c>
      <c r="I5" s="451">
        <v>0.5</v>
      </c>
      <c r="J5" s="452">
        <v>418.53999999999996</v>
      </c>
      <c r="K5" s="450">
        <v>0.50296220633299282</v>
      </c>
      <c r="L5" s="446">
        <v>1</v>
      </c>
      <c r="M5" s="451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B879F42-1522-4A39-A4C3-27E0C7353F4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35" t="s">
        <v>322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1" t="s">
        <v>235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832.15</v>
      </c>
      <c r="N3" s="66">
        <f>SUBTOTAL(9,N7:N1048576)</f>
        <v>4</v>
      </c>
      <c r="O3" s="66">
        <f>SUBTOTAL(9,O7:O1048576)</f>
        <v>2</v>
      </c>
      <c r="P3" s="66">
        <f>SUBTOTAL(9,P7:P1048576)</f>
        <v>413.61</v>
      </c>
      <c r="Q3" s="67">
        <f>IF(M3=0,0,P3/M3)</f>
        <v>0.49703779366700718</v>
      </c>
      <c r="R3" s="66">
        <f>SUBTOTAL(9,R7:R1048576)</f>
        <v>2</v>
      </c>
      <c r="S3" s="67">
        <f>IF(N3=0,0,R3/N3)</f>
        <v>0.5</v>
      </c>
      <c r="T3" s="66">
        <f>SUBTOTAL(9,T7:T1048576)</f>
        <v>1</v>
      </c>
      <c r="U3" s="68">
        <f>IF(O3=0,0,T3/O3)</f>
        <v>0.5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7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296</v>
      </c>
      <c r="C7" s="459" t="s">
        <v>300</v>
      </c>
      <c r="D7" s="460" t="s">
        <v>320</v>
      </c>
      <c r="E7" s="461" t="s">
        <v>307</v>
      </c>
      <c r="F7" s="459" t="s">
        <v>297</v>
      </c>
      <c r="G7" s="459" t="s">
        <v>308</v>
      </c>
      <c r="H7" s="459" t="s">
        <v>321</v>
      </c>
      <c r="I7" s="459" t="s">
        <v>309</v>
      </c>
      <c r="J7" s="459" t="s">
        <v>310</v>
      </c>
      <c r="K7" s="459" t="s">
        <v>311</v>
      </c>
      <c r="L7" s="462">
        <v>179.65</v>
      </c>
      <c r="M7" s="462">
        <v>179.65</v>
      </c>
      <c r="N7" s="459">
        <v>1</v>
      </c>
      <c r="O7" s="463">
        <v>0.5</v>
      </c>
      <c r="P7" s="462">
        <v>179.65</v>
      </c>
      <c r="Q7" s="464">
        <v>1</v>
      </c>
      <c r="R7" s="459">
        <v>1</v>
      </c>
      <c r="S7" s="464">
        <v>1</v>
      </c>
      <c r="T7" s="463">
        <v>0.5</v>
      </c>
      <c r="U7" s="122">
        <v>1</v>
      </c>
    </row>
    <row r="8" spans="1:21" ht="14.45" customHeight="1" x14ac:dyDescent="0.2">
      <c r="A8" s="465">
        <v>57</v>
      </c>
      <c r="B8" s="466" t="s">
        <v>296</v>
      </c>
      <c r="C8" s="466" t="s">
        <v>300</v>
      </c>
      <c r="D8" s="467" t="s">
        <v>320</v>
      </c>
      <c r="E8" s="468" t="s">
        <v>307</v>
      </c>
      <c r="F8" s="466" t="s">
        <v>297</v>
      </c>
      <c r="G8" s="466" t="s">
        <v>308</v>
      </c>
      <c r="H8" s="466" t="s">
        <v>321</v>
      </c>
      <c r="I8" s="466" t="s">
        <v>312</v>
      </c>
      <c r="J8" s="466" t="s">
        <v>313</v>
      </c>
      <c r="K8" s="466" t="s">
        <v>314</v>
      </c>
      <c r="L8" s="469">
        <v>233.96</v>
      </c>
      <c r="M8" s="469">
        <v>233.96</v>
      </c>
      <c r="N8" s="466">
        <v>1</v>
      </c>
      <c r="O8" s="470">
        <v>0.5</v>
      </c>
      <c r="P8" s="469">
        <v>233.96</v>
      </c>
      <c r="Q8" s="471">
        <v>1</v>
      </c>
      <c r="R8" s="466">
        <v>1</v>
      </c>
      <c r="S8" s="471">
        <v>1</v>
      </c>
      <c r="T8" s="470">
        <v>0.5</v>
      </c>
      <c r="U8" s="472">
        <v>1</v>
      </c>
    </row>
    <row r="9" spans="1:21" ht="14.45" customHeight="1" x14ac:dyDescent="0.2">
      <c r="A9" s="465">
        <v>57</v>
      </c>
      <c r="B9" s="466" t="s">
        <v>296</v>
      </c>
      <c r="C9" s="466" t="s">
        <v>300</v>
      </c>
      <c r="D9" s="467" t="s">
        <v>320</v>
      </c>
      <c r="E9" s="468" t="s">
        <v>307</v>
      </c>
      <c r="F9" s="466" t="s">
        <v>297</v>
      </c>
      <c r="G9" s="466" t="s">
        <v>308</v>
      </c>
      <c r="H9" s="466" t="s">
        <v>236</v>
      </c>
      <c r="I9" s="466" t="s">
        <v>315</v>
      </c>
      <c r="J9" s="466" t="s">
        <v>316</v>
      </c>
      <c r="K9" s="466" t="s">
        <v>317</v>
      </c>
      <c r="L9" s="469">
        <v>238.89</v>
      </c>
      <c r="M9" s="469">
        <v>238.89</v>
      </c>
      <c r="N9" s="466">
        <v>1</v>
      </c>
      <c r="O9" s="470">
        <v>0.5</v>
      </c>
      <c r="P9" s="469"/>
      <c r="Q9" s="471">
        <v>0</v>
      </c>
      <c r="R9" s="466"/>
      <c r="S9" s="471">
        <v>0</v>
      </c>
      <c r="T9" s="470"/>
      <c r="U9" s="472">
        <v>0</v>
      </c>
    </row>
    <row r="10" spans="1:21" ht="14.45" customHeight="1" thickBot="1" x14ac:dyDescent="0.25">
      <c r="A10" s="473">
        <v>57</v>
      </c>
      <c r="B10" s="474" t="s">
        <v>296</v>
      </c>
      <c r="C10" s="474" t="s">
        <v>300</v>
      </c>
      <c r="D10" s="475" t="s">
        <v>320</v>
      </c>
      <c r="E10" s="476" t="s">
        <v>307</v>
      </c>
      <c r="F10" s="474" t="s">
        <v>297</v>
      </c>
      <c r="G10" s="474" t="s">
        <v>308</v>
      </c>
      <c r="H10" s="474" t="s">
        <v>321</v>
      </c>
      <c r="I10" s="474" t="s">
        <v>318</v>
      </c>
      <c r="J10" s="474" t="s">
        <v>319</v>
      </c>
      <c r="K10" s="474" t="s">
        <v>311</v>
      </c>
      <c r="L10" s="477">
        <v>179.65</v>
      </c>
      <c r="M10" s="477">
        <v>179.65</v>
      </c>
      <c r="N10" s="474">
        <v>1</v>
      </c>
      <c r="O10" s="478">
        <v>0.5</v>
      </c>
      <c r="P10" s="477"/>
      <c r="Q10" s="479">
        <v>0</v>
      </c>
      <c r="R10" s="474"/>
      <c r="S10" s="479">
        <v>0</v>
      </c>
      <c r="T10" s="478"/>
      <c r="U10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A86D1B9-946D-4014-A2CA-B059A0987C7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2021-12-22T15:52:38Z</dcterms:modified>
</cp:coreProperties>
</file>