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30" i="371" l="1"/>
  <c r="U30" i="371"/>
  <c r="T30" i="371"/>
  <c r="S30" i="371"/>
  <c r="R30" i="371"/>
  <c r="Q30" i="371"/>
  <c r="T29" i="371"/>
  <c r="V29" i="371" s="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29" i="371" l="1"/>
  <c r="U12" i="371"/>
  <c r="U14" i="371"/>
  <c r="U16" i="371"/>
  <c r="U18" i="371"/>
  <c r="U20" i="371"/>
  <c r="U22" i="371"/>
  <c r="U26" i="371"/>
  <c r="U28" i="371"/>
  <c r="A7" i="339"/>
  <c r="B3" i="418" l="1"/>
  <c r="L6" i="419" l="1"/>
  <c r="H6" i="419"/>
  <c r="K6" i="419"/>
  <c r="G6" i="419"/>
  <c r="D6" i="419"/>
  <c r="J6" i="419"/>
  <c r="F6" i="419"/>
  <c r="C6" i="419"/>
  <c r="I6" i="419"/>
  <c r="E6" i="419"/>
  <c r="B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5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U3" i="347" l="1"/>
  <c r="F3" i="372"/>
  <c r="N3" i="372"/>
  <c r="C27" i="414"/>
  <c r="E27" i="414" s="1"/>
  <c r="F13" i="339"/>
  <c r="E13" i="339"/>
  <c r="E15" i="339" s="1"/>
  <c r="J3" i="372"/>
  <c r="H12" i="339"/>
  <c r="G12" i="339"/>
  <c r="K3" i="390"/>
  <c r="A11" i="383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15" i="414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<sst xmlns="http://schemas.openxmlformats.org/spreadsheetml/2006/main" count="8428" uniqueCount="2715">
  <si>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</si>
  <si>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</si>
  <si>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</si>
  <si>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</si>
  <si>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</si>
  <si>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</si>
  <si>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</si>
  <si>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</si>
  <si>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</si>
  <si>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</si>
  <si>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</si>
  <si>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</si>
  <si>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</si>
  <si>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</si>
  <si>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</si>
  <si>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</si>
  <si>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</si>
  <si>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</si>
  <si>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</si>
  <si>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</si>
  <si>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</si>
  <si>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</si>
  <si>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</si>
  <si>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</si>
  <si>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</si>
  <si>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</si>
  <si>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</si>
  <si>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</si>
  <si>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</si>
  <si>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</si>
  <si>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</si>
  <si>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</si>
  <si>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</si>
  <si>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</si>
  <si>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</si>
  <si>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</si>
  <si>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</si>
  <si>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</si>
  <si>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</si>
  <si>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</si>
  <si>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</si>
  <si>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</si>
  <si>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</si>
  <si>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</si>
  <si>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</si>
  <si>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</si>
  <si>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</si>
  <si>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</si>
  <si>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</si>
  <si>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</si>
  <si>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</si>
  <si>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</si>
  <si>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</si>
  <si>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</si>
  <si>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</si>
  <si>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</si>
  <si>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</si>
  <si>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</si>
  <si>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</si>
  <si>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</si>
  <si>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</si>
  <si>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</si>
  <si>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</si>
  <si>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</si>
  <si>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</si>
  <si>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</si>
  <si>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</si>
  <si>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</si>
  <si>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</si>
  <si>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</si>
  <si>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</si>
  <si>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</si>
  <si>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</si>
  <si>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</si>
  <si>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</si>
  <si>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</si>
  <si>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</si>
  <si>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</si>
  <si>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</si>
  <si>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</si>
  <si>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</si>
  <si>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</si>
  <si>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</si>
  <si>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</si>
  <si>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</si>
  <si>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</si>
  <si>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</si>
  <si>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</si>
  <si>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</si>
  <si>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</si>
  <si>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</si>
  <si>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</si>
  <si>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</si>
  <si>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</si>
  <si>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</si>
  <si>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</si>
  <si>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</si>
  <si>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</si>
  <si>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</si>
  <si>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</si>
  <si>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</si>
  <si>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</si>
  <si>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</si>
  <si>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</si>
  <si>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</si>
  <si>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</si>
  <si>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</si>
  <si>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</si>
  <si>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</si>
  <si>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</si>
  <si>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</si>
  <si>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</si>
  <si>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</si>
  <si>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</si>
  <si>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</si>
  <si>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</si>
  <si>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</si>
  <si>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</si>
  <si>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</si>
  <si>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</si>
  <si>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</si>
  <si>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</si>
  <si>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</si>
  <si>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</si>
  <si>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</si>
  <si>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</si>
  <si>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</si>
  <si>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</si>
  <si>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</si>
  <si>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</si>
  <si>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</si>
  <si>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</si>
  <si>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</si>
  <si>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</si>
  <si>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</si>
  <si>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</si>
  <si>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</si>
  <si>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</si>
  <si>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</si>
  <si>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</si>
  <si>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</si>
  <si>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</si>
  <si>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</si>
  <si>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</si>
  <si>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</si>
  <si>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</si>
  <si>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</si>
  <si>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</si>
  <si>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</si>
  <si>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</si>
  <si>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</si>
  <si>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</si>
  <si>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</si>
  <si>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</si>
  <si>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</si>
  <si>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</si>
  <si>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</si>
  <si>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</si>
  <si>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</si>
  <si>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</si>
  <si>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</si>
  <si>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</si>
  <si>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</si>
  <si>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</si>
  <si>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</si>
  <si>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</si>
  <si>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</si>
  <si>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</si>
  <si>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</si>
  <si>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</si>
  <si>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</si>
  <si>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</si>
  <si>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</si>
  <si>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</si>
  <si>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</si>
  <si>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</si>
  <si>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</si>
  <si>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</si>
  <si>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</si>
  <si>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</si>
  <si>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</si>
  <si>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</si>
  <si>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</si>
  <si>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</si>
  <si>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</si>
  <si>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</si>
  <si>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</si>
  <si>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</si>
  <si>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</si>
  <si>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</si>
  <si>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</si>
  <si>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</si>
  <si>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</si>
  <si>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</si>
  <si>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</si>
  <si>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</si>
  <si>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</si>
  <si>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</si>
  <si>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</si>
  <si>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</si>
  <si>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</si>
  <si>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</si>
  <si>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</si>
  <si>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</si>
  <si>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</si>
  <si>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</si>
  <si>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</si>
  <si>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</si>
  <si>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</si>
  <si>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</si>
  <si>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</si>
  <si>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</si>
  <si>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</si>
  <si>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</si>
  <si>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</si>
  <si>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</si>
  <si>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</si>
  <si>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</si>
  <si>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</si>
  <si>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</si>
  <si>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</si>
  <si>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</si>
  <si>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</si>
  <si>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</si>
  <si>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</si>
  <si>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</si>
  <si>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</si>
  <si>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</si>
  <si>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</si>
  <si>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</si>
  <si>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</si>
  <si>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</si>
  <si>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</si>
  <si>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</si>
  <si>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</si>
  <si>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</si>
  <si>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</si>
  <si>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</si>
  <si>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</si>
  <si>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* Legenda</t>
  </si>
  <si>
    <t>Dle vyhlášky optimum casemixu 97%, hospitalizace 93%</t>
  </si>
  <si>
    <t>333 - Cizinci</t>
  </si>
  <si>
    <t>Počet hospitalizací - případů DRG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</si>
  <si>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</si>
  <si>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</si>
  <si>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</si>
  <si>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</si>
  <si>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</si>
  <si>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</si>
  <si>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</si>
  <si>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</si>
  <si>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</si>
  <si>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</si>
  <si>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</si>
  <si>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</si>
  <si>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</si>
  <si>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</si>
  <si>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</si>
  <si>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</si>
  <si>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</si>
  <si>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</si>
  <si>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</si>
  <si>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</si>
  <si>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</si>
  <si>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</si>
  <si>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</si>
  <si>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</si>
  <si>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</si>
  <si>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</si>
  <si>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</si>
  <si>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</si>
  <si>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</si>
  <si>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</si>
  <si>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</si>
  <si>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</si>
  <si>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</si>
  <si>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</si>
  <si>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</si>
  <si>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</si>
  <si>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</si>
  <si>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</si>
  <si>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</si>
  <si>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</si>
  <si>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</si>
  <si>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</si>
  <si>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</si>
  <si>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</si>
  <si>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</si>
  <si>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</si>
  <si>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</si>
  <si>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</si>
  <si>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</si>
  <si>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</si>
  <si>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</si>
  <si>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</si>
  <si>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</si>
  <si>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</si>
  <si>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</si>
  <si>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</si>
  <si>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</si>
  <si>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</si>
  <si>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</si>
  <si>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</si>
  <si>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</si>
  <si>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</si>
  <si>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</si>
  <si>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</si>
  <si>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</si>
  <si>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</si>
  <si>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</si>
  <si>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</si>
  <si>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</si>
  <si>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</si>
  <si>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</si>
  <si>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</si>
  <si>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</si>
  <si>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</si>
  <si>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</si>
  <si>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</si>
  <si>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</si>
  <si>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</si>
  <si>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</si>
  <si>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</si>
  <si>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</si>
  <si>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</si>
  <si>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</si>
  <si>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</si>
  <si>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</si>
  <si>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</si>
  <si>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</si>
  <si>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</si>
  <si>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</si>
  <si>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</si>
  <si>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</si>
  <si>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</si>
  <si>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</si>
  <si>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</si>
  <si>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</si>
  <si>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</si>
  <si>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</si>
  <si>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</si>
  <si>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</si>
  <si>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</si>
  <si>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</si>
  <si>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</si>
  <si>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</si>
  <si>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</si>
  <si>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</si>
  <si>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</si>
  <si>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</si>
  <si>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</si>
  <si>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</si>
  <si>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</si>
  <si>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</si>
  <si>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</si>
  <si>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</si>
  <si>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</si>
  <si>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</si>
  <si>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</si>
  <si>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</si>
  <si>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</si>
  <si>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</si>
  <si>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</si>
  <si>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</si>
  <si>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</si>
  <si>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</si>
  <si>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</si>
  <si>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</si>
  <si>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</si>
  <si>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</si>
  <si>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</si>
  <si>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</si>
  <si>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</si>
  <si>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</si>
  <si>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</si>
  <si>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</si>
  <si>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</si>
  <si>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</si>
  <si>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</si>
  <si>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</si>
  <si>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</si>
  <si>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</si>
  <si>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</si>
  <si>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</si>
  <si>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</si>
  <si>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</si>
  <si>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</si>
  <si>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</si>
  <si>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</si>
  <si>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</si>
  <si>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</si>
  <si>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</si>
  <si>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</si>
  <si>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</si>
  <si>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</si>
  <si>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</si>
  <si>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</si>
  <si>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</si>
  <si>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</si>
  <si>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</si>
  <si>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</si>
  <si>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</si>
  <si>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</si>
  <si>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</si>
  <si>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</si>
  <si>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</si>
  <si>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</si>
  <si>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</si>
  <si>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</si>
  <si>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</si>
  <si>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</si>
  <si>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</si>
  <si>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</si>
  <si>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</si>
  <si>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</si>
  <si>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</si>
  <si>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</si>
  <si>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</si>
  <si>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</si>
  <si>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</si>
  <si>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</si>
  <si>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</si>
  <si>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</si>
  <si>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</si>
  <si>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</si>
  <si>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</si>
  <si>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</si>
  <si>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</si>
  <si>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</si>
  <si>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</si>
  <si>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</si>
  <si>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</si>
  <si>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</si>
  <si>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</si>
  <si>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</si>
  <si>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</si>
  <si>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</si>
  <si>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</si>
  <si>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</si>
  <si>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</si>
  <si>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</si>
  <si>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</si>
  <si>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</si>
  <si>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</si>
  <si>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</si>
  <si>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</si>
  <si>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</si>
  <si>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</si>
  <si>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</si>
  <si>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</si>
  <si>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</si>
  <si>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</si>
  <si>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</si>
  <si>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</si>
  <si>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</si>
  <si>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</si>
  <si>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</si>
  <si>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</si>
  <si>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</si>
  <si>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</si>
  <si>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</si>
  <si>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</si>
  <si>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</si>
  <si>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</si>
  <si>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</si>
  <si>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</si>
  <si>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</si>
  <si>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</si>
  <si>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</si>
  <si>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</si>
  <si>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</si>
  <si>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</si>
  <si>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</si>
  <si>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</si>
  <si>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</si>
  <si>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</si>
  <si>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</si>
  <si>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</si>
  <si>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</si>
  <si>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</si>
  <si>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</si>
  <si>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</si>
  <si>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</si>
  <si>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</si>
  <si>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</si>
  <si>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</si>
  <si>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</si>
  <si>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</si>
  <si>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/>
  </si>
  <si>
    <t>Oddělení int. péče chirurg. oborů</t>
  </si>
  <si>
    <t>50113001</t>
  </si>
  <si>
    <t>Lékárna - léčiva</t>
  </si>
  <si>
    <t>50113006</t>
  </si>
  <si>
    <t>Lékárna - enterární výživa</t>
  </si>
  <si>
    <t>50113008</t>
  </si>
  <si>
    <t>393 TO krevní deriváty IVLP (112 01 003)</t>
  </si>
  <si>
    <t>50113013</t>
  </si>
  <si>
    <t>Lékárna - antibiotika</t>
  </si>
  <si>
    <t>50113014</t>
  </si>
  <si>
    <t>Lékárna - antimykotika</t>
  </si>
  <si>
    <t>SumaKL</t>
  </si>
  <si>
    <t>5931</t>
  </si>
  <si>
    <t>Oddělení int. péče chirurg. oborů, JIP 51</t>
  </si>
  <si>
    <t>SumaNS</t>
  </si>
  <si>
    <t>mezeraNS</t>
  </si>
  <si>
    <t>185526</t>
  </si>
  <si>
    <t>85526</t>
  </si>
  <si>
    <t>SUFENTA FORTE I.V.</t>
  </si>
  <si>
    <t>INJ 5X1ML/0.05MG</t>
  </si>
  <si>
    <t>33573</t>
  </si>
  <si>
    <t>NEPRO</t>
  </si>
  <si>
    <t>POR SOL 1X500ML</t>
  </si>
  <si>
    <t>129027</t>
  </si>
  <si>
    <t>PROPOFOL-LIPURO 1 % (10MG/ML)</t>
  </si>
  <si>
    <t>INJ+INF EML 10X100ML/1000MG</t>
  </si>
  <si>
    <t>187425</t>
  </si>
  <si>
    <t>LETROX 50</t>
  </si>
  <si>
    <t>POR TBL NOB 100X50RG II</t>
  </si>
  <si>
    <t>198757</t>
  </si>
  <si>
    <t>MIDAZOLAM B. BRAUN 1 MG/ML</t>
  </si>
  <si>
    <t>INJ+RCT SOL 10X50ML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</si>
  <si>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</si>
  <si>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</si>
  <si>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</si>
  <si>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</si>
  <si>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</si>
  <si>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</si>
  <si>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</si>
  <si>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</si>
  <si>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</si>
  <si>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</si>
  <si>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</si>
  <si>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</si>
  <si>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</si>
  <si>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</si>
  <si>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</si>
  <si>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</si>
  <si>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</si>
  <si>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</si>
  <si>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</si>
  <si>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</si>
  <si>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</si>
  <si>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</si>
  <si>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</si>
  <si>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</si>
  <si>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</si>
  <si>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</si>
  <si>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100610</t>
  </si>
  <si>
    <t>610</t>
  </si>
  <si>
    <t>SYNTOPHYLLIN</t>
  </si>
  <si>
    <t>INJ 5X10ML/240MG</t>
  </si>
  <si>
    <t>100835</t>
  </si>
  <si>
    <t>835</t>
  </si>
  <si>
    <t>CALCIUM PANTHOTEN. SLOVAKOFARMA</t>
  </si>
  <si>
    <t>UNG 1X30GM</t>
  </si>
  <si>
    <t>100876</t>
  </si>
  <si>
    <t>876</t>
  </si>
  <si>
    <t>OPHTHALMO-SEPTONEX</t>
  </si>
  <si>
    <t>UNG OPH 1X5GM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</si>
  <si>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</si>
  <si>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</si>
  <si>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</si>
  <si>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</si>
  <si>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</si>
  <si>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</si>
  <si>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</si>
  <si>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</si>
  <si>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</si>
  <si>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</si>
  <si>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</si>
  <si>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</si>
  <si>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</si>
  <si>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</si>
  <si>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</si>
  <si>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</si>
  <si>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</si>
  <si>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</si>
  <si>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</si>
  <si>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</si>
  <si>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</si>
  <si>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</si>
  <si>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</si>
  <si>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</si>
  <si>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</si>
  <si>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</si>
  <si>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</si>
  <si>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</si>
  <si>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</si>
  <si>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</si>
  <si>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</si>
  <si>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</si>
  <si>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</si>
  <si>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</si>
  <si>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</si>
  <si>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</si>
  <si>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</si>
  <si>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</si>
  <si>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</si>
  <si>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</si>
  <si>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</si>
  <si>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</si>
  <si>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</si>
  <si>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</si>
  <si>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</si>
  <si>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</si>
  <si>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</si>
  <si>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</si>
  <si>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</si>
  <si>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</si>
  <si>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</si>
  <si>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</si>
  <si>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</si>
  <si>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</si>
  <si>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</si>
  <si>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</si>
  <si>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</si>
  <si>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126578</t>
  </si>
  <si>
    <t>26578</t>
  </si>
  <si>
    <t>MICARDISPLUS 80/12.5 MG</t>
  </si>
  <si>
    <t>POR TBL NOB 28</t>
  </si>
  <si>
    <t>155823</t>
  </si>
  <si>
    <t>55823</t>
  </si>
  <si>
    <t>TBL OBD 20X500MG</t>
  </si>
  <si>
    <t>157483</t>
  </si>
  <si>
    <t>57483</t>
  </si>
  <si>
    <t>CALCIUM RESONIUM</t>
  </si>
  <si>
    <t>PLV 1X300GM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</si>
  <si>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</si>
  <si>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</si>
  <si>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</si>
  <si>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</si>
  <si>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</si>
  <si>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</si>
  <si>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</si>
  <si>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</si>
  <si>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</si>
  <si>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</si>
  <si>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</si>
  <si>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</si>
  <si>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</si>
  <si>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</si>
  <si>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</si>
  <si>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</si>
  <si>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</si>
  <si>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</si>
  <si>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</si>
  <si>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</si>
  <si>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</si>
  <si>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</si>
  <si>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</si>
  <si>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</si>
  <si>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</si>
  <si>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</si>
  <si>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</si>
  <si>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</si>
  <si>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</si>
  <si>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</si>
  <si>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</si>
  <si>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</si>
  <si>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</si>
  <si>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</si>
  <si>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</si>
  <si>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</si>
  <si>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</si>
  <si>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</si>
  <si>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</si>
  <si>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</si>
  <si>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</si>
  <si>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</si>
  <si>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</si>
  <si>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</si>
  <si>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</si>
  <si>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</si>
  <si>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</si>
  <si>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</si>
  <si>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</si>
  <si>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</si>
  <si>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</si>
  <si>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</si>
  <si>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</si>
  <si>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</si>
  <si>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</si>
  <si>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</si>
  <si>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</si>
  <si>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</si>
  <si>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196190</t>
  </si>
  <si>
    <t>96190</t>
  </si>
  <si>
    <t>MONOSAN 20MG</t>
  </si>
  <si>
    <t>TBL 30X20MG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</si>
  <si>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</si>
  <si>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</si>
  <si>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</si>
  <si>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</si>
  <si>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</si>
  <si>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</si>
  <si>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</si>
  <si>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</si>
  <si>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</si>
  <si>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</si>
  <si>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</si>
  <si>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</si>
  <si>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</si>
  <si>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</si>
  <si>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</si>
  <si>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</si>
  <si>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</si>
  <si>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</si>
  <si>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</si>
  <si>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</si>
  <si>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</si>
  <si>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</si>
  <si>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</si>
  <si>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</si>
  <si>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</si>
  <si>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</si>
  <si>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</si>
  <si>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</si>
  <si>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</si>
  <si>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</si>
  <si>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</si>
  <si>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</si>
  <si>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850552</t>
  </si>
  <si>
    <t>167852</t>
  </si>
  <si>
    <t>TWYNSTA 80 MG/5 MG</t>
  </si>
  <si>
    <t>905098</t>
  </si>
  <si>
    <t>23989</t>
  </si>
  <si>
    <t>DZ OCTENISEPT 1 l</t>
  </si>
  <si>
    <t>DPH 15 %</t>
  </si>
  <si>
    <t>930065</t>
  </si>
  <si>
    <t>DZ PRONTOSAN ROZTOK 350ml</t>
  </si>
  <si>
    <t>51384</t>
  </si>
  <si>
    <t>INF SOL 10X1000MLPLAH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</si>
  <si>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</si>
  <si>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</si>
  <si>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</si>
  <si>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</si>
  <si>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</si>
  <si>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</si>
  <si>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</si>
  <si>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</si>
  <si>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</si>
  <si>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</si>
  <si>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</si>
  <si>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</si>
  <si>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</si>
  <si>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</si>
  <si>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</si>
  <si>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</si>
  <si>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</si>
  <si>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</si>
  <si>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111337</t>
  </si>
  <si>
    <t>11337</t>
  </si>
  <si>
    <t>GERATAM 3G</t>
  </si>
  <si>
    <t>INJ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</si>
  <si>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</si>
  <si>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</si>
  <si>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</si>
  <si>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</si>
  <si>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</si>
  <si>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</si>
  <si>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</si>
  <si>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</si>
  <si>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</si>
  <si>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</si>
  <si>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</si>
  <si>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</si>
  <si>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</si>
  <si>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</si>
  <si>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</si>
  <si>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172564</t>
  </si>
  <si>
    <t>72564</t>
  </si>
  <si>
    <t>SEROPRAM</t>
  </si>
  <si>
    <t>INF 5X0.5ML/20MG</t>
  </si>
  <si>
    <t>189244</t>
  </si>
  <si>
    <t>89244</t>
  </si>
  <si>
    <t>AQUA PRO INJECTIONE ARDEAPHARMA</t>
  </si>
  <si>
    <t>INF 1X250ML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</si>
  <si>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</si>
  <si>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</si>
  <si>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</si>
  <si>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</si>
  <si>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</si>
  <si>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</si>
  <si>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</si>
  <si>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</si>
  <si>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</si>
  <si>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</si>
  <si>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</si>
  <si>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841541</t>
  </si>
  <si>
    <t>MENALIND Mycí emulze 500ml</t>
  </si>
  <si>
    <t>848802</t>
  </si>
  <si>
    <t>163138</t>
  </si>
  <si>
    <t>FLAVOBION</t>
  </si>
  <si>
    <t>POR TBL FLM 50X70MG</t>
  </si>
  <si>
    <t>849034</t>
  </si>
  <si>
    <t>Emspoma M 200ml/chladivá tuba</t>
  </si>
  <si>
    <t>849276</t>
  </si>
  <si>
    <t>155875</t>
  </si>
  <si>
    <t>TRENTAL</t>
  </si>
  <si>
    <t>INF SOL 5X5ML/100MG</t>
  </si>
  <si>
    <t>102684</t>
  </si>
  <si>
    <t>2684</t>
  </si>
  <si>
    <t>MESOCAIN</t>
  </si>
  <si>
    <t>GEL 1X20GM</t>
  </si>
  <si>
    <t>104071</t>
  </si>
  <si>
    <t>4071</t>
  </si>
  <si>
    <t>DITHIADEN</t>
  </si>
  <si>
    <t>INJ 10X2ML</t>
  </si>
  <si>
    <t>146125</t>
  </si>
  <si>
    <t>46125</t>
  </si>
  <si>
    <t>LIDOCAIN 10%</t>
  </si>
  <si>
    <t>SPR 1X38GM</t>
  </si>
  <si>
    <t>165633</t>
  </si>
  <si>
    <t>165751</t>
  </si>
  <si>
    <t>GELASPAN 4% EBI20x500 ml</t>
  </si>
  <si>
    <t>INF SOL20X500ML VAK</t>
  </si>
  <si>
    <t>47706</t>
  </si>
  <si>
    <t>GLUKÓZA 20 BRAUN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</si>
  <si>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</si>
  <si>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</si>
  <si>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</si>
  <si>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</si>
  <si>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</si>
  <si>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</si>
  <si>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</si>
  <si>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</si>
  <si>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</si>
  <si>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</si>
  <si>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</si>
  <si>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</si>
  <si>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</si>
  <si>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</si>
  <si>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</si>
  <si>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</si>
  <si>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</si>
  <si>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</si>
  <si>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</si>
  <si>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</si>
  <si>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</si>
  <si>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</si>
  <si>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</si>
  <si>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</si>
  <si>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</si>
  <si>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</si>
  <si>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</si>
  <si>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</si>
  <si>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</si>
  <si>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</si>
  <si>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</si>
  <si>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</si>
  <si>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</si>
  <si>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</si>
  <si>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844078</t>
  </si>
  <si>
    <t>Lacrisyn gtt.ophth.10ml</t>
  </si>
  <si>
    <t>921458</t>
  </si>
  <si>
    <t>KL ETHER 200G</t>
  </si>
  <si>
    <t>113373</t>
  </si>
  <si>
    <t>154858</t>
  </si>
  <si>
    <t xml:space="preserve">PROTAMIN MEDA AMPULLEN </t>
  </si>
  <si>
    <t>INJ 5X5ML/5KU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</si>
  <si>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</si>
  <si>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</si>
  <si>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</si>
  <si>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</si>
  <si>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</si>
  <si>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</si>
  <si>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</si>
  <si>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</si>
  <si>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</si>
  <si>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</si>
  <si>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</si>
  <si>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</si>
  <si>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900321</t>
  </si>
  <si>
    <t>KL PRIPRAVEK</t>
  </si>
  <si>
    <t>101127</t>
  </si>
  <si>
    <t>1127</t>
  </si>
  <si>
    <t>INJ 10X2ML/20MG</t>
  </si>
  <si>
    <t>117011</t>
  </si>
  <si>
    <t>17011</t>
  </si>
  <si>
    <t>DICYNONE 250</t>
  </si>
  <si>
    <t>INJ SOL 4X2ML/250MG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</si>
  <si>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</si>
  <si>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</si>
  <si>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</si>
  <si>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</si>
  <si>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</si>
  <si>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</si>
  <si>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</si>
  <si>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</si>
  <si>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703722</t>
  </si>
  <si>
    <t>MENALIND Olejový spray na ochranu kůže</t>
  </si>
  <si>
    <t>790011</t>
  </si>
  <si>
    <t>Emspoma M 500g/chladivá</t>
  </si>
  <si>
    <t>841577</t>
  </si>
  <si>
    <t>MENALIND Professional olej.přís. 500ml</t>
  </si>
  <si>
    <t>846873</t>
  </si>
  <si>
    <t>DZ PRONTODERM ROZTOK 500 ml</t>
  </si>
  <si>
    <t>16321</t>
  </si>
  <si>
    <t>BRAUNOVIDON MAST</t>
  </si>
  <si>
    <t>DRM UNG 1X250GM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</si>
  <si>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</si>
  <si>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</si>
  <si>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</si>
  <si>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</si>
  <si>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</si>
  <si>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</si>
  <si>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</si>
  <si>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187299</t>
  </si>
  <si>
    <t>87299</t>
  </si>
  <si>
    <t>IMUNOR</t>
  </si>
  <si>
    <t>LYO 4X10MG</t>
  </si>
  <si>
    <t>199466</t>
  </si>
  <si>
    <t>BURONIL 25 MG</t>
  </si>
  <si>
    <t>POR TBL OBD 50X25MG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</si>
  <si>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</si>
  <si>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</si>
  <si>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</si>
  <si>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</si>
  <si>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</si>
  <si>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</si>
  <si>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</si>
  <si>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</si>
  <si>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501065</t>
  </si>
  <si>
    <t>KL SIGNATURY</t>
  </si>
  <si>
    <t>189869</t>
  </si>
  <si>
    <t>89869</t>
  </si>
  <si>
    <t>DIPROPHOS</t>
  </si>
  <si>
    <t>INJ 5X1ML</t>
  </si>
  <si>
    <t>192730</t>
  </si>
  <si>
    <t>92730</t>
  </si>
  <si>
    <t>INJ 50X5ML</t>
  </si>
  <si>
    <t>845813</t>
  </si>
  <si>
    <t>DECA DURABOLIN  50</t>
  </si>
  <si>
    <t xml:space="preserve">INJ SOL 1X1ML/50MG </t>
  </si>
  <si>
    <t>106091</t>
  </si>
  <si>
    <t>6091</t>
  </si>
  <si>
    <t>GUTRON 2.5MG</t>
  </si>
  <si>
    <t>TBL 20X2.5MG</t>
  </si>
  <si>
    <t>841314</t>
  </si>
  <si>
    <t>MENALIND Ochranná pěna 100ml</t>
  </si>
  <si>
    <t>169667</t>
  </si>
  <si>
    <t>69667</t>
  </si>
  <si>
    <t>ARDEAELYTOSOL NA.HYDR.FOSF.8.7%</t>
  </si>
  <si>
    <t>INF 1X200ML</t>
  </si>
  <si>
    <t>850729</t>
  </si>
  <si>
    <t>157875</t>
  </si>
  <si>
    <t>PARACETAMOL KABI 10MG/ML</t>
  </si>
  <si>
    <t>INF SOL 10X100ML/1000MG</t>
  </si>
  <si>
    <t>850675</t>
  </si>
  <si>
    <t>Menalind professional tělové mléko 500ml</t>
  </si>
  <si>
    <t>920060</t>
  </si>
  <si>
    <t>KL SOL.ARG.NITR.20% 10G</t>
  </si>
  <si>
    <t>2584</t>
  </si>
  <si>
    <t>GLUKÓZA 40 BRAUN</t>
  </si>
  <si>
    <t>844242</t>
  </si>
  <si>
    <t>105937</t>
  </si>
  <si>
    <t>TETRASPAN 6%</t>
  </si>
  <si>
    <t>843996</t>
  </si>
  <si>
    <t>100191</t>
  </si>
  <si>
    <t>VOLUVEN  6%</t>
  </si>
  <si>
    <t>INF SOL 20X500MLVAK+P</t>
  </si>
  <si>
    <t>900012</t>
  </si>
  <si>
    <t>KL SOL.HYD.PEROX.3% 200G</t>
  </si>
  <si>
    <t>187000</t>
  </si>
  <si>
    <t>87000</t>
  </si>
  <si>
    <t>ARDEAOSMOSOL MA 20 (Mannitol)</t>
  </si>
  <si>
    <t>131345</t>
  </si>
  <si>
    <t>31345</t>
  </si>
  <si>
    <t>PK-MERZ INFUSION</t>
  </si>
  <si>
    <t>INF 10X500ML</t>
  </si>
  <si>
    <t>103761</t>
  </si>
  <si>
    <t>3761</t>
  </si>
  <si>
    <t>CHIROCAINE 5 MG/ML</t>
  </si>
  <si>
    <t>INJ CNC SOL 10X10ML</t>
  </si>
  <si>
    <t>50440</t>
  </si>
  <si>
    <t>ACCUSOL 35, ROZTOK PRO HEMOFILTRACI, HEMODIALÝZU A</t>
  </si>
  <si>
    <t>DLP HFL SOL 2X5000ML</t>
  </si>
  <si>
    <t>190484</t>
  </si>
  <si>
    <t>NEPRESOL 25 MG</t>
  </si>
  <si>
    <t>INJ SIC 5X25MG+SOLV</t>
  </si>
  <si>
    <t>394942</t>
  </si>
  <si>
    <t>93527</t>
  </si>
  <si>
    <t>ARDEAELYTOSOL R1/1</t>
  </si>
  <si>
    <t>INF 1X500ML</t>
  </si>
  <si>
    <t>153507</t>
  </si>
  <si>
    <t>53507</t>
  </si>
  <si>
    <t>MEDOSTATIN 20MG</t>
  </si>
  <si>
    <t>TBL 100X20MG</t>
  </si>
  <si>
    <t>200863</t>
  </si>
  <si>
    <t>OPH GTT SOL 1X10ML PLAST</t>
  </si>
  <si>
    <t>989038</t>
  </si>
  <si>
    <t>Menalind Profess.kož.ochr.krém 200ml+čist.ubrousky</t>
  </si>
  <si>
    <t>989039</t>
  </si>
  <si>
    <t>Menalind Profess.čist.pěna 400ml+čist.těl.ml.500ml</t>
  </si>
  <si>
    <t>P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</si>
  <si>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</si>
  <si>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</si>
  <si>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</si>
  <si>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</si>
  <si>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</si>
  <si>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</si>
  <si>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</si>
  <si>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</si>
  <si>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133343</t>
  </si>
  <si>
    <t>33343</t>
  </si>
  <si>
    <t>CUBITAN S PŘÍCHUTÍ JAHODOVOU (SOL)</t>
  </si>
  <si>
    <t>POR SOL 1X200ML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</si>
  <si>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</si>
  <si>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</si>
  <si>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</si>
  <si>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</si>
  <si>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</si>
  <si>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</si>
  <si>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</si>
  <si>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</si>
  <si>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</si>
  <si>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</si>
  <si>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</si>
  <si>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</si>
  <si>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</si>
  <si>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</si>
  <si>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</si>
  <si>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</si>
  <si>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158271</t>
  </si>
  <si>
    <t>58271</t>
  </si>
  <si>
    <t>LIPANTHYL 267 M</t>
  </si>
  <si>
    <t>CPS 30X267MG</t>
  </si>
  <si>
    <t>158380</t>
  </si>
  <si>
    <t>58380</t>
  </si>
  <si>
    <t>VENTOLIN ROZTOK K INHALACI</t>
  </si>
  <si>
    <t>INH SOL1X20ML/120MG</t>
  </si>
  <si>
    <t>184399</t>
  </si>
  <si>
    <t>84399</t>
  </si>
  <si>
    <t>NEURONTIN 300MG</t>
  </si>
  <si>
    <t>CPS 50X300MG</t>
  </si>
  <si>
    <t>848765</t>
  </si>
  <si>
    <t>107938</t>
  </si>
  <si>
    <t>INJ SOL 6X3ML/150MG</t>
  </si>
  <si>
    <t>849559</t>
  </si>
  <si>
    <t>125066</t>
  </si>
  <si>
    <t>APO-AMLO 5</t>
  </si>
  <si>
    <t>POR TBL NOB 100X5MG</t>
  </si>
  <si>
    <t>849713</t>
  </si>
  <si>
    <t>125046</t>
  </si>
  <si>
    <t>APO-AMLO 10</t>
  </si>
  <si>
    <t>POR TBL NOB 30X10MG</t>
  </si>
  <si>
    <t>126786</t>
  </si>
  <si>
    <t>26786</t>
  </si>
  <si>
    <t>NOVORAPID 100 U/ML</t>
  </si>
  <si>
    <t>INJ SOL 1X10ML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</si>
  <si>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</si>
  <si>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</si>
  <si>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</si>
  <si>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</si>
  <si>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</si>
  <si>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</si>
  <si>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</si>
  <si>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118175</t>
  </si>
  <si>
    <t>18175</t>
  </si>
  <si>
    <t>PROPOFOL 1% MCT/LCT FRESENIUS</t>
  </si>
  <si>
    <t>INJ EML 10X100ML</t>
  </si>
  <si>
    <t>147133</t>
  </si>
  <si>
    <t>47133</t>
  </si>
  <si>
    <t>LETROX 150</t>
  </si>
  <si>
    <t>TBL 100X150RG</t>
  </si>
  <si>
    <t>117431</t>
  </si>
  <si>
    <t>17431</t>
  </si>
  <si>
    <t>CITALEC 20 ZENTIVA</t>
  </si>
  <si>
    <t>POR TBL FLM30X20MG</t>
  </si>
  <si>
    <t>115245</t>
  </si>
  <si>
    <t>15245</t>
  </si>
  <si>
    <t>SANDOSTATIN 0.1 MG/ML</t>
  </si>
  <si>
    <t>INJ SOL 5X1ML/0.1MG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</si>
  <si>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</si>
  <si>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</si>
  <si>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</si>
  <si>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</si>
  <si>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</si>
  <si>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</si>
  <si>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</si>
  <si>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841569</t>
  </si>
  <si>
    <t>Fresubin hepa 15x500ml</t>
  </si>
  <si>
    <t>103414</t>
  </si>
  <si>
    <t>3414</t>
  </si>
  <si>
    <t>NUTRIFLEX PERI</t>
  </si>
  <si>
    <t>INF 5X2000ML</t>
  </si>
  <si>
    <t>142003</t>
  </si>
  <si>
    <t>NEPHROTECT</t>
  </si>
  <si>
    <t>INF SOL 10X500ML</t>
  </si>
  <si>
    <t>116337</t>
  </si>
  <si>
    <t>16337</t>
  </si>
  <si>
    <t>LIPOPLUS 20%</t>
  </si>
  <si>
    <t>INFEML10X250ML-SKLO</t>
  </si>
  <si>
    <t>195939</t>
  </si>
  <si>
    <t>95939</t>
  </si>
  <si>
    <t>AMINOMIX 1 NOVUM</t>
  </si>
  <si>
    <t>INFSOL4X1500ML</t>
  </si>
  <si>
    <t>988740</t>
  </si>
  <si>
    <t>Nutrison Advanced Diason 1000ml</t>
  </si>
  <si>
    <t>116338</t>
  </si>
  <si>
    <t>16338</t>
  </si>
  <si>
    <t>INFEML10X500ML-SKLO</t>
  </si>
  <si>
    <t>396914</t>
  </si>
  <si>
    <t>52301</t>
  </si>
  <si>
    <t>AMINOPLASMAL HEPA-10%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</si>
  <si>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</si>
  <si>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</si>
  <si>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</si>
  <si>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</si>
  <si>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</si>
  <si>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</si>
  <si>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</si>
  <si>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</si>
  <si>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</si>
  <si>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133474</t>
  </si>
  <si>
    <t>33474</t>
  </si>
  <si>
    <t>NUTRIDRINK JUICE STYLE S PŘÍCHUTÍ JABLEČNOU</t>
  </si>
  <si>
    <t>33424</t>
  </si>
  <si>
    <t>NUTRISON ADVANCED CUBISON</t>
  </si>
  <si>
    <t>POR SOL 1X1000ML</t>
  </si>
  <si>
    <t>33526</t>
  </si>
  <si>
    <t>NUTRISON</t>
  </si>
  <si>
    <t>33750</t>
  </si>
  <si>
    <t>NUTRIDRINK CREME S PŘÍCHUTÍ VANILKOVOU</t>
  </si>
  <si>
    <t>POR SOL 4X125GM</t>
  </si>
  <si>
    <t>133322</t>
  </si>
  <si>
    <t>33322</t>
  </si>
  <si>
    <t>NUTRIDRINK S ČOKOL. PŘÍCHUTÍ</t>
  </si>
  <si>
    <t>847098</t>
  </si>
  <si>
    <t>33705</t>
  </si>
  <si>
    <t>NUTRIDRINK S PŘÍCH. VANILKOVOU 200ml</t>
  </si>
  <si>
    <t>83050</t>
  </si>
  <si>
    <t>198192</t>
  </si>
  <si>
    <t>SEFOTAK 1 G</t>
  </si>
  <si>
    <t>INJ PLV SOL 1X1GM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</si>
  <si>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</si>
  <si>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</si>
  <si>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</si>
  <si>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</si>
  <si>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</si>
  <si>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</si>
  <si>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</si>
  <si>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</si>
  <si>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</si>
  <si>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</si>
  <si>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</si>
  <si>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</si>
  <si>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</si>
  <si>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</si>
  <si>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</si>
  <si>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</si>
  <si>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</si>
  <si>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</si>
  <si>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</si>
  <si>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</si>
  <si>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</si>
  <si>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</si>
  <si>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</si>
  <si>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183417</t>
  </si>
  <si>
    <t>83417</t>
  </si>
  <si>
    <t>MERONEM</t>
  </si>
  <si>
    <t>INJ SIC 10X1GM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</si>
  <si>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</si>
  <si>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</si>
  <si>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</si>
  <si>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</si>
  <si>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</si>
  <si>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</si>
  <si>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</si>
  <si>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</si>
  <si>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</si>
  <si>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</si>
  <si>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</si>
  <si>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</si>
  <si>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</si>
  <si>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</si>
  <si>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</si>
  <si>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</si>
  <si>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131656</t>
  </si>
  <si>
    <t>CEFTAZIDIM KABI 2 GM</t>
  </si>
  <si>
    <t>INJ+INF PLV SOL 10X2GM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</si>
  <si>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</si>
  <si>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</si>
  <si>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</si>
  <si>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</si>
  <si>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</si>
  <si>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</si>
  <si>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</si>
  <si>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</si>
  <si>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101077</t>
  </si>
  <si>
    <t>1077</t>
  </si>
  <si>
    <t>OPHTHALMO-FRAMYKOIN COMPOSITUM</t>
  </si>
  <si>
    <t>162496</t>
  </si>
  <si>
    <t>TAZIP 4 G/0,5 G</t>
  </si>
  <si>
    <t>INJ+INF PLV SOL 10X4,5GM</t>
  </si>
  <si>
    <t>113453</t>
  </si>
  <si>
    <t>PIPERACILLIN/TAZOBACTAM KABI 4 G/0,5 G</t>
  </si>
  <si>
    <t>INF PLV SOL 10X4.5GM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</si>
  <si>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</si>
  <si>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</si>
  <si>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</si>
  <si>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</si>
  <si>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</si>
  <si>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</si>
  <si>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</si>
  <si>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</si>
  <si>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</si>
  <si>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</si>
  <si>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</si>
  <si>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</si>
  <si>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</si>
  <si>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</si>
  <si>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</si>
  <si>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</si>
  <si>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</si>
  <si>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</si>
  <si>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</si>
  <si>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</si>
  <si>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</si>
  <si>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</si>
  <si>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</si>
  <si>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</si>
  <si>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</si>
  <si>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</si>
  <si>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</si>
  <si>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</si>
  <si>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</si>
  <si>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</si>
  <si>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</si>
  <si>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</si>
  <si>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</si>
  <si>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</si>
  <si>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</si>
  <si>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</si>
  <si>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</si>
  <si>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</si>
  <si>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</si>
  <si>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</si>
  <si>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</si>
  <si>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</si>
  <si>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</si>
  <si>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</si>
  <si>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</si>
  <si>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129767</t>
  </si>
  <si>
    <t>IMIPENEM/CILASTATIN KABI 500 MG/500 MG</t>
  </si>
  <si>
    <t>INF PLV SOL 10LAH/20ML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</si>
  <si>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</si>
  <si>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</si>
  <si>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</si>
  <si>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</si>
  <si>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</si>
  <si>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</si>
  <si>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</si>
  <si>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</si>
  <si>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</si>
  <si>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</si>
  <si>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</si>
  <si>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6480</t>
  </si>
  <si>
    <t>Ocplex 20ml 500 I.U. Phoenix</t>
  </si>
  <si>
    <t>97910</t>
  </si>
  <si>
    <t>Human Albumin 20% 100 ml GRIFOLS</t>
  </si>
  <si>
    <t>0129056</t>
  </si>
  <si>
    <t>ATENATIV 500 I.U. Phoenix</t>
  </si>
  <si>
    <t>0062464</t>
  </si>
  <si>
    <t>Haemocomplettan P 1000mg</t>
  </si>
  <si>
    <t>5931 - Oddělení int. péče chirurg. oborů, JIP 51</t>
  </si>
  <si>
    <t>N05CD08 - Midazolam</t>
  </si>
  <si>
    <t>N01AH03 - Sufentanyl</t>
  </si>
  <si>
    <t>N01AX10 - Propofol</t>
  </si>
  <si>
    <t>J01DD01 - Cefotaxim</t>
  </si>
  <si>
    <t>V06XX - Potraviny pro zvláštní lékařské účely (PZLÚ)</t>
  </si>
  <si>
    <t>H03AA01 - Levothyroxin, sodná sůl</t>
  </si>
  <si>
    <t>J01FF01 - Klindamycin</t>
  </si>
  <si>
    <t>J01DC02 - Cefuroxim</t>
  </si>
  <si>
    <t>N06AB04 - Citalopram</t>
  </si>
  <si>
    <t>C08CA01 - Amlodipin</t>
  </si>
  <si>
    <t>J01DH51 - Imipenem a enzymový inhibitor</t>
  </si>
  <si>
    <t>C09AA02 - Enalapril</t>
  </si>
  <si>
    <t>J01MA02 - Ciprofloxacin</t>
  </si>
  <si>
    <t>C10AB05 - Fenofibrát</t>
  </si>
  <si>
    <t>B01AB06 - Nadroparin</t>
  </si>
  <si>
    <t>H01CB02 - Oktreotid</t>
  </si>
  <si>
    <t>C01BD01 - Amiodaron</t>
  </si>
  <si>
    <t>H02AB04 - Methylprednisolon</t>
  </si>
  <si>
    <t>J01FA09 - Klarithromycin</t>
  </si>
  <si>
    <t>J01XA01 - Vankomycin</t>
  </si>
  <si>
    <t>J01MA01 - Ofloxacin</t>
  </si>
  <si>
    <t>J02AC01 - Flukonazol</t>
  </si>
  <si>
    <t>C07AB05 - Betaxolol</t>
  </si>
  <si>
    <t>A16AA02 - Ademethionin</t>
  </si>
  <si>
    <t>A10AB05 - Inzulin aspart</t>
  </si>
  <si>
    <t>J02AC03 - Vorikonazol</t>
  </si>
  <si>
    <t>J01AA12 - Tigecyklin</t>
  </si>
  <si>
    <t>A06AD11 - Laktulóza</t>
  </si>
  <si>
    <t>N03AX12 - Gabapentin</t>
  </si>
  <si>
    <t>J01CR01 - Ampicilin a enzymový inhibitor</t>
  </si>
  <si>
    <t>R03AC02 - Salbutamol</t>
  </si>
  <si>
    <t>J01CR02 - Amoxicilin a enzymový inhibitor</t>
  </si>
  <si>
    <t>A02BC02 - Pantoprazol</t>
  </si>
  <si>
    <t>J01DB04 - Cefazolin</t>
  </si>
  <si>
    <t>A02BC02</t>
  </si>
  <si>
    <t>A06AD11</t>
  </si>
  <si>
    <t>A10AB05</t>
  </si>
  <si>
    <t>A16AA02</t>
  </si>
  <si>
    <t>TRANSMETIL 500 MG INJEKCE</t>
  </si>
  <si>
    <t>INJ PSO LQF 5X500MG</t>
  </si>
  <si>
    <t>B01AB06</t>
  </si>
  <si>
    <t>INJ SOL 10X5ML/47.5KU</t>
  </si>
  <si>
    <t>C01BD01</t>
  </si>
  <si>
    <t>POR TBL NOB 30X200MG</t>
  </si>
  <si>
    <t>C07AB05</t>
  </si>
  <si>
    <t>C08CA01</t>
  </si>
  <si>
    <t>C09AA02</t>
  </si>
  <si>
    <t>INJ SOL 5X1ML/1.25MG</t>
  </si>
  <si>
    <t>C10AB05</t>
  </si>
  <si>
    <t>POR CPS DUR 30X267MG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</si>
  <si>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</si>
  <si>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</si>
  <si>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</si>
  <si>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</si>
  <si>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</si>
  <si>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</si>
  <si>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H03AA01</t>
  </si>
  <si>
    <t>POR TBL NOB 100X150RG</t>
  </si>
  <si>
    <t>POR TBL NOB 100X100RG I</t>
  </si>
  <si>
    <t>J01AA12</t>
  </si>
  <si>
    <t>J01CR01</t>
  </si>
  <si>
    <t>J01CR02</t>
  </si>
  <si>
    <t>AMOKSIKLAV 1,2 G</t>
  </si>
  <si>
    <t>INJ PLV SOL 5X1.2GM</t>
  </si>
  <si>
    <t>AMOKSIKLAV 625 MG</t>
  </si>
  <si>
    <t>POR TBL FLM 21X625MG</t>
  </si>
  <si>
    <t>J01DB04</t>
  </si>
  <si>
    <t>INJ PLV SOL 10X1GM</t>
  </si>
  <si>
    <t>J01DC02</t>
  </si>
  <si>
    <t>ZINACEF 1,5 G</t>
  </si>
  <si>
    <t>J01DD01</t>
  </si>
  <si>
    <t>J01DH51</t>
  </si>
  <si>
    <t>J01FA09</t>
  </si>
  <si>
    <t>INF PLV SOL 1X500MG</t>
  </si>
  <si>
    <t>J01FF01</t>
  </si>
  <si>
    <t>INJ SOL 1X2ML/300MG</t>
  </si>
  <si>
    <t>INJ SOL 1X4ML/600MG</t>
  </si>
  <si>
    <t>J01MA01</t>
  </si>
  <si>
    <t>INF SOL 1X100ML/200MG</t>
  </si>
  <si>
    <t>J01MA02</t>
  </si>
  <si>
    <t>CIPHIN PRO INFUSIONE 200 MG/100 ML</t>
  </si>
  <si>
    <t>J01XA01</t>
  </si>
  <si>
    <t>EDICIN 0,5 G</t>
  </si>
  <si>
    <t>INJ PLV SOL 1X500MG</t>
  </si>
  <si>
    <t>EDICIN 1 G</t>
  </si>
  <si>
    <t>J02AC01</t>
  </si>
  <si>
    <t>MYCOMAX INF</t>
  </si>
  <si>
    <t>INF SOL 100ML/200MG</t>
  </si>
  <si>
    <t>J02AC03</t>
  </si>
  <si>
    <t>N01AH03</t>
  </si>
  <si>
    <t>SUFENTA FORTE</t>
  </si>
  <si>
    <t>INJ SOL 5X1ML/50RG</t>
  </si>
  <si>
    <t>N01AX10</t>
  </si>
  <si>
    <t>N03AX12</t>
  </si>
  <si>
    <t>NEURONTIN 300 MG</t>
  </si>
  <si>
    <t>POR CPS DUR 50X300MG</t>
  </si>
  <si>
    <t>N05CD08</t>
  </si>
  <si>
    <t>N06AB04</t>
  </si>
  <si>
    <t>POR TBL FLM 30X20 MG</t>
  </si>
  <si>
    <t>R03AC02</t>
  </si>
  <si>
    <t>V06XX</t>
  </si>
  <si>
    <t>NUTRIDRINK S PŘÍCHUTÍ ČOKOLÁDOVOU</t>
  </si>
  <si>
    <t>NUTRIDRINK S PŘÍCHUTÍ TROPICKÉHO OVOCE</t>
  </si>
  <si>
    <t>DIASIP S PŘÍCHUTÍ JAHODOVOU</t>
  </si>
  <si>
    <t>DIASIP S PŘÍCHUTÍ VANILKOVOU</t>
  </si>
  <si>
    <t>CUBITAN S PŘÍCHUTÍ JAHODOVOU</t>
  </si>
  <si>
    <t>NUTRIDRINK S PŘÍCHUTÍ VANILKOVOU</t>
  </si>
  <si>
    <t>Přehled plnění pozitivního listu - spotřeba léčivých přípravků - orientační přehled</t>
  </si>
  <si>
    <t>HVLP</t>
  </si>
  <si>
    <t>IPLP</t>
  </si>
  <si>
    <t>89301594</t>
  </si>
  <si>
    <t>Nutriční ambulance Celkem</t>
  </si>
  <si>
    <t>Oddělení int. péče chirurg. oborů Celkem</t>
  </si>
  <si>
    <t>Hrabalová Monika</t>
  </si>
  <si>
    <t>Karásková Eva</t>
  </si>
  <si>
    <t>Vrzalová Drahomíra</t>
  </si>
  <si>
    <t>Jiná</t>
  </si>
  <si>
    <t>999999</t>
  </si>
  <si>
    <t>Jiný</t>
  </si>
  <si>
    <t>Potraviny pro zvláštní lékařské účely (PZLÚ)</t>
  </si>
  <si>
    <t>33331</t>
  </si>
  <si>
    <t>NUTRIDRINK BALÍČEK 5+1</t>
  </si>
  <si>
    <t>POR SOL 6X200ML</t>
  </si>
  <si>
    <t>33530</t>
  </si>
  <si>
    <t>NUTRISON MULTI FIBRE</t>
  </si>
  <si>
    <t>33488</t>
  </si>
  <si>
    <t>NUTRIDRINK PROTEIN S PŘÍCHUTÍ VANILKOVOU</t>
  </si>
  <si>
    <t>33489</t>
  </si>
  <si>
    <t>NUTRIDRINK PROTEIN S PŘÍCHUTÍ ČOKOLÁDOVOU</t>
  </si>
  <si>
    <t>33490</t>
  </si>
  <si>
    <t>NUTRIDRINK PROTEIN S PŘÍCHUTÍ LESNÍHO OVOCE</t>
  </si>
  <si>
    <t>1401013</t>
  </si>
  <si>
    <t>1401014</t>
  </si>
  <si>
    <t>Alopurinol</t>
  </si>
  <si>
    <t>1711</t>
  </si>
  <si>
    <t>MILURIT 300</t>
  </si>
  <si>
    <t>POR TBL NOB 100X300MG</t>
  </si>
  <si>
    <t>Aminokyseliny včetně kombinací s polypeptidy</t>
  </si>
  <si>
    <t>88115</t>
  </si>
  <si>
    <t>KETOSTERIL</t>
  </si>
  <si>
    <t>POR TBL FLM 100</t>
  </si>
  <si>
    <t>Klindamycin</t>
  </si>
  <si>
    <t>83459</t>
  </si>
  <si>
    <t>DALACIN C 300 MG</t>
  </si>
  <si>
    <t>POR CPS DUR 100X300MG</t>
  </si>
  <si>
    <t>Léčiva k terapii onemocnění jater</t>
  </si>
  <si>
    <t>125753</t>
  </si>
  <si>
    <t>ESSENTIALE FORTE N</t>
  </si>
  <si>
    <t>POR CPS DUR 100</t>
  </si>
  <si>
    <t>Multienzymové přípravky (lipáza, proteáza apod.)</t>
  </si>
  <si>
    <t>14814</t>
  </si>
  <si>
    <t>KREON 10 000</t>
  </si>
  <si>
    <t>POR CPS ETD 50</t>
  </si>
  <si>
    <t>Omeprazol</t>
  </si>
  <si>
    <t>132531</t>
  </si>
  <si>
    <t>HELICID 20</t>
  </si>
  <si>
    <t>POR CPS ETD 90X20MG</t>
  </si>
  <si>
    <t>Organismy produkující kyselinu mléčnou</t>
  </si>
  <si>
    <t>POR SOL 1X100ML</t>
  </si>
  <si>
    <t>33327</t>
  </si>
  <si>
    <t>NUTRIDRINK NEUTRAL</t>
  </si>
  <si>
    <t>33329</t>
  </si>
  <si>
    <t>NUTRIDRINK YOGHURT S PŘÍCHUTÍ MALINA</t>
  </si>
  <si>
    <t>33341</t>
  </si>
  <si>
    <t>CUBITAN S PŘÍCHUTÍ VANILKOVOU</t>
  </si>
  <si>
    <t>33342</t>
  </si>
  <si>
    <t>CUBITAN S PŘÍCHUTÍ ČOKOLÁDOVOU</t>
  </si>
  <si>
    <t>33527</t>
  </si>
  <si>
    <t>33740</t>
  </si>
  <si>
    <t>NUTRIDRINK COMPACT PROTEIN S PŘÍCHUTÍ KÁVY</t>
  </si>
  <si>
    <t>POR SOL 4X125ML</t>
  </si>
  <si>
    <t>33578</t>
  </si>
  <si>
    <t>FRESUBIN 2 KCAL DRINK NEUTRAL</t>
  </si>
  <si>
    <t>POR SOL 4X200ML</t>
  </si>
  <si>
    <t>Prokinetika</t>
  </si>
  <si>
    <t>166760</t>
  </si>
  <si>
    <t>KINITO 50 MG, POTAHOVANÉ TABLETY</t>
  </si>
  <si>
    <t>POR TBL FLM 100X50MG</t>
  </si>
  <si>
    <t>Nutriční ambulance</t>
  </si>
  <si>
    <t>Preskripce a záchyt receptů a poukazů - orientační přehled</t>
  </si>
  <si>
    <t>Přehled plnění pozitivního listu (PL) - 
   preskripce léčivých přípravků dle objemu Kč mimo PL</t>
  </si>
  <si>
    <t>A03FA - Prokinetika</t>
  </si>
  <si>
    <t>A03FA</t>
  </si>
  <si>
    <t>Přehled plnění PL - Preskripce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</si>
  <si>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</si>
  <si>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</si>
  <si>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</si>
  <si>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</si>
  <si>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</si>
  <si>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</si>
  <si>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</si>
  <si>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</si>
  <si>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</si>
  <si>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</si>
  <si>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</si>
  <si>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</si>
  <si>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</si>
  <si>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</si>
  <si>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</si>
  <si>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</si>
  <si>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5921</t>
  </si>
  <si>
    <t>Oddělení int. péče chirurg. oborů, Nutriční ambula</t>
  </si>
  <si>
    <t>ZA314</t>
  </si>
  <si>
    <t>Obinadlo idealast-haft 8 cm x   4 m 9311113</t>
  </si>
  <si>
    <t>ZA593</t>
  </si>
  <si>
    <t>Tampon stáčený sterilní 20 x 20 cm / 5 ks 28003</t>
  </si>
  <si>
    <t>ZC702</t>
  </si>
  <si>
    <t>Náplast tegaderm 6,0 cm x 7,0 cm bal. á 100 ks 1624W</t>
  </si>
  <si>
    <t>ZC854</t>
  </si>
  <si>
    <t xml:space="preserve">Kompresa NT 7,5 x 7,5 cm / 2 ks sterilní 26510 </t>
  </si>
  <si>
    <t>ZI558</t>
  </si>
  <si>
    <t>Náplast curapor   7 x   5 cm 22 120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</si>
  <si>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</si>
  <si>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</si>
  <si>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</si>
  <si>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</si>
  <si>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ZA727</t>
  </si>
  <si>
    <t>Kontejner 30 ml sterilní 331690251750</t>
  </si>
  <si>
    <t>ZA787</t>
  </si>
  <si>
    <t>Stříkačka injekční 10 ml 4606108V</t>
  </si>
  <si>
    <t>ZA788</t>
  </si>
  <si>
    <t>Stříkačka injekční 20 ml 4606205V</t>
  </si>
  <si>
    <t>ZC769</t>
  </si>
  <si>
    <t>Hadička spojovací HS 1,8 x 450LL 606301</t>
  </si>
  <si>
    <t>ZC863</t>
  </si>
  <si>
    <t>Hadička spojovací HS 1,8 x 1800LL 606304</t>
  </si>
  <si>
    <t>ZH168</t>
  </si>
  <si>
    <t>Stříkačka tuberkulin 1 ml KD-JECT III 831786</t>
  </si>
  <si>
    <t>ZH546</t>
  </si>
  <si>
    <t>Flocare infinity pack set mobile 2778307</t>
  </si>
  <si>
    <t>ZK798</t>
  </si>
  <si>
    <t xml:space="preserve">Zátka combi modrá 4495152 </t>
  </si>
  <si>
    <t>ZA715</t>
  </si>
  <si>
    <t>Set infuzní intrafix 4062957</t>
  </si>
  <si>
    <t>ZB729</t>
  </si>
  <si>
    <t>Jehla surecan 90°G20 žlutá zahnutá bal. á 50 ks 4439937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</si>
  <si>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</si>
  <si>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</si>
  <si>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</si>
  <si>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</si>
  <si>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</si>
  <si>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</si>
  <si>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</si>
  <si>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</si>
  <si>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</si>
  <si>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</si>
  <si>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</si>
  <si>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</si>
  <si>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</si>
  <si>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</si>
  <si>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</si>
  <si>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</si>
  <si>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</si>
  <si>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</si>
  <si>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ZA419</t>
  </si>
  <si>
    <t>Náplast betaplast bílá 10 cm x 5 m 510W</t>
  </si>
  <si>
    <t>ZA421</t>
  </si>
  <si>
    <t>Obinadlo elastické idealtex 10 cm x 5 m 931062</t>
  </si>
  <si>
    <t>ZA423</t>
  </si>
  <si>
    <t>Obinadlo elastické idealtex 12 cm x 5 m 9310633</t>
  </si>
  <si>
    <t>ZA444</t>
  </si>
  <si>
    <t>Tampon 20 x 19 cm nesterilní stáčený 1320300404</t>
  </si>
  <si>
    <t>ZA446</t>
  </si>
  <si>
    <t>Vata buničitá přířezy 20 x 30 cm 1230200129</t>
  </si>
  <si>
    <t>ZA451</t>
  </si>
  <si>
    <t>Náplast omniplast 5 cm x 9,2 m 9004540 (900429)</t>
  </si>
  <si>
    <t>ZA454</t>
  </si>
  <si>
    <t>Kompresa AB 10 x 10 cm / 1 ks sterilní NT savá 1230114011</t>
  </si>
  <si>
    <t>ZA466</t>
  </si>
  <si>
    <t>Tyčinka vatová sterilní 14 cm 9679501</t>
  </si>
  <si>
    <t>ZA478</t>
  </si>
  <si>
    <t>Krytí actisorb plus 10,5 x 10,5 cm bal. á 10 ks SYSMAP105_1/5</t>
  </si>
  <si>
    <t>ZA530</t>
  </si>
  <si>
    <t>Vložky hygienické samu 7162212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</si>
  <si>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</si>
  <si>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</si>
  <si>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</si>
  <si>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</si>
  <si>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</si>
  <si>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</si>
  <si>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</si>
  <si>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</si>
  <si>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</si>
  <si>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NT savá 1230114051</t>
  </si>
  <si>
    <t>ZA562</t>
  </si>
  <si>
    <t>Náplast cosmopor i. v. 6 x 8 cm 9008054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</si>
  <si>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</si>
  <si>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</si>
  <si>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</si>
  <si>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</si>
  <si>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</si>
  <si>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</si>
  <si>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</si>
  <si>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</si>
  <si>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</si>
  <si>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</si>
  <si>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</si>
  <si>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</si>
  <si>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ZC857</t>
  </si>
  <si>
    <t>Krytí mastný tyl grassolind 10 x 20 cm bal. á 30 ks 4993368</t>
  </si>
  <si>
    <t>ZC885</t>
  </si>
  <si>
    <t>Náplast omnifix E 10 cm x 10 m 900650</t>
  </si>
  <si>
    <t>ZD482</t>
  </si>
  <si>
    <t>Sprej Opsite 240 ml,á 12 ks 66004980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</si>
  <si>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</si>
  <si>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</si>
  <si>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</si>
  <si>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</si>
  <si>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</si>
  <si>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5,00 m 840W</t>
  </si>
  <si>
    <t>ZI601</t>
  </si>
  <si>
    <t>Náplast curapor 10 x 20 cm 22123 ( náhrada za cosmopor )</t>
  </si>
  <si>
    <t>ZI974</t>
  </si>
  <si>
    <t>Pěna střední V.A.C M8275052</t>
  </si>
  <si>
    <t>ZA437</t>
  </si>
  <si>
    <t>Obinadlo pruban č.14 427314</t>
  </si>
  <si>
    <t>ZA472</t>
  </si>
  <si>
    <t>Krytí melgisorb alginátové 10 x 10 cm bal. á 10 ks 251100</t>
  </si>
  <si>
    <t>ZF042</t>
  </si>
  <si>
    <t>Krytí mastný tyl jelonet 10 x 10 cm á 10 ks 7404</t>
  </si>
  <si>
    <t>ZA688</t>
  </si>
  <si>
    <t>Sáček močový curity s hod.diurézou 400 ml hadička 150 cm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</si>
  <si>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</si>
  <si>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</si>
  <si>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</si>
  <si>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</si>
  <si>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</si>
  <si>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</si>
  <si>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</si>
  <si>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1320100655</t>
  </si>
  <si>
    <t>ZA738</t>
  </si>
  <si>
    <t>Filtr mini spike zelený 4550242</t>
  </si>
  <si>
    <t>ZA762</t>
  </si>
  <si>
    <t>Pohár na moč 100 ml UH 712252</t>
  </si>
  <si>
    <t>ZA763</t>
  </si>
  <si>
    <t>Pohár na moč 250 ml UH 712253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</si>
  <si>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</si>
  <si>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</si>
  <si>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</si>
  <si>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</si>
  <si>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</si>
  <si>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</si>
  <si>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</si>
  <si>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</si>
  <si>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</si>
  <si>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</si>
  <si>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</si>
  <si>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</si>
  <si>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</si>
  <si>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</si>
  <si>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</si>
  <si>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60 ml vyplachovací MRG564</t>
  </si>
  <si>
    <t>ZA967</t>
  </si>
  <si>
    <t>Flocare set 800 pump pro enter.vaky-569886  A4323102</t>
  </si>
  <si>
    <t>ZB103</t>
  </si>
  <si>
    <t>Láhev k odsávačce flovac 2l hadice 1,8 m 000-036-021</t>
  </si>
  <si>
    <t>ZB249</t>
  </si>
  <si>
    <t>Sáček močový s křížovou výpustí sterilní 2000 ml ZAR-TNU201601</t>
  </si>
  <si>
    <t>ZB361</t>
  </si>
  <si>
    <t>Láhev respiflo 1000 ml 21000</t>
  </si>
  <si>
    <t>ZB477</t>
  </si>
  <si>
    <t>Kohout trojcestný lopez valve AA-011-M9000 S</t>
  </si>
  <si>
    <t>ZB543</t>
  </si>
  <si>
    <t>Souprava odběrová tracheální G05206</t>
  </si>
  <si>
    <t>ZB598</t>
  </si>
  <si>
    <t>Spojka přímá symetrická 7 x 7 mm 120 430</t>
  </si>
  <si>
    <t>ZB724</t>
  </si>
  <si>
    <t>Kapilára sedimentační kalibrovaná 727111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</si>
  <si>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</si>
  <si>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</si>
  <si>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</si>
  <si>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</si>
  <si>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</si>
  <si>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</si>
  <si>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</si>
  <si>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</si>
  <si>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</si>
  <si>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</si>
  <si>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</si>
  <si>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</si>
  <si>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</si>
  <si>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</si>
  <si>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ZB767</t>
  </si>
  <si>
    <t>Jehla vakuová 226/38 mm černá 450075</t>
  </si>
  <si>
    <t>ZB768</t>
  </si>
  <si>
    <t>Jehla vakuová 216/38 mm zelená 450076</t>
  </si>
  <si>
    <t>ZB770</t>
  </si>
  <si>
    <t>Držák jehly excentrický Holdex 450263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</si>
  <si>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</si>
  <si>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</si>
  <si>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</si>
  <si>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</si>
  <si>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</si>
  <si>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</si>
  <si>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ZB780</t>
  </si>
  <si>
    <t>Kontejner 120 ml sterilní 331690250350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</si>
  <si>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</si>
  <si>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</si>
  <si>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</si>
  <si>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</si>
  <si>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</si>
  <si>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</si>
  <si>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</si>
  <si>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</si>
  <si>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</si>
  <si>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</si>
  <si>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ZC366</t>
  </si>
  <si>
    <t>Převodník tlakový PX260 bal. 150 cm bal. á 20 ks T100209A</t>
  </si>
  <si>
    <t>ZC506</t>
  </si>
  <si>
    <t>Kompresa NT 10 x 10 cm / 5 ks sterilní 1325020275</t>
  </si>
  <si>
    <t>ZC648</t>
  </si>
  <si>
    <t>Elektroda EKG s gelem ovál 51 x 33 mm pro dospělé H-108006</t>
  </si>
  <si>
    <t>ZC738</t>
  </si>
  <si>
    <t>Husí krk Expandi-flex 22362</t>
  </si>
  <si>
    <t>ZC755</t>
  </si>
  <si>
    <t>Čepelka skalpelová 22 BB522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</si>
  <si>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</si>
  <si>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</si>
  <si>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</si>
  <si>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</si>
  <si>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</si>
  <si>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</si>
  <si>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</si>
  <si>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</si>
  <si>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ZF018</t>
  </si>
  <si>
    <t>Kanyla vasofix 16G šedá safety 4269179S-01</t>
  </si>
  <si>
    <t>ZF233</t>
  </si>
  <si>
    <t>Stříkačka arteriální 3 ml line-draw L/S á 200 ks 4043E</t>
  </si>
  <si>
    <t>ZG515</t>
  </si>
  <si>
    <t>Zkumavka močová vacuette 10,5 ml bal. á 50 ks 331980455007</t>
  </si>
  <si>
    <t>ZG893</t>
  </si>
  <si>
    <t>Rouška prošívaná na popáleniny 40 x 60 cm karton á 30 ks 28510</t>
  </si>
  <si>
    <t>ZH491</t>
  </si>
  <si>
    <t>Stříkačka 50 - 60 ml LL MRG00711</t>
  </si>
  <si>
    <t>ZH493</t>
  </si>
  <si>
    <t>Katetr močový foley CH16 180605-000160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</si>
  <si>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</si>
  <si>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</si>
  <si>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</si>
  <si>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</si>
  <si>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</si>
  <si>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</si>
  <si>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</si>
  <si>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</si>
  <si>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ZJ310</t>
  </si>
  <si>
    <t>Katetr močový foley CH12 180605-000120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</si>
  <si>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</si>
  <si>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</si>
  <si>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</si>
  <si>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</si>
  <si>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</si>
  <si>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10 ks 412012</t>
  </si>
  <si>
    <t>ZK435</t>
  </si>
  <si>
    <t>Rampa 5 kohouty discofix bal. á 50 ks 4085450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</si>
  <si>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</si>
  <si>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</si>
  <si>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</si>
  <si>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</si>
  <si>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</si>
  <si>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</si>
  <si>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</si>
  <si>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</si>
  <si>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</si>
  <si>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</si>
  <si>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ZA279</t>
  </si>
  <si>
    <t>Kanyla TS 7,0 s manžetou 100/800/070</t>
  </si>
  <si>
    <t>ZA799</t>
  </si>
  <si>
    <t>Trokar hrudní redax F20 s ostrým koncem bal. á 10 ks 11220</t>
  </si>
  <si>
    <t>ZB038</t>
  </si>
  <si>
    <t>Medisize hydrovent S filt./HM</t>
  </si>
  <si>
    <t>ZB056</t>
  </si>
  <si>
    <t>Kanyla TS 8,5 s manžetou bal. á 10 ks 100/800/085</t>
  </si>
  <si>
    <t>ZB105</t>
  </si>
  <si>
    <t>Kanyla TS 7,5 s manžetou 100/800/075</t>
  </si>
  <si>
    <t>ZB298</t>
  </si>
  <si>
    <t>Trokar hrudní F16 bal. á 10 ks 8888561035</t>
  </si>
  <si>
    <t>ZF512</t>
  </si>
  <si>
    <t>Páska bepa clip vario pro TS kanylu 30/V á 6 ks NKS:200602</t>
  </si>
  <si>
    <t>ZI344</t>
  </si>
  <si>
    <t>Sáček vypouštěcí natura pr. 70 mm ,á 10 ks, 416423</t>
  </si>
  <si>
    <t>ZI347</t>
  </si>
  <si>
    <t>Podložka natura flexibilní pr. 57 mm, á 5 ks, 125903</t>
  </si>
  <si>
    <t>ZL671</t>
  </si>
  <si>
    <t>Sonda Freka CH/FR 12, 120cm LL 7981811</t>
  </si>
  <si>
    <t>ZA978</t>
  </si>
  <si>
    <t>Houbička odsávací s reg. vakua 2201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</si>
  <si>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</si>
  <si>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</si>
  <si>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</si>
  <si>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</si>
  <si>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</si>
  <si>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</si>
  <si>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ZL952</t>
  </si>
  <si>
    <t>Stříkačka injekční 50ml LL light protected,bal.á 60 ks, 2022920A</t>
  </si>
  <si>
    <t>ZL953</t>
  </si>
  <si>
    <t>Rampa 3 cestná - 3 x konektor no PVC V696423</t>
  </si>
  <si>
    <t>ZL951</t>
  </si>
  <si>
    <t xml:space="preserve">Hadička prodlužovací PVC 150 cm pro světlocitlivé léky NO DOP bal. á 20  ks V686423 </t>
  </si>
  <si>
    <t>ZL954</t>
  </si>
  <si>
    <t>Rampa 5 cestná - 5 x konektor no PVC V696425</t>
  </si>
  <si>
    <t>ZB899</t>
  </si>
  <si>
    <t>Senzor spirologický bal. á 5 ks 8403735-03</t>
  </si>
  <si>
    <t>ZI346</t>
  </si>
  <si>
    <t>Podložka natura flexibilní pr. 70 mm, á 5 ks, 125904</t>
  </si>
  <si>
    <t>ZD534</t>
  </si>
  <si>
    <t>Okruh dýchací compact II 2,0 m 2151000/W</t>
  </si>
  <si>
    <t>ZD933</t>
  </si>
  <si>
    <t>Listerine 1,0 l 450669</t>
  </si>
  <si>
    <t>ZD827</t>
  </si>
  <si>
    <t>Katetr CVC 3 lumen certofix trio SB720 bal. á 10 ks 4163206E</t>
  </si>
  <si>
    <t>ZA206</t>
  </si>
  <si>
    <t>Set perkutální PEG-24-PULL-I-S</t>
  </si>
  <si>
    <t>ZB715</t>
  </si>
  <si>
    <t>Set kangaro univerzální bal. á 30 ks 777304</t>
  </si>
  <si>
    <t>ZE079</t>
  </si>
  <si>
    <t>Set transfúzní non PVC s odvzdušněním a bakteriálním filtrem ZAR-I-TS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</si>
  <si>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</si>
  <si>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</si>
  <si>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</si>
  <si>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</si>
  <si>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</si>
  <si>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</si>
  <si>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</si>
  <si>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</si>
  <si>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ZI493</t>
  </si>
  <si>
    <t>Rukavice vinyl bez p. XL 01260-XL</t>
  </si>
  <si>
    <t>ZI758</t>
  </si>
  <si>
    <t>Rukavice vinyl bez p. M á 100 ks EFEKTVR03</t>
  </si>
  <si>
    <t>ZL949</t>
  </si>
  <si>
    <t>Rukavice nitril promedica bez p. L bílé 6N á 100 ks 9399W4</t>
  </si>
  <si>
    <t>ZL948</t>
  </si>
  <si>
    <t>Rukavice nitril promedica bez p. M bílé 6N á 100 ks 9399W3</t>
  </si>
  <si>
    <t>DG382</t>
  </si>
  <si>
    <t>Bactec Plus Aerobic</t>
  </si>
  <si>
    <t>DG385</t>
  </si>
  <si>
    <t>Bactec Plus Anaerobic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</si>
  <si>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</si>
  <si>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</si>
  <si>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</si>
  <si>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</si>
  <si>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</si>
  <si>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</si>
  <si>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</si>
  <si>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</si>
  <si>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DG419</t>
  </si>
  <si>
    <t>W Waste container, 2 Pcs</t>
  </si>
  <si>
    <t>Spotřeba zdravotnického materiálu - orientační přehled</t>
  </si>
  <si>
    <t>ON Data</t>
  </si>
  <si>
    <t>708 - Pracoviště anesteziologicko - resuscitační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</si>
  <si>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</si>
  <si>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</si>
  <si>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</si>
  <si>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708</t>
  </si>
  <si>
    <t>V</t>
  </si>
  <si>
    <t>06415</t>
  </si>
  <si>
    <t>EDUKACE NUTRIČNÍM TERAPEUTEM</t>
  </si>
  <si>
    <t>09511</t>
  </si>
  <si>
    <t>MINIMÁLNÍ KONTAKT LÉKAŘE S PACIENTEM</t>
  </si>
  <si>
    <t>78022</t>
  </si>
  <si>
    <t>CÍLENÉ VYŠETŘENÍ ANESTEZIOLOGEM</t>
  </si>
  <si>
    <t>09543</t>
  </si>
  <si>
    <t>REGULAČNÍ POPLATEK ZA NÁVŠTĚVU -- POPLATEK UHRAZEN</t>
  </si>
  <si>
    <t>06419</t>
  </si>
  <si>
    <t>PROPOČET NUTRIČNÍ BILANCE (SW NÁSTROJEM)</t>
  </si>
  <si>
    <t>11513</t>
  </si>
  <si>
    <t>PUMPOU APLIKOVANÁ ENTERÁLNÍ VÝŽIVA PROVÁDĚNÁ VE VL</t>
  </si>
  <si>
    <t>11511</t>
  </si>
  <si>
    <t>PARENTERÁLNÍ VÝŽIVA PROVÁDĚNÁ VE VLASTNÍM SOCIÁLNÍ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</si>
  <si>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</si>
  <si>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</si>
  <si>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</si>
  <si>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</si>
  <si>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</si>
  <si>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21 - ONKOLOGICKÁ KLINIKA</t>
  </si>
  <si>
    <t>25 - KLINIKA ÚSTNÍ, ČELISTNÍ A OBLIČEJOVÉ CHIRURGIE</t>
  </si>
  <si>
    <t>30 - ODDĚLENÍ GERIATRIE</t>
  </si>
  <si>
    <t>59 - ODD. INTENZIVNÍ PÉČE CHIRURGICKÝCH OBORŮ</t>
  </si>
  <si>
    <t>01</t>
  </si>
  <si>
    <t>02</t>
  </si>
  <si>
    <t>03</t>
  </si>
  <si>
    <t>04</t>
  </si>
  <si>
    <t>21</t>
  </si>
  <si>
    <t>25</t>
  </si>
  <si>
    <t>30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</si>
  <si>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</si>
  <si>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</si>
  <si>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</si>
  <si>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</si>
  <si>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</si>
  <si>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</si>
  <si>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</si>
  <si>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</si>
  <si>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</si>
  <si>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51394</t>
  </si>
  <si>
    <t>UZÁVĚR STĚNY BŘIŠNÍ PO EVISCERACI</t>
  </si>
  <si>
    <t>61119</t>
  </si>
  <si>
    <t>SUTURA PERIFERNÍHO NERVU MIKROCHIRURGICKOU TECHNIK</t>
  </si>
  <si>
    <t>61143</t>
  </si>
  <si>
    <t>ODBĚR CÉVNÍHO ŠTĚPU MALÉHO KALIBRU (PRO MIKROCHIRU</t>
  </si>
  <si>
    <t>71717</t>
  </si>
  <si>
    <t>TRACHEOTOMIE</t>
  </si>
  <si>
    <t>76479</t>
  </si>
  <si>
    <t>NEFREKTOMIE TRANSPERITONEÁLNÍ</t>
  </si>
  <si>
    <t>07546</t>
  </si>
  <si>
    <t>(DRG) OTEVŘENÝ PŘÍSTUP</t>
  </si>
  <si>
    <t>07545</t>
  </si>
  <si>
    <t>(DRG) DRUHÁ A DALŠÍ REOPERACE</t>
  </si>
  <si>
    <t>07551</t>
  </si>
  <si>
    <t>(DRG) HYBRIDNÍ PŘÍSTUP</t>
  </si>
  <si>
    <t>07341</t>
  </si>
  <si>
    <t>(VZP) BYPASS AORTO - FEMORÁLNÍ OBOUSTRANNÝ PROTETI</t>
  </si>
  <si>
    <t>07390</t>
  </si>
  <si>
    <t>(VZP) EMBOLECTOMIE A.ILIACA</t>
  </si>
  <si>
    <t>07351</t>
  </si>
  <si>
    <t>(VZP) TROMBECTOMIE BŘIŠNÍ AORTY</t>
  </si>
  <si>
    <t>07420</t>
  </si>
  <si>
    <t>(VZP) ČÁSTEČNÉ ODSTRANĚNÍ PROTETICKÉHO MATERIÁLU V</t>
  </si>
  <si>
    <t>90890</t>
  </si>
  <si>
    <t>(VZP) PUNKCE TRACHEY SE ZAVEDENÍM KANYLY</t>
  </si>
  <si>
    <t>07543</t>
  </si>
  <si>
    <t>(DRG) PRIMOOPERACE</t>
  </si>
  <si>
    <t>51396</t>
  </si>
  <si>
    <t>PUNKCE DUTINY BŘIŠNÍ S DRENÁŽÍ EV. LAVAŽÍ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</si>
  <si>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</si>
  <si>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</si>
  <si>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</si>
  <si>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</si>
  <si>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</si>
  <si>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</si>
  <si>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</si>
  <si>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</si>
  <si>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</si>
  <si>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</si>
  <si>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</si>
  <si>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</si>
  <si>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</si>
  <si>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</si>
  <si>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</si>
  <si>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</si>
  <si>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</si>
  <si>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</si>
  <si>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</si>
  <si>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</si>
  <si>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</si>
  <si>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</si>
  <si>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</si>
  <si>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</si>
  <si>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</si>
  <si>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51345</t>
  </si>
  <si>
    <t>PARCIÁLNÍ RESEKCE JATER NEBO OŠETŘENÍ VĚTŠÍHO PORA</t>
  </si>
  <si>
    <t>07552</t>
  </si>
  <si>
    <t>(DRG) OPERAČNÍ VÝKON BEZ MIMOTĚLNÍHO OBĚHU</t>
  </si>
  <si>
    <t>54325</t>
  </si>
  <si>
    <t>AORTOILICKÁ EMBOLEKTOMIE NEBO TROMBEKTOMIE BIFURKA</t>
  </si>
  <si>
    <t>66851</t>
  </si>
  <si>
    <t>AMPUTACE DLOUHÉ KOSTI / EXARTIKULACE VELKÉHO KLOUB</t>
  </si>
  <si>
    <t>51357</t>
  </si>
  <si>
    <t>JEJUNOSTOMIE, ILEOSTOMIE NEBO KOLOSTOMIE, ANTEPOZI</t>
  </si>
  <si>
    <t>61121</t>
  </si>
  <si>
    <t>CÉVNÍ ANASTOMOSA MIKROCHIRURGICKOU TECHNIKOU</t>
  </si>
  <si>
    <t>07563</t>
  </si>
  <si>
    <t>(DRG) URGENTNÍ OPERACE KVCH</t>
  </si>
  <si>
    <t>54340</t>
  </si>
  <si>
    <t>TEPENNÁ EMBOLEKTOMIE, TROMBEKTOMIE</t>
  </si>
  <si>
    <t>54170</t>
  </si>
  <si>
    <t>PROFUNDOPLASTIKA</t>
  </si>
  <si>
    <t>07418</t>
  </si>
  <si>
    <t>(VZP) TROMBECTOMIE  A. FEMORALIS A JEJÍCH VĚTVÍ</t>
  </si>
  <si>
    <t>54310</t>
  </si>
  <si>
    <t>AORTOILICKÝ ÚSEK - ENDARTEREKTOMIE</t>
  </si>
  <si>
    <t>51326</t>
  </si>
  <si>
    <t>DRENÁŽNÍ OPERACE PŘI AKUTNÍ PANKEATITIDĚ, DRENÁŽ A</t>
  </si>
  <si>
    <t>07424</t>
  </si>
  <si>
    <t>(VZP) EMBOLECTOMIE A. FEMORALIS SUPERFICIALIS</t>
  </si>
  <si>
    <t>66915</t>
  </si>
  <si>
    <t>DEKOMPRESE FASCIÁLNÍHO LOŽE</t>
  </si>
  <si>
    <t>07529</t>
  </si>
  <si>
    <t>(VZP) BYPASS CROSS-OVER FEMORO - FEMORÁLNÍ</t>
  </si>
  <si>
    <t>5F3</t>
  </si>
  <si>
    <t>51819</t>
  </si>
  <si>
    <t>OŠETŘENÍ A OBVAZ ROZSÁHLÉ RÁNY V CELKOVÉ ANESTEZII</t>
  </si>
  <si>
    <t>53119</t>
  </si>
  <si>
    <t>ZAVŘENÁ REPOZICE ZLOMENIN PŘEDLOKTÍ, LOKTE, PAŽE N</t>
  </si>
  <si>
    <t>53159</t>
  </si>
  <si>
    <t>OTEVŘENÁ REPOZICE A OSTEOSYNTÉZA ZLOMENIN OBOU KOS</t>
  </si>
  <si>
    <t>53463</t>
  </si>
  <si>
    <t>OTEVŘENÁ REPOZICE A OSTEOSYNTÉZA PATELY NEBO PATEL</t>
  </si>
  <si>
    <t>66819</t>
  </si>
  <si>
    <t>APLIKACE ZEVNÍHO FIXATÉRU</t>
  </si>
  <si>
    <t>53490</t>
  </si>
  <si>
    <t>ROZSÁHLÉ DEBRIDEMENT SLOŽITÝCH OTEVŘENÝCH ZLOMENIN</t>
  </si>
  <si>
    <t>66127</t>
  </si>
  <si>
    <t>MANIPULACE V CELKOVÉ NEBO LOKÁLNÍ ANESTÉZII</t>
  </si>
  <si>
    <t>51855</t>
  </si>
  <si>
    <t>FIXAČNÍ SÁDROVÁ DLAHA CELÉ HORNÍ KONČETINY</t>
  </si>
  <si>
    <t>53517</t>
  </si>
  <si>
    <t>SUTURA NEBO REINSERCE ŠLACHY FLEXORU RUKY A ZÁPĚST</t>
  </si>
  <si>
    <t>62640</t>
  </si>
  <si>
    <t>ODBĚR DERMOEPIDERMÁLNÍHO ŠTĚPU: 1 - 5 % Z PLOCHY P</t>
  </si>
  <si>
    <t>66821</t>
  </si>
  <si>
    <t>PERKUTÁNNÍ FIXACE K-DRÁTEM</t>
  </si>
  <si>
    <t>5T1</t>
  </si>
  <si>
    <t>1</t>
  </si>
  <si>
    <t>0003952</t>
  </si>
  <si>
    <t>AMIKIN 500 MG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</si>
  <si>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</si>
  <si>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</si>
  <si>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</si>
  <si>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</si>
  <si>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</si>
  <si>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</si>
  <si>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</si>
  <si>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</si>
  <si>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0016600</t>
  </si>
  <si>
    <t>0020605</t>
  </si>
  <si>
    <t>0026127</t>
  </si>
  <si>
    <t>0026902</t>
  </si>
  <si>
    <t>0053922</t>
  </si>
  <si>
    <t>0058092</t>
  </si>
  <si>
    <t>HAEMOCOMPLETTAN P</t>
  </si>
  <si>
    <t>0065989</t>
  </si>
  <si>
    <t>0066137</t>
  </si>
  <si>
    <t>0072972</t>
  </si>
  <si>
    <t>0076360</t>
  </si>
  <si>
    <t>0083417</t>
  </si>
  <si>
    <t>MERONEM 1 G</t>
  </si>
  <si>
    <t>0083487</t>
  </si>
  <si>
    <t>MERONEM 500 MG</t>
  </si>
  <si>
    <t>0092289</t>
  </si>
  <si>
    <t>0094155</t>
  </si>
  <si>
    <t>ABAKTAL 400 MG/5 ML</t>
  </si>
  <si>
    <t>0094176</t>
  </si>
  <si>
    <t>CEFOTAXIME LEK 1 G PRÁŠEK PRO INJEKČNÍ ROZTOK</t>
  </si>
  <si>
    <t>0096414</t>
  </si>
  <si>
    <t>0097910</t>
  </si>
  <si>
    <t>HUMAN ALBUMIN GRIFOLS 20%</t>
  </si>
  <si>
    <t>0112782</t>
  </si>
  <si>
    <t>GENTAMICIN B.BRAUN 3 MG/ML INFUZNÍ ROZTOK</t>
  </si>
  <si>
    <t>0131656</t>
  </si>
  <si>
    <t>0162187</t>
  </si>
  <si>
    <t>CIPROFLOXACIN KABI 400 MG/200 ML INFUZNÍ ROZTOK</t>
  </si>
  <si>
    <t>0164350</t>
  </si>
  <si>
    <t>TAZOCIN 4 G/0,5 G</t>
  </si>
  <si>
    <t>ATENATIV</t>
  </si>
  <si>
    <t>0162496</t>
  </si>
  <si>
    <t>2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</si>
  <si>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</si>
  <si>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</si>
  <si>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</si>
  <si>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</si>
  <si>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</si>
  <si>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</si>
  <si>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</si>
  <si>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</si>
  <si>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</si>
  <si>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</si>
  <si>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</si>
  <si>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</si>
  <si>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3</t>
  </si>
  <si>
    <t>0002264</t>
  </si>
  <si>
    <t>FIXÁTOR ZEVNÍ TRUBKOVÝ, SYNTHES</t>
  </si>
  <si>
    <t>0002425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</si>
  <si>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</si>
  <si>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</si>
  <si>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</si>
  <si>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</si>
  <si>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</si>
  <si>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</si>
  <si>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0010767</t>
  </si>
  <si>
    <t>DRÁT KIRSCHNERŮV OCEL</t>
  </si>
  <si>
    <t>0013004</t>
  </si>
  <si>
    <t>STAPLER LINEÁRNÍ TX 60B TX60G</t>
  </si>
  <si>
    <t>0030617</t>
  </si>
  <si>
    <t>STAPLER KOŽNÍ ROYAL - 35W</t>
  </si>
  <si>
    <t>0037180</t>
  </si>
  <si>
    <t>PROTÉZA GORE-TEX CÉVNÍ - PRUŽNÁ TENK.S ODSTR.KROUŽ</t>
  </si>
  <si>
    <t>0046892</t>
  </si>
  <si>
    <t>PROTÉZA CÉVNÍ GELSOFT PLUS DÉLKA 40 CM</t>
  </si>
  <si>
    <t>0056291</t>
  </si>
  <si>
    <t>KATETR BALONKOVÝ FOGARTY 120804F</t>
  </si>
  <si>
    <t>0056292</t>
  </si>
  <si>
    <t>KATETR BALONKOVÝ FOGARTY 120805F</t>
  </si>
  <si>
    <t>0071602</t>
  </si>
  <si>
    <t>0073679</t>
  </si>
  <si>
    <t>0082000</t>
  </si>
  <si>
    <t>V.A.C.GRANUFOAM(PU PĚNA) VELIKOST M</t>
  </si>
  <si>
    <t>0082001</t>
  </si>
  <si>
    <t>V.A.C.GRANUFOAM(PU PĚNA) VELIKOST L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</si>
  <si>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</si>
  <si>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</si>
  <si>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</si>
  <si>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</si>
  <si>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</si>
  <si>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</si>
  <si>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</si>
  <si>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</si>
  <si>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</si>
  <si>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0112607</t>
  </si>
  <si>
    <t>SPACER K;TEMPORERNÍ REVIZNÍ NÁHRADA KOLENNÍHO KLOU</t>
  </si>
  <si>
    <t>0008239</t>
  </si>
  <si>
    <t>FIXÁTOR ZEVNÍ ZÁPĚSTÍ TYP PENNIG    35001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</si>
  <si>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</si>
  <si>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</si>
  <si>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</si>
  <si>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</si>
  <si>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</si>
  <si>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</si>
  <si>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</si>
  <si>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</si>
  <si>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</si>
  <si>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</si>
  <si>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</si>
  <si>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</si>
  <si>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</si>
  <si>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</si>
  <si>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</si>
  <si>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</si>
  <si>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</si>
  <si>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</si>
  <si>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</si>
  <si>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</si>
  <si>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</si>
  <si>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</si>
  <si>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</si>
  <si>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</si>
  <si>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</si>
  <si>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</si>
  <si>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</si>
  <si>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51021</t>
  </si>
  <si>
    <t>KOMPLEXNÍ VYŠETŘENÍ CHIRURGEM</t>
  </si>
  <si>
    <t>99980</t>
  </si>
  <si>
    <t>(VZP) PACIENT S DIAGNOSTIKOVANÝM POLYTRAUMATEM S I</t>
  </si>
  <si>
    <t>6F1</t>
  </si>
  <si>
    <t>61165</t>
  </si>
  <si>
    <t>ROZPROSTŘENÍ NEBO MODELACE LALOKU</t>
  </si>
  <si>
    <t>6F6</t>
  </si>
  <si>
    <t>66623</t>
  </si>
  <si>
    <t>PROSTÁ EXTRAKCE ENDOPROTÉZY - CEMENTOVANÉ</t>
  </si>
  <si>
    <t>66817</t>
  </si>
  <si>
    <t>VÝPLŇ DUTINY</t>
  </si>
  <si>
    <t>7F1</t>
  </si>
  <si>
    <t>71311</t>
  </si>
  <si>
    <t>LARYNGOSKOPIE PŘÍMÁ</t>
  </si>
  <si>
    <t>71723</t>
  </si>
  <si>
    <t>UZAVŘENÍ PERZISTUJÍCÍHO TRACHEOTOMICKÉHO KANÁLU</t>
  </si>
  <si>
    <t>7F6</t>
  </si>
  <si>
    <t>77129</t>
  </si>
  <si>
    <t>JEDNODOBÁ URETROPLASTIKA BEZ CHORDEKTOMIE NEBO II.</t>
  </si>
  <si>
    <t>76365</t>
  </si>
  <si>
    <t>PUNKČNÍ EPICYSTOSTOMIE</t>
  </si>
  <si>
    <t>76335</t>
  </si>
  <si>
    <t>OPERAČNÍ REVIZE PERIRENÁLNÍCH NEBO PERIURETERÁLNÍC</t>
  </si>
  <si>
    <t>7T8</t>
  </si>
  <si>
    <t>0011692</t>
  </si>
  <si>
    <t>0014583</t>
  </si>
  <si>
    <t>TIENAM 500 MG/500 MG I.V.</t>
  </si>
  <si>
    <t>0017810</t>
  </si>
  <si>
    <t>0026041</t>
  </si>
  <si>
    <t>KIOVIG 100MG/ML</t>
  </si>
  <si>
    <t>0045119</t>
  </si>
  <si>
    <t>VISIPAQUE 270 MG I/ML</t>
  </si>
  <si>
    <t>0076353</t>
  </si>
  <si>
    <t>FORTUM 1 G</t>
  </si>
  <si>
    <t>0076354</t>
  </si>
  <si>
    <t>FORTUM 2 G</t>
  </si>
  <si>
    <t>0077044</t>
  </si>
  <si>
    <t>ZINACEF 750 MG</t>
  </si>
  <si>
    <t>0092290</t>
  </si>
  <si>
    <t>0098212</t>
  </si>
  <si>
    <t>0129767</t>
  </si>
  <si>
    <t>0131654</t>
  </si>
  <si>
    <t>CEFTAZIDIM KABI 1 GM</t>
  </si>
  <si>
    <t>0137484</t>
  </si>
  <si>
    <t>ANBINEX</t>
  </si>
  <si>
    <t>0007905</t>
  </si>
  <si>
    <t>Erytrocyty z odběru plné krve</t>
  </si>
  <si>
    <t>0007957</t>
  </si>
  <si>
    <t>0407942</t>
  </si>
  <si>
    <t>Příplatek za ozáření</t>
  </si>
  <si>
    <t>0017735</t>
  </si>
  <si>
    <t>DRÁT CERKLÁŽNÍ OCEL</t>
  </si>
  <si>
    <t>0017745</t>
  </si>
  <si>
    <t>0037145</t>
  </si>
  <si>
    <t>PROTÉZA GORE-TEX CÉVNÍ - PRUŽNÁ TENKOSTĚNNÁ</t>
  </si>
  <si>
    <t>0046898</t>
  </si>
  <si>
    <t>PROTÉZA CÉVNÍ BIF.GELSOFT PLUS DÉLKA 45CM</t>
  </si>
  <si>
    <t>0056289</t>
  </si>
  <si>
    <t>KATETR BALONKOVÝ FOGARTY 120803F</t>
  </si>
  <si>
    <t>0056344</t>
  </si>
  <si>
    <t>SADA PUNKČNÍ SUPRAPUBICKÁ - EASYCYST, 170718..1707</t>
  </si>
  <si>
    <t>0069500</t>
  </si>
  <si>
    <t>KANYLA TRACHEOSTOMICKÁ  S NÍZKOTLAKOU  MANŽETOU</t>
  </si>
  <si>
    <t>0081997</t>
  </si>
  <si>
    <t>V.A.C. ATS SBĚRNÁ NÁDOBA S GELEM</t>
  </si>
  <si>
    <t>0082513</t>
  </si>
  <si>
    <t>DLAHA FIXAČNÍ CELÉ HORNÍ KONČETINY - SÁDRA</t>
  </si>
  <si>
    <t>09547</t>
  </si>
  <si>
    <t>REGULAČNÍ POPLATEK -- POJIŠTĚNEC OD ÚHRADY POPLATK</t>
  </si>
  <si>
    <t>09544</t>
  </si>
  <si>
    <t>REGULAČNÍ POPLATEK ZA KAŽDÝ DEN LŮŽKOVÉ PÉČE -- PO</t>
  </si>
  <si>
    <t>90904</t>
  </si>
  <si>
    <t>00652</t>
  </si>
  <si>
    <t>OD TYPU 52 - PRO NEMOCNICE TYPU 3, (KATEGORIE 6) -</t>
  </si>
  <si>
    <t>78021</t>
  </si>
  <si>
    <t>KOMPLEXNÍ VYŠETŘENÍ ANESTEZIOLOGEM</t>
  </si>
  <si>
    <t>78310</t>
  </si>
  <si>
    <t xml:space="preserve">NEODKLADNÁ KARDIOPULMONÁLNÍ RESUSCITACE ROZŠÍŘENÁ 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</si>
  <si>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</si>
  <si>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</si>
  <si>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</si>
  <si>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</si>
  <si>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</si>
  <si>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</si>
  <si>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</si>
  <si>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</si>
  <si>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</si>
  <si>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</si>
  <si>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</si>
  <si>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</si>
  <si>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</si>
  <si>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</si>
  <si>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</si>
  <si>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</si>
  <si>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</si>
  <si>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</si>
  <si>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</si>
  <si>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</si>
  <si>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</si>
  <si>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</si>
  <si>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</si>
  <si>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</si>
  <si>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</si>
  <si>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</si>
  <si>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</si>
  <si>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</si>
  <si>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</si>
  <si>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</si>
  <si>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</si>
  <si>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</si>
  <si>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05333</t>
  </si>
  <si>
    <t xml:space="preserve">AKUTNÍ INFARKT MYOKARDU S MCC                                                                       </t>
  </si>
  <si>
    <t>05482</t>
  </si>
  <si>
    <t xml:space="preserve">ZAVEDENÍ STENTU DO PERIFERNÍHO CÉVNÍHO ŘEČIŠTĚ S CC                                                 </t>
  </si>
  <si>
    <t>06013</t>
  </si>
  <si>
    <t xml:space="preserve">VELKÉ VÝKONY NA TLUSTÉM A TENKÉM STŘEVU S MCC                                                       </t>
  </si>
  <si>
    <t>07052</t>
  </si>
  <si>
    <t xml:space="preserve">JINÉ VÝKONY PŘI PORUCHÁCH A ONEMOCNĚNÍCH HEPATOBILIÁRNÍHO SYSTÉMU A PANKREATU S CC                  </t>
  </si>
  <si>
    <t>07333</t>
  </si>
  <si>
    <t xml:space="preserve">PORUCHY JATER. KROMĚ MALIGNÍ CIRHÓZY A ALKOHOLICKÉ HEPATITIDY S MCC                                 </t>
  </si>
  <si>
    <t>08081</t>
  </si>
  <si>
    <t xml:space="preserve">VÝKONY NA KYČLÍCH A STEHENNÍ KOSTI. KROMĚ REPLANTACE VELKÝCH KLOUBŮ BEZ CC                          </t>
  </si>
  <si>
    <t>08391</t>
  </si>
  <si>
    <t xml:space="preserve">SELHÁNÍ. REAKCE A KOMPLIKACE ORTOPEDICKÉHO PŘÍSTROJE NEBO VÝKONU BEZ CC                             </t>
  </si>
  <si>
    <t>11032</t>
  </si>
  <si>
    <t xml:space="preserve">VELKÉ VÝKONY NA LEDVINÁCH A MOČOVÝCH CESTÁCH S CC                                                   </t>
  </si>
  <si>
    <t>11082</t>
  </si>
  <si>
    <t xml:space="preserve">JINÉ VÝKONY PŘI PORUCHÁCH A ONEMOCNĚNÍCH LEDVIN A MOČOVÝCH CEST S CC                                </t>
  </si>
  <si>
    <t>25303</t>
  </si>
  <si>
    <t xml:space="preserve">DIAGNÓZY TÝKAJÍCÍ SE HLAVY. HRUDNÍKU A DOLNÍCH KONČETIN PŘI MNOHOČETNÉM ZÁVAŽNÉM TRAUMATU S MCC     </t>
  </si>
  <si>
    <t>88873</t>
  </si>
  <si>
    <t xml:space="preserve">ROZSÁHLÉ VÝKONY. KTERÉ SE NETÝKAJÍ HLAVNÍ DIAGNÓZY S MCC                                            </t>
  </si>
  <si>
    <t>Porovnání jednotlivých IR DRG skupin</t>
  </si>
  <si>
    <t>10 - DĚTSKÁ KLINIKA</t>
  </si>
  <si>
    <t>12 - UROLOGICKÁ KLINIKA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</si>
  <si>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</si>
  <si>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</si>
  <si>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</si>
  <si>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</si>
  <si>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</si>
  <si>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</si>
  <si>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</si>
  <si>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10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</si>
  <si>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</si>
  <si>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</si>
  <si>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</si>
  <si>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</si>
  <si>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</si>
  <si>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94119</t>
  </si>
  <si>
    <t>IZOLACE A UCHOVÁNÍ LIDSKÉ DNA (RNA)</t>
  </si>
  <si>
    <t>87415</t>
  </si>
  <si>
    <t>CYTOLOGICKÉ OTISKY A STĚRY -  ZA 4-10 PREPARÁTŮ</t>
  </si>
  <si>
    <t>94189</t>
  </si>
  <si>
    <t>HYBRIDIZACE DNA SE ZNAČENOU SONDOU</t>
  </si>
  <si>
    <t>94199</t>
  </si>
  <si>
    <t>AMPLIFIKACE METODOU PCR</t>
  </si>
  <si>
    <t>94195</t>
  </si>
  <si>
    <t>SYNTÉZA cDNA REVERZNÍ TRANSKRIPCÍ</t>
  </si>
  <si>
    <t>12</t>
  </si>
  <si>
    <t>809</t>
  </si>
  <si>
    <t>89143</t>
  </si>
  <si>
    <t>RTG BŘICHA</t>
  </si>
  <si>
    <t>89455</t>
  </si>
  <si>
    <t>PERKUTÁNNÍ NEFROSTOMIE JEDNOSTRANNÁ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</si>
  <si>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</si>
  <si>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</si>
  <si>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</si>
  <si>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</si>
  <si>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</si>
  <si>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</si>
  <si>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</si>
  <si>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</si>
  <si>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</si>
  <si>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</si>
  <si>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</si>
  <si>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</si>
  <si>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</si>
  <si>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</si>
  <si>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</si>
  <si>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</si>
  <si>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</si>
  <si>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</si>
  <si>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</si>
  <si>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</si>
  <si>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</si>
  <si>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</si>
  <si>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</si>
  <si>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</si>
  <si>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</si>
  <si>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</si>
  <si>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</si>
  <si>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</si>
  <si>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</si>
  <si>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</si>
  <si>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</si>
  <si>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</si>
  <si>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</si>
  <si>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</si>
  <si>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</si>
  <si>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</si>
  <si>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</si>
  <si>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</si>
  <si>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</si>
  <si>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</si>
  <si>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</si>
  <si>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</si>
  <si>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</si>
  <si>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</si>
  <si>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</si>
  <si>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</si>
  <si>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</si>
  <si>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</si>
  <si>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</si>
  <si>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</si>
  <si>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</si>
  <si>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</si>
  <si>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</si>
  <si>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</si>
  <si>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</si>
  <si>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</si>
  <si>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</si>
  <si>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</si>
  <si>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</si>
  <si>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</si>
  <si>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</si>
  <si>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</si>
  <si>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</si>
  <si>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</si>
  <si>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</si>
  <si>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</si>
  <si>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</si>
  <si>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</si>
  <si>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</si>
  <si>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</si>
  <si>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</si>
  <si>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</si>
  <si>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</si>
  <si>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</si>
  <si>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</si>
  <si>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</si>
  <si>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</si>
  <si>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</si>
  <si>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</si>
  <si>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</si>
  <si>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93141</t>
  </si>
  <si>
    <t>KALCITONIN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</si>
  <si>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</si>
  <si>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</si>
  <si>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</si>
  <si>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</si>
  <si>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</si>
  <si>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</si>
  <si>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</si>
  <si>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</si>
  <si>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</si>
  <si>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</si>
  <si>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</si>
  <si>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</si>
  <si>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</si>
  <si>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</si>
  <si>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</si>
  <si>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</si>
  <si>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</si>
  <si>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</si>
  <si>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</si>
  <si>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</si>
  <si>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</si>
  <si>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</si>
  <si>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</si>
  <si>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</si>
  <si>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</si>
  <si>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</si>
  <si>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</si>
  <si>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</si>
  <si>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</si>
  <si>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</si>
  <si>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</si>
  <si>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</si>
  <si>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</si>
  <si>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</si>
  <si>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</si>
  <si>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</si>
  <si>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</si>
  <si>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</si>
  <si>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</si>
  <si>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</si>
  <si>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</si>
  <si>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</si>
  <si>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</si>
  <si>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</si>
  <si>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</si>
  <si>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</si>
  <si>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</si>
  <si>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</si>
  <si>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</si>
  <si>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</si>
  <si>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</si>
  <si>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</si>
  <si>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</si>
  <si>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</si>
  <si>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91133</t>
  </si>
  <si>
    <t>STANOVENÍ IgM</t>
  </si>
  <si>
    <t>81533</t>
  </si>
  <si>
    <t>LIPÁZA</t>
  </si>
  <si>
    <t>93263</t>
  </si>
  <si>
    <t>KARBOHYDRÁT-DEFICIENTNÍ TRANSFERIN (CDT)</t>
  </si>
  <si>
    <t>81125</t>
  </si>
  <si>
    <t>BÍLKOVINY CELKOVÉ (SÉRUM) STATIM</t>
  </si>
  <si>
    <t>81423</t>
  </si>
  <si>
    <t>FOSFATÁZA ALKALICKÁ IZOENZYMY</t>
  </si>
  <si>
    <t>81123</t>
  </si>
  <si>
    <t>BILIRUBIN KONJUGOVANÝ STATIM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</si>
  <si>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</si>
  <si>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</si>
  <si>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</si>
  <si>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</si>
  <si>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</si>
  <si>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</si>
  <si>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</si>
  <si>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</si>
  <si>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81159</t>
  </si>
  <si>
    <t>CHOLINESTERÁZA STATIM</t>
  </si>
  <si>
    <t>813</t>
  </si>
  <si>
    <t>34</t>
  </si>
  <si>
    <t>0003134</t>
  </si>
  <si>
    <t>GADOVIST 1,0 MMOL/ML</t>
  </si>
  <si>
    <t>0022075</t>
  </si>
  <si>
    <t>IOMERON 400</t>
  </si>
  <si>
    <t>0042433</t>
  </si>
  <si>
    <t>VISIPAQUE 320 MG I/ML</t>
  </si>
  <si>
    <t>0045123</t>
  </si>
  <si>
    <t>0077018</t>
  </si>
  <si>
    <t>ULTRAVIST 370</t>
  </si>
  <si>
    <t>0077019</t>
  </si>
  <si>
    <t>0077024</t>
  </si>
  <si>
    <t>ULTRAVIST 300</t>
  </si>
  <si>
    <t>0095607</t>
  </si>
  <si>
    <t>MICROPAQUE</t>
  </si>
  <si>
    <t>0034038</t>
  </si>
  <si>
    <t>JEHLA BIOPTICKÁ ASPIRAČNÍ, CHIBA,ECHOTIP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</si>
  <si>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</si>
  <si>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</si>
  <si>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</si>
  <si>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</si>
  <si>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</si>
  <si>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</si>
  <si>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</si>
  <si>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0046273</t>
  </si>
  <si>
    <t>STENT JÍCNOVÝ,DUODENÁLNÍ,REKTÁLNÍ,BILIÁRNÍ BRONCHI</t>
  </si>
  <si>
    <t>0048523</t>
  </si>
  <si>
    <t>VODIČ INTERVENČNÍ SELECTIVA DO 145CM</t>
  </si>
  <si>
    <t>0048668</t>
  </si>
  <si>
    <t>DRÁT VODÍCÍ NITINOL</t>
  </si>
  <si>
    <t>0049857</t>
  </si>
  <si>
    <t>KATETR INTRACEREBRÁLNÍ SONIC</t>
  </si>
  <si>
    <t>0052140</t>
  </si>
  <si>
    <t>KATETR DILATAČNÍ PTA WANDA, SMASH</t>
  </si>
  <si>
    <t>0052704</t>
  </si>
  <si>
    <t>KATETR DRENÁŽNÍ</t>
  </si>
  <si>
    <t>0053374</t>
  </si>
  <si>
    <t xml:space="preserve">KATETR ANGIOPLASTICKÝ LARGE OMEGA, PRŮMĚR 7 - 8.5 </t>
  </si>
  <si>
    <t>0053397</t>
  </si>
  <si>
    <t>DRÁT VODÍCÍ MICRO SORCERER/STEEL</t>
  </si>
  <si>
    <t>0053563</t>
  </si>
  <si>
    <t>KATETR DIAGNOSTICKÝ TEMPO4F,5F</t>
  </si>
  <si>
    <t>0053643</t>
  </si>
  <si>
    <t>KATETR BALONKOVÝ PTA QUADRIMATRIX/MARS</t>
  </si>
  <si>
    <t>0053936</t>
  </si>
  <si>
    <t>SYSTÉM ZAVÁDĚCÍ ACCUSTICK II 20-705</t>
  </si>
  <si>
    <t>0054472</t>
  </si>
  <si>
    <t>KATETR BALÓNKOVÝ OKLUZNÍ PRO ZENITH</t>
  </si>
  <si>
    <t>0056361</t>
  </si>
  <si>
    <t>ZAVADĚČ FLEXOR BALKIN RADIOOPÁKNÍ ZNAČKA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</si>
  <si>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</si>
  <si>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</si>
  <si>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</si>
  <si>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</si>
  <si>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</si>
  <si>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</si>
  <si>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</si>
  <si>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0058462</t>
  </si>
  <si>
    <t>VODIČ DRÁTĚNÝ LUNDERQUIST EXTRA STIFF, ZAHNUTÝ</t>
  </si>
  <si>
    <t>0058736</t>
  </si>
  <si>
    <t>TĚLÍSKO EMBOLIZAČNÍ NESTER</t>
  </si>
  <si>
    <t>0059345</t>
  </si>
  <si>
    <t>INDEFLÁTOR 622510</t>
  </si>
  <si>
    <t>0059795</t>
  </si>
  <si>
    <t>DRÁT VODÍCÍ ANGIODYN J3 FC-FS 150-0,35</t>
  </si>
  <si>
    <t>0059987</t>
  </si>
  <si>
    <t>SYSTÉM EMBOLIC ONYX 105-7000, ONYX HD 500,500+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</si>
  <si>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</si>
  <si>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</si>
  <si>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</si>
  <si>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</si>
  <si>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</si>
  <si>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</si>
  <si>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0141907</t>
  </si>
  <si>
    <t>STENT JÍC.BILIÁRNÍ,KOLOREK.DUODEN.TRACH.BRONCH.SX-</t>
  </si>
  <si>
    <t>0051244</t>
  </si>
  <si>
    <t>KATETR VODÍCÍ GUIDER</t>
  </si>
  <si>
    <t>0111638</t>
  </si>
  <si>
    <t>STENT PERIFERNÍ ISTHMUS LOGIC,BALONEXPANDIBILNÍ,CO</t>
  </si>
  <si>
    <t>0046127</t>
  </si>
  <si>
    <t>KATETR BALONKOVÝ PTA - ŘEZACÍ - CUTTING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</si>
  <si>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</si>
  <si>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</si>
  <si>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</si>
  <si>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</si>
  <si>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</si>
  <si>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</si>
  <si>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</si>
  <si>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</si>
  <si>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</si>
  <si>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</si>
  <si>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</si>
  <si>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</si>
  <si>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</si>
  <si>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</si>
  <si>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</si>
  <si>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</si>
  <si>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</si>
  <si>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</si>
  <si>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</si>
  <si>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</si>
  <si>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</si>
  <si>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</si>
  <si>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</si>
  <si>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</si>
  <si>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</si>
  <si>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</si>
  <si>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</si>
  <si>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</si>
  <si>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</si>
  <si>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</si>
  <si>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</si>
  <si>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</si>
  <si>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</si>
  <si>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</si>
  <si>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</si>
  <si>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</si>
  <si>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</si>
  <si>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</si>
  <si>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</si>
  <si>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</si>
  <si>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</si>
  <si>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</si>
  <si>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</si>
  <si>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</si>
  <si>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</si>
  <si>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</si>
  <si>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</si>
  <si>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</si>
  <si>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</si>
  <si>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</si>
  <si>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</si>
  <si>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</si>
  <si>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</si>
  <si>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</si>
  <si>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</si>
  <si>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</si>
  <si>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</si>
  <si>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</si>
  <si>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</si>
  <si>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</si>
  <si>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</si>
  <si>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</si>
  <si>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</si>
  <si>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</si>
  <si>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</si>
  <si>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</si>
  <si>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</si>
  <si>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</si>
  <si>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</si>
  <si>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</si>
  <si>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</si>
  <si>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</si>
  <si>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</si>
  <si>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</si>
  <si>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</si>
  <si>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</si>
  <si>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</si>
  <si>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</si>
  <si>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</si>
  <si>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</si>
  <si>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</si>
  <si>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</si>
  <si>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</si>
  <si>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</si>
  <si>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</si>
  <si>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</si>
  <si>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</si>
  <si>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</si>
  <si>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</si>
  <si>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</si>
  <si>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</si>
  <si>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</si>
  <si>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</si>
  <si>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</si>
  <si>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</si>
  <si>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</si>
  <si>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</si>
  <si>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</si>
  <si>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</si>
  <si>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</si>
  <si>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</si>
  <si>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</si>
  <si>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</si>
  <si>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</si>
  <si>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</si>
  <si>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</si>
  <si>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</si>
  <si>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</si>
  <si>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</si>
  <si>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</si>
  <si>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</si>
  <si>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</si>
  <si>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</si>
  <si>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</si>
  <si>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</si>
  <si>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</si>
  <si>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</si>
  <si>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</si>
  <si>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</si>
  <si>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</si>
  <si>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</si>
  <si>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</si>
  <si>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</si>
  <si>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</si>
  <si>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</si>
  <si>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</si>
  <si>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</si>
  <si>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</si>
  <si>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</si>
  <si>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</si>
  <si>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</si>
  <si>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</si>
  <si>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</si>
  <si>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</si>
  <si>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</si>
  <si>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</si>
  <si>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</si>
  <si>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</si>
  <si>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</si>
  <si>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</si>
  <si>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</si>
  <si>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</si>
  <si>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</si>
  <si>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</si>
  <si>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</si>
  <si>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</si>
  <si>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</si>
  <si>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</si>
  <si>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</si>
  <si>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</si>
  <si>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</si>
  <si>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</si>
  <si>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</si>
  <si>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</si>
  <si>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</si>
  <si>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</si>
  <si>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</si>
  <si>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</si>
  <si>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</si>
  <si>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</si>
  <si>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</si>
  <si>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</si>
  <si>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</si>
  <si>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</si>
  <si>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</si>
  <si>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</si>
  <si>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</si>
  <si>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</si>
  <si>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</si>
  <si>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</si>
  <si>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</si>
  <si>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</si>
  <si>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</si>
  <si>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</si>
  <si>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</si>
  <si>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</si>
  <si>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</si>
  <si>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</si>
  <si>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</si>
  <si>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</si>
  <si>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</si>
  <si>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</si>
  <si>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</si>
  <si>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</si>
  <si>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</si>
  <si>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</si>
  <si>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</si>
  <si>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</si>
  <si>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</si>
  <si>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</si>
  <si>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</si>
  <si>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</si>
  <si>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</si>
  <si>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</si>
  <si>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</si>
  <si>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</si>
  <si>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</si>
  <si>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</si>
  <si>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</si>
  <si>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</si>
  <si>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</si>
  <si>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</si>
  <si>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</si>
  <si>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41</t>
  </si>
  <si>
    <t>86413</t>
  </si>
  <si>
    <t>SCREENING PROTILÁTEK NA PANELU 30TI DÁRCŮ</t>
  </si>
  <si>
    <t>91161</t>
  </si>
  <si>
    <t>STANOVENÍ C4 SLOŽKY KOMPLEMENTU</t>
  </si>
  <si>
    <t>91439</t>
  </si>
  <si>
    <t>IMUNOFENOTYPIZACE BUNĚČNÝCH SUBPOPULACÍ DLE POVRCH</t>
  </si>
  <si>
    <t>91355</t>
  </si>
  <si>
    <t>STANOVENÍ CIK METODOU PEG-IKEM</t>
  </si>
  <si>
    <t>91159</t>
  </si>
  <si>
    <t>STANOVENÍ C3 SLOŽKY KOMPLEMENTU</t>
  </si>
  <si>
    <t>Zdravotní výkony (vybraných odborností) vyžádané pro pacienty hospitalizované na vlastním pracovišti - orientační přehled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</si>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</sst>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64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170" fontId="34" fillId="0" borderId="76" xfId="53" applyNumberFormat="1" applyFont="1" applyFill="1" applyBorder="1"/>
    <xf numFmtId="170" fontId="34" fillId="0" borderId="77" xfId="5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0" fontId="3" fillId="2" borderId="29" xfId="79" applyFont="1" applyFill="1" applyBorder="1"/>
    <xf numFmtId="0" fontId="3" fillId="2" borderId="29" xfId="53" applyFont="1" applyFill="1" applyBorder="1" applyAlignment="1">
      <alignment horizontal="left"/>
    </xf>
    <xf numFmtId="3" fontId="3" fillId="2" borderId="22" xfId="53" applyNumberFormat="1" applyFont="1" applyFill="1" applyBorder="1" applyAlignment="1">
      <alignment horizontal="lef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0" fontId="42" fillId="2" borderId="90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61" fillId="2" borderId="93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4" borderId="90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35" fillId="0" borderId="100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2" borderId="90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35" fillId="0" borderId="106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4" fontId="35" fillId="0" borderId="90" xfId="0" applyNumberFormat="1" applyFont="1" applyBorder="1"/>
    <xf numFmtId="174" fontId="35" fillId="0" borderId="98" xfId="0" applyNumberFormat="1" applyFont="1" applyBorder="1"/>
    <xf numFmtId="174" fontId="35" fillId="0" borderId="91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35" fillId="2" borderId="90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0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175" fontId="35" fillId="0" borderId="106" xfId="0" applyNumberFormat="1" applyFont="1" applyBorder="1"/>
    <xf numFmtId="0" fontId="28" fillId="2" borderId="19" xfId="1" applyFill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174" fontId="35" fillId="0" borderId="92" xfId="0" applyNumberFormat="1" applyFont="1" applyBorder="1" applyAlignment="1"/>
    <xf numFmtId="174" fontId="35" fillId="0" borderId="99" xfId="0" applyNumberFormat="1" applyFont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74" fontId="35" fillId="0" borderId="92" xfId="0" applyNumberFormat="1" applyFont="1" applyBorder="1" applyAlignment="1"/>
    <xf numFmtId="0" fontId="2" fillId="0" borderId="2" xfId="26" applyFont="1" applyFill="1" applyBorder="1" applyAlignment="1"/>
    <xf numFmtId="0" fontId="0" fillId="0" borderId="2" xfId="0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74" fontId="35" fillId="0" borderId="99" xfId="0" applyNumberFormat="1" applyFont="1" applyBorder="1" applyAlignment="1"/>
    <xf numFmtId="174" fontId="42" fillId="4" borderId="89" xfId="0" applyNumberFormat="1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7" xfId="0" applyNumberFormat="1" applyFont="1" applyFill="1" applyBorder="1" applyAlignment="1">
      <alignment horizontal="right" vertical="top"/>
    </xf>
    <xf numFmtId="3" fontId="36" fillId="10" borderId="118" xfId="0" applyNumberFormat="1" applyFont="1" applyFill="1" applyBorder="1" applyAlignment="1">
      <alignment horizontal="right" vertical="top"/>
    </xf>
    <xf numFmtId="176" fontId="36" fillId="10" borderId="119" xfId="0" applyNumberFormat="1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176" fontId="36" fillId="10" borderId="120" xfId="0" applyNumberFormat="1" applyFont="1" applyFill="1" applyBorder="1" applyAlignment="1">
      <alignment horizontal="right" vertical="top"/>
    </xf>
    <xf numFmtId="3" fontId="38" fillId="10" borderId="122" xfId="0" applyNumberFormat="1" applyFont="1" applyFill="1" applyBorder="1" applyAlignment="1">
      <alignment horizontal="right" vertical="top"/>
    </xf>
    <xf numFmtId="3" fontId="38" fillId="10" borderId="123" xfId="0" applyNumberFormat="1" applyFont="1" applyFill="1" applyBorder="1" applyAlignment="1">
      <alignment horizontal="right" vertical="top"/>
    </xf>
    <xf numFmtId="0" fontId="38" fillId="10" borderId="124" xfId="0" applyFont="1" applyFill="1" applyBorder="1" applyAlignment="1">
      <alignment horizontal="right" vertical="top"/>
    </xf>
    <xf numFmtId="3" fontId="38" fillId="0" borderId="122" xfId="0" applyNumberFormat="1" applyFont="1" applyBorder="1" applyAlignment="1">
      <alignment horizontal="right" vertical="top"/>
    </xf>
    <xf numFmtId="0" fontId="38" fillId="10" borderId="125" xfId="0" applyFont="1" applyFill="1" applyBorder="1" applyAlignment="1">
      <alignment horizontal="right" vertical="top"/>
    </xf>
    <xf numFmtId="0" fontId="36" fillId="10" borderId="119" xfId="0" applyFont="1" applyFill="1" applyBorder="1" applyAlignment="1">
      <alignment horizontal="right" vertical="top"/>
    </xf>
    <xf numFmtId="0" fontId="36" fillId="10" borderId="120" xfId="0" applyFont="1" applyFill="1" applyBorder="1" applyAlignment="1">
      <alignment horizontal="right" vertical="top"/>
    </xf>
    <xf numFmtId="176" fontId="38" fillId="10" borderId="124" xfId="0" applyNumberFormat="1" applyFont="1" applyFill="1" applyBorder="1" applyAlignment="1">
      <alignment horizontal="right" vertical="top"/>
    </xf>
    <xf numFmtId="176" fontId="38" fillId="10" borderId="125" xfId="0" applyNumberFormat="1" applyFont="1" applyFill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3" fontId="38" fillId="0" borderId="127" xfId="0" applyNumberFormat="1" applyFont="1" applyBorder="1" applyAlignment="1">
      <alignment horizontal="right" vertical="top"/>
    </xf>
    <xf numFmtId="3" fontId="38" fillId="0" borderId="128" xfId="0" applyNumberFormat="1" applyFont="1" applyBorder="1" applyAlignment="1">
      <alignment horizontal="right" vertical="top"/>
    </xf>
    <xf numFmtId="176" fontId="38" fillId="10" borderId="129" xfId="0" applyNumberFormat="1" applyFont="1" applyFill="1" applyBorder="1" applyAlignment="1">
      <alignment horizontal="right" vertical="top"/>
    </xf>
    <xf numFmtId="0" fontId="40" fillId="11" borderId="116" xfId="0" applyFont="1" applyFill="1" applyBorder="1" applyAlignment="1">
      <alignment vertical="top"/>
    </xf>
    <xf numFmtId="0" fontId="40" fillId="11" borderId="116" xfId="0" applyFont="1" applyFill="1" applyBorder="1" applyAlignment="1">
      <alignment vertical="top" indent="2"/>
    </xf>
    <xf numFmtId="0" fontId="40" fillId="11" borderId="116" xfId="0" applyFont="1" applyFill="1" applyBorder="1" applyAlignment="1">
      <alignment vertical="top" indent="4"/>
    </xf>
    <xf numFmtId="0" fontId="41" fillId="11" borderId="121" xfId="0" applyFont="1" applyFill="1" applyBorder="1" applyAlignment="1">
      <alignment vertical="top" indent="6"/>
    </xf>
    <xf numFmtId="0" fontId="40" fillId="11" borderId="116" xfId="0" applyFont="1" applyFill="1" applyBorder="1" applyAlignment="1">
      <alignment vertical="top" indent="8"/>
    </xf>
    <xf numFmtId="0" fontId="41" fillId="11" borderId="121" xfId="0" applyFont="1" applyFill="1" applyBorder="1" applyAlignment="1">
      <alignment vertical="top" indent="2"/>
    </xf>
    <xf numFmtId="0" fontId="40" fillId="11" borderId="116" xfId="0" applyFont="1" applyFill="1" applyBorder="1" applyAlignment="1">
      <alignment vertical="top" indent="6"/>
    </xf>
    <xf numFmtId="0" fontId="41" fillId="11" borderId="121" xfId="0" applyFont="1" applyFill="1" applyBorder="1" applyAlignment="1">
      <alignment vertical="top" indent="4"/>
    </xf>
    <xf numFmtId="0" fontId="35" fillId="11" borderId="116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4" fillId="2" borderId="130" xfId="53" applyNumberFormat="1" applyFont="1" applyFill="1" applyBorder="1" applyAlignment="1">
      <alignment horizontal="left"/>
    </xf>
    <xf numFmtId="165" fontId="34" fillId="2" borderId="131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3" fontId="35" fillId="0" borderId="131" xfId="0" applyNumberFormat="1" applyFont="1" applyFill="1" applyBorder="1"/>
    <xf numFmtId="3" fontId="35" fillId="0" borderId="133" xfId="0" applyNumberFormat="1" applyFont="1" applyFill="1" applyBorder="1"/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0" xfId="0" applyFont="1" applyFill="1" applyBorder="1"/>
    <xf numFmtId="3" fontId="42" fillId="2" borderId="132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131" xfId="0" applyNumberFormat="1" applyFont="1" applyFill="1" applyBorder="1"/>
    <xf numFmtId="9" fontId="35" fillId="0" borderId="89" xfId="0" applyNumberFormat="1" applyFont="1" applyFill="1" applyBorder="1"/>
    <xf numFmtId="9" fontId="35" fillId="0" borderId="92" xfId="0" applyNumberFormat="1" applyFont="1" applyFill="1" applyBorder="1"/>
    <xf numFmtId="9" fontId="35" fillId="0" borderId="29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30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9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35" xfId="0" applyFont="1" applyFill="1" applyBorder="1"/>
    <xf numFmtId="0" fontId="42" fillId="2" borderId="131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42" fillId="11" borderId="136" xfId="0" applyFont="1" applyFill="1" applyBorder="1"/>
    <xf numFmtId="0" fontId="42" fillId="11" borderId="137" xfId="0" applyFont="1" applyFill="1" applyBorder="1"/>
    <xf numFmtId="0" fontId="42" fillId="11" borderId="138" xfId="0" applyFont="1" applyFill="1" applyBorder="1"/>
    <xf numFmtId="3" fontId="3" fillId="2" borderId="105" xfId="80" applyNumberFormat="1" applyFont="1" applyFill="1" applyBorder="1"/>
    <xf numFmtId="0" fontId="3" fillId="2" borderId="105" xfId="80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35" fillId="0" borderId="136" xfId="0" applyFont="1" applyFill="1" applyBorder="1"/>
    <xf numFmtId="0" fontId="35" fillId="0" borderId="137" xfId="0" applyFont="1" applyFill="1" applyBorder="1"/>
    <xf numFmtId="0" fontId="35" fillId="0" borderId="13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31" xfId="0" applyNumberFormat="1" applyFont="1" applyFill="1" applyBorder="1" applyAlignment="1">
      <alignment horizontal="center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29" xfId="0" applyNumberFormat="1" applyFont="1" applyFill="1" applyBorder="1"/>
    <xf numFmtId="0" fontId="35" fillId="0" borderId="29" xfId="0" applyFont="1" applyFill="1" applyBorder="1"/>
    <xf numFmtId="9" fontId="35" fillId="0" borderId="22" xfId="0" applyNumberFormat="1" applyFont="1" applyFill="1" applyBorder="1"/>
    <xf numFmtId="0" fontId="42" fillId="0" borderId="21" xfId="0" applyFont="1" applyFill="1" applyBorder="1"/>
    <xf numFmtId="0" fontId="64" fillId="0" borderId="0" xfId="0" applyFont="1" applyFill="1"/>
    <xf numFmtId="0" fontId="65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31" xfId="0" applyNumberFormat="1" applyFont="1" applyFill="1" applyBorder="1"/>
    <xf numFmtId="170" fontId="35" fillId="0" borderId="99" xfId="0" applyNumberFormat="1" applyFont="1" applyFill="1" applyBorder="1"/>
    <xf numFmtId="170" fontId="35" fillId="0" borderId="92" xfId="0" applyNumberFormat="1" applyFont="1" applyFill="1" applyBorder="1"/>
    <xf numFmtId="0" fontId="42" fillId="0" borderId="91" xfId="0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4" xfId="0" applyNumberFormat="1" applyFont="1" applyBorder="1"/>
    <xf numFmtId="167" fontId="12" fillId="0" borderId="134" xfId="0" applyNumberFormat="1" applyFont="1" applyBorder="1"/>
    <xf numFmtId="167" fontId="12" fillId="0" borderId="103" xfId="0" applyNumberFormat="1" applyFont="1" applyBorder="1"/>
    <xf numFmtId="167" fontId="5" fillId="0" borderId="134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5" fillId="0" borderId="134" xfId="0" applyNumberFormat="1" applyFont="1" applyBorder="1" applyAlignment="1">
      <alignment horizontal="right"/>
    </xf>
    <xf numFmtId="177" fontId="5" fillId="0" borderId="134" xfId="0" applyNumberFormat="1" applyFont="1" applyBorder="1" applyAlignment="1">
      <alignment horizontal="right"/>
    </xf>
    <xf numFmtId="4" fontId="5" fillId="0" borderId="134" xfId="0" applyNumberFormat="1" applyFont="1" applyBorder="1" applyAlignment="1">
      <alignment horizontal="right"/>
    </xf>
    <xf numFmtId="3" fontId="5" fillId="0" borderId="134" xfId="0" applyNumberFormat="1" applyFont="1" applyBorder="1"/>
    <xf numFmtId="3" fontId="11" fillId="0" borderId="102" xfId="0" applyNumberFormat="1" applyFont="1" applyBorder="1" applyAlignment="1">
      <alignment horizontal="center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34" xfId="0" applyNumberFormat="1" applyFont="1" applyBorder="1" applyAlignment="1">
      <alignment horizontal="right"/>
    </xf>
    <xf numFmtId="167" fontId="12" fillId="0" borderId="134" xfId="0" applyNumberFormat="1" applyFont="1" applyBorder="1" applyAlignment="1">
      <alignment horizontal="right"/>
    </xf>
    <xf numFmtId="167" fontId="12" fillId="0" borderId="103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167" fontId="11" fillId="0" borderId="103" xfId="0" applyNumberFormat="1" applyFont="1" applyBorder="1" applyAlignment="1">
      <alignment horizontal="right"/>
    </xf>
    <xf numFmtId="3" fontId="35" fillId="0" borderId="134" xfId="0" applyNumberFormat="1" applyFont="1" applyBorder="1" applyAlignment="1">
      <alignment horizontal="right"/>
    </xf>
    <xf numFmtId="0" fontId="5" fillId="0" borderId="134" xfId="0" applyFont="1" applyBorder="1"/>
    <xf numFmtId="3" fontId="35" fillId="0" borderId="134" xfId="0" applyNumberFormat="1" applyFont="1" applyBorder="1"/>
    <xf numFmtId="9" fontId="35" fillId="0" borderId="134" xfId="0" applyNumberFormat="1" applyFont="1" applyBorder="1"/>
    <xf numFmtId="167" fontId="35" fillId="0" borderId="134" xfId="0" applyNumberFormat="1" applyFont="1" applyBorder="1"/>
    <xf numFmtId="167" fontId="35" fillId="0" borderId="103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7" fontId="12" fillId="0" borderId="52" xfId="0" applyNumberFormat="1" applyFont="1" applyBorder="1"/>
    <xf numFmtId="167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12" fillId="0" borderId="143" xfId="0" applyNumberFormat="1" applyFont="1" applyBorder="1"/>
    <xf numFmtId="167" fontId="12" fillId="0" borderId="143" xfId="0" applyNumberFormat="1" applyFont="1" applyBorder="1"/>
    <xf numFmtId="167" fontId="12" fillId="0" borderId="108" xfId="0" applyNumberFormat="1" applyFont="1" applyBorder="1"/>
    <xf numFmtId="3" fontId="35" fillId="0" borderId="143" xfId="0" applyNumberFormat="1" applyFont="1" applyBorder="1" applyAlignment="1">
      <alignment horizontal="right"/>
    </xf>
    <xf numFmtId="167" fontId="5" fillId="0" borderId="143" xfId="0" applyNumberFormat="1" applyFont="1" applyBorder="1" applyAlignment="1">
      <alignment horizontal="right"/>
    </xf>
    <xf numFmtId="167" fontId="5" fillId="0" borderId="108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0" fontId="5" fillId="0" borderId="143" xfId="0" applyFont="1" applyBorder="1"/>
    <xf numFmtId="3" fontId="5" fillId="0" borderId="143" xfId="0" applyNumberFormat="1" applyFont="1" applyBorder="1"/>
    <xf numFmtId="3" fontId="35" fillId="0" borderId="143" xfId="0" applyNumberFormat="1" applyFont="1" applyBorder="1"/>
    <xf numFmtId="9" fontId="35" fillId="0" borderId="143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44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170" fontId="32" fillId="0" borderId="26" xfId="76" applyNumberFormat="1" applyFont="1" applyFill="1" applyBorder="1"/>
    <xf numFmtId="170" fontId="32" fillId="0" borderId="31" xfId="76" applyNumberFormat="1" applyFont="1" applyFill="1" applyBorder="1"/>
    <xf numFmtId="170" fontId="32" fillId="0" borderId="98" xfId="76" applyNumberFormat="1" applyFont="1" applyFill="1" applyBorder="1"/>
    <xf numFmtId="170" fontId="32" fillId="0" borderId="99" xfId="76" applyNumberFormat="1" applyFont="1" applyFill="1" applyBorder="1"/>
    <xf numFmtId="170" fontId="32" fillId="0" borderId="91" xfId="76" applyNumberFormat="1" applyFont="1" applyFill="1" applyBorder="1"/>
    <xf numFmtId="170" fontId="32" fillId="0" borderId="92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0.25799929416598882</c:v>
                </c:pt>
                <c:pt idx="1">
                  <c:v>0.26515485861399701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029952"/>
        <c:axId val="9780924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0.36614332765474161</c:v>
                </c:pt>
                <c:pt idx="1">
                  <c:v>0.36614332765474161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093952"/>
        <c:axId val="978604032"/>
      </c:scatterChart>
      <c:catAx>
        <c:axId val="97602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809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8092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6029952"/>
        <c:crosses val="autoZero"/>
        <c:crossBetween val="between"/>
      </c:valAx>
      <c:valAx>
        <c:axId val="978093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8604032"/>
        <c:crosses val="max"/>
        <c:crossBetween val="midCat"/>
      </c:valAx>
      <c:valAx>
        <c:axId val="9786040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8093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0.44998977295970544</c:v>
                </c:pt>
                <c:pt idx="1">
                  <c:v>0.40072665099380211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85152"/>
        <c:axId val="100558784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495168"/>
        <c:axId val="1211443072"/>
      </c:scatterChart>
      <c:catAx>
        <c:axId val="100558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558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878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05585152"/>
        <c:crosses val="autoZero"/>
        <c:crossBetween val="between"/>
      </c:valAx>
      <c:valAx>
        <c:axId val="10434951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1443072"/>
        <c:crosses val="max"/>
        <c:crossBetween val="midCat"/>
      </c:valAx>
      <c:valAx>
        <c:axId val="121144307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4349516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60" bestFit="1" customWidth="1"/>
    <col min="2" max="2" width="98.6640625" style="260" customWidth="1"/>
    <col min="3" max="3" width="16.109375" style="51" hidden="1" customWidth="1"/>
    <col min="4" max="16384" width="8.88671875" style="260"/>
  </cols>
  <sheetData>
    <row r="1" spans="1:3" ht="18.600000000000001" customHeight="1" thickBot="1" x14ac:dyDescent="0.4">
      <c r="A1" s="464" t="s">
        <v>136</v>
      </c>
      <c r="B1" s="464"/>
    </row>
    <row r="2" spans="1:3" ht="14.4" customHeight="1" thickBot="1" x14ac:dyDescent="0.35">
      <c r="A2" s="389" t="s">
        <v>298</v>
      </c>
      <c r="B2" s="50"/>
    </row>
    <row r="3" spans="1:3" ht="14.4" customHeight="1" thickBot="1" x14ac:dyDescent="0.35">
      <c r="A3" s="460" t="s">
        <v>186</v>
      </c>
      <c r="B3" s="461"/>
    </row>
    <row r="4" spans="1:3" ht="14.4" customHeight="1" x14ac:dyDescent="0.3">
      <c r="A4" s="277" t="str">
        <f t="shared" ref="A4:A8" si="0">HYPERLINK("#'"&amp;C4&amp;"'!A1",C4)</f>
        <v>Motivace</v>
      </c>
      <c r="B4" s="182" t="s">
        <v>155</v>
      </c>
      <c r="C4" s="51" t="s">
        <v>156</v>
      </c>
    </row>
    <row r="5" spans="1:3" ht="14.4" customHeight="1" x14ac:dyDescent="0.3">
      <c r="A5" s="278" t="str">
        <f t="shared" si="0"/>
        <v>HI</v>
      </c>
      <c r="B5" s="183" t="s">
        <v>179</v>
      </c>
      <c r="C5" s="51" t="s">
        <v>140</v>
      </c>
    </row>
    <row r="6" spans="1:3" ht="14.4" customHeight="1" x14ac:dyDescent="0.3">
      <c r="A6" s="279" t="str">
        <f t="shared" si="0"/>
        <v>HI Graf</v>
      </c>
      <c r="B6" s="184" t="s">
        <v>132</v>
      </c>
      <c r="C6" s="51" t="s">
        <v>141</v>
      </c>
    </row>
    <row r="7" spans="1:3" ht="14.4" customHeight="1" x14ac:dyDescent="0.3">
      <c r="A7" s="279" t="str">
        <f t="shared" si="0"/>
        <v>Man Tab</v>
      </c>
      <c r="B7" s="184" t="s">
        <v>300</v>
      </c>
      <c r="C7" s="51" t="s">
        <v>142</v>
      </c>
    </row>
    <row r="8" spans="1:3" ht="14.4" customHeight="1" thickBot="1" x14ac:dyDescent="0.35">
      <c r="A8" s="280" t="str">
        <f t="shared" si="0"/>
        <v>HV</v>
      </c>
      <c r="B8" s="185" t="s">
        <v>64</v>
      </c>
      <c r="C8" s="51" t="s">
        <v>69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2" t="s">
        <v>137</v>
      </c>
      <c r="B10" s="461"/>
    </row>
    <row r="11" spans="1:3" ht="14.4" customHeight="1" x14ac:dyDescent="0.3">
      <c r="A11" s="281" t="str">
        <f t="shared" ref="A11:A22" si="1">HYPERLINK("#'"&amp;C11&amp;"'!A1",C11)</f>
        <v>Léky Žádanky</v>
      </c>
      <c r="B11" s="183" t="s">
        <v>180</v>
      </c>
      <c r="C11" s="51" t="s">
        <v>143</v>
      </c>
    </row>
    <row r="12" spans="1:3" ht="14.4" customHeight="1" x14ac:dyDescent="0.3">
      <c r="A12" s="279" t="str">
        <f t="shared" si="1"/>
        <v>LŽ Detail</v>
      </c>
      <c r="B12" s="184" t="s">
        <v>212</v>
      </c>
      <c r="C12" s="51" t="s">
        <v>144</v>
      </c>
    </row>
    <row r="13" spans="1:3" ht="28.8" customHeight="1" x14ac:dyDescent="0.3">
      <c r="A13" s="279" t="str">
        <f t="shared" si="1"/>
        <v>LŽ PL</v>
      </c>
      <c r="B13" s="659" t="s">
        <v>214</v>
      </c>
      <c r="C13" s="51" t="s">
        <v>191</v>
      </c>
    </row>
    <row r="14" spans="1:3" ht="14.4" customHeight="1" x14ac:dyDescent="0.3">
      <c r="A14" s="279" t="str">
        <f t="shared" si="1"/>
        <v>LŽ PL Detail</v>
      </c>
      <c r="B14" s="184" t="s">
        <v>1373</v>
      </c>
      <c r="C14" s="51" t="s">
        <v>193</v>
      </c>
    </row>
    <row r="15" spans="1:3" ht="14.4" customHeight="1" x14ac:dyDescent="0.3">
      <c r="A15" s="279" t="str">
        <f t="shared" si="1"/>
        <v>Léky Recepty</v>
      </c>
      <c r="B15" s="184" t="s">
        <v>181</v>
      </c>
      <c r="C15" s="51" t="s">
        <v>145</v>
      </c>
    </row>
    <row r="16" spans="1:3" ht="14.4" customHeight="1" x14ac:dyDescent="0.3">
      <c r="A16" s="279" t="str">
        <f t="shared" si="1"/>
        <v>LRp Lékaři</v>
      </c>
      <c r="B16" s="184" t="s">
        <v>196</v>
      </c>
      <c r="C16" s="51" t="s">
        <v>197</v>
      </c>
    </row>
    <row r="17" spans="1:3" ht="14.4" customHeight="1" x14ac:dyDescent="0.3">
      <c r="A17" s="279" t="str">
        <f t="shared" si="1"/>
        <v>LRp Detail</v>
      </c>
      <c r="B17" s="184" t="s">
        <v>1445</v>
      </c>
      <c r="C17" s="51" t="s">
        <v>146</v>
      </c>
    </row>
    <row r="18" spans="1:3" ht="28.8" customHeight="1" x14ac:dyDescent="0.3">
      <c r="A18" s="279" t="str">
        <f t="shared" si="1"/>
        <v>LRp PL</v>
      </c>
      <c r="B18" s="659" t="s">
        <v>1446</v>
      </c>
      <c r="C18" s="51" t="s">
        <v>192</v>
      </c>
    </row>
    <row r="19" spans="1:3" ht="14.4" customHeight="1" x14ac:dyDescent="0.3">
      <c r="A19" s="279" t="str">
        <f>HYPERLINK("#'"&amp;C19&amp;"'!A1",C19)</f>
        <v>LRp PL Detail</v>
      </c>
      <c r="B19" s="184" t="s">
        <v>1449</v>
      </c>
      <c r="C19" s="51" t="s">
        <v>194</v>
      </c>
    </row>
    <row r="20" spans="1:3" ht="14.4" customHeight="1" x14ac:dyDescent="0.3">
      <c r="A20" s="281" t="str">
        <f t="shared" si="1"/>
        <v>Materiál Žádanky</v>
      </c>
      <c r="B20" s="184" t="s">
        <v>182</v>
      </c>
      <c r="C20" s="51" t="s">
        <v>147</v>
      </c>
    </row>
    <row r="21" spans="1:3" ht="14.4" customHeight="1" x14ac:dyDescent="0.3">
      <c r="A21" s="279" t="str">
        <f t="shared" si="1"/>
        <v>MŽ Detail</v>
      </c>
      <c r="B21" s="184" t="s">
        <v>1812</v>
      </c>
      <c r="C21" s="51" t="s">
        <v>148</v>
      </c>
    </row>
    <row r="22" spans="1:3" ht="14.4" customHeight="1" thickBot="1" x14ac:dyDescent="0.35">
      <c r="A22" s="281" t="str">
        <f t="shared" si="1"/>
        <v>Osobní náklady</v>
      </c>
      <c r="B22" s="184" t="s">
        <v>134</v>
      </c>
      <c r="C22" s="51" t="s">
        <v>149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63" t="s">
        <v>138</v>
      </c>
      <c r="B24" s="461"/>
    </row>
    <row r="25" spans="1:3" ht="14.4" customHeight="1" x14ac:dyDescent="0.3">
      <c r="A25" s="282" t="str">
        <f t="shared" ref="A25:A34" si="2">HYPERLINK("#'"&amp;C25&amp;"'!A1",C25)</f>
        <v>ZV Vykáz.-A</v>
      </c>
      <c r="B25" s="183" t="s">
        <v>1817</v>
      </c>
      <c r="C25" s="51" t="s">
        <v>157</v>
      </c>
    </row>
    <row r="26" spans="1:3" ht="14.4" customHeight="1" x14ac:dyDescent="0.3">
      <c r="A26" s="279" t="str">
        <f t="shared" si="2"/>
        <v>ZV Vykáz.-A Detail</v>
      </c>
      <c r="B26" s="184" t="s">
        <v>1834</v>
      </c>
      <c r="C26" s="51" t="s">
        <v>158</v>
      </c>
    </row>
    <row r="27" spans="1:3" ht="14.4" customHeight="1" x14ac:dyDescent="0.3">
      <c r="A27" s="279" t="str">
        <f t="shared" si="2"/>
        <v>ZV Vykáz.-H</v>
      </c>
      <c r="B27" s="184" t="s">
        <v>161</v>
      </c>
      <c r="C27" s="51" t="s">
        <v>159</v>
      </c>
    </row>
    <row r="28" spans="1:3" ht="14.4" customHeight="1" x14ac:dyDescent="0.3">
      <c r="A28" s="279" t="str">
        <f t="shared" si="2"/>
        <v>ZV Vykáz.-H Detail</v>
      </c>
      <c r="B28" s="184" t="s">
        <v>2173</v>
      </c>
      <c r="C28" s="51" t="s">
        <v>160</v>
      </c>
    </row>
    <row r="29" spans="1:3" ht="14.4" customHeight="1" x14ac:dyDescent="0.3">
      <c r="A29" s="282" t="str">
        <f t="shared" si="2"/>
        <v>CaseMix</v>
      </c>
      <c r="B29" s="184" t="s">
        <v>139</v>
      </c>
      <c r="C29" s="51" t="s">
        <v>150</v>
      </c>
    </row>
    <row r="30" spans="1:3" ht="14.4" customHeight="1" x14ac:dyDescent="0.3">
      <c r="A30" s="279" t="str">
        <f t="shared" si="2"/>
        <v>ALOS</v>
      </c>
      <c r="B30" s="184" t="s">
        <v>118</v>
      </c>
      <c r="C30" s="51" t="s">
        <v>89</v>
      </c>
    </row>
    <row r="31" spans="1:3" ht="14.4" customHeight="1" x14ac:dyDescent="0.3">
      <c r="A31" s="279" t="str">
        <f t="shared" si="2"/>
        <v>Total</v>
      </c>
      <c r="B31" s="184" t="s">
        <v>2227</v>
      </c>
      <c r="C31" s="51" t="s">
        <v>151</v>
      </c>
    </row>
    <row r="32" spans="1:3" ht="14.4" customHeight="1" x14ac:dyDescent="0.3">
      <c r="A32" s="279" t="str">
        <f t="shared" si="2"/>
        <v>ZV Vyžád.</v>
      </c>
      <c r="B32" s="184" t="s">
        <v>162</v>
      </c>
      <c r="C32" s="51" t="s">
        <v>154</v>
      </c>
    </row>
    <row r="33" spans="1:3" ht="14.4" customHeight="1" x14ac:dyDescent="0.3">
      <c r="A33" s="279" t="str">
        <f t="shared" si="2"/>
        <v>ZV Vyžád. Detail</v>
      </c>
      <c r="B33" s="184" t="s">
        <v>2713</v>
      </c>
      <c r="C33" s="51" t="s">
        <v>153</v>
      </c>
    </row>
    <row r="34" spans="1:3" ht="14.4" customHeight="1" thickBot="1" x14ac:dyDescent="0.35">
      <c r="A34" s="280" t="str">
        <f t="shared" si="2"/>
        <v>OD TISS</v>
      </c>
      <c r="B34" s="185" t="s">
        <v>185</v>
      </c>
      <c r="C34" s="51" t="s">
        <v>152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5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60" bestFit="1" customWidth="1"/>
    <col min="2" max="2" width="8.88671875" style="260" bestFit="1" customWidth="1"/>
    <col min="3" max="3" width="7" style="260" bestFit="1" customWidth="1"/>
    <col min="4" max="4" width="53.44140625" style="260" bestFit="1" customWidth="1"/>
    <col min="5" max="5" width="28.44140625" style="260" bestFit="1" customWidth="1"/>
    <col min="6" max="6" width="6.6640625" style="343" customWidth="1"/>
    <col min="7" max="7" width="10" style="343" customWidth="1"/>
    <col min="8" max="8" width="6.77734375" style="346" bestFit="1" customWidth="1"/>
    <col min="9" max="9" width="6.6640625" style="343" customWidth="1"/>
    <col min="10" max="10" width="10" style="343" customWidth="1"/>
    <col min="11" max="11" width="6.77734375" style="346" bestFit="1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6" t="s">
        <v>1373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64"/>
      <c r="M1" s="464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57</v>
      </c>
      <c r="G3" s="47">
        <f>SUBTOTAL(9,G6:G1048576)</f>
        <v>13904.828196763183</v>
      </c>
      <c r="H3" s="48">
        <f>IF(M3=0,0,G3/M3)</f>
        <v>5.2964584317689314E-2</v>
      </c>
      <c r="I3" s="47">
        <f>SUBTOTAL(9,I6:I1048576)</f>
        <v>1554.9</v>
      </c>
      <c r="J3" s="47">
        <f>SUBTOTAL(9,J6:J1048576)</f>
        <v>248625.8491585048</v>
      </c>
      <c r="K3" s="48">
        <f>IF(M3=0,0,J3/M3)</f>
        <v>0.94703541568231053</v>
      </c>
      <c r="L3" s="47">
        <f>SUBTOTAL(9,L6:L1048576)</f>
        <v>1611.9</v>
      </c>
      <c r="M3" s="49">
        <f>SUBTOTAL(9,M6:M1048576)</f>
        <v>262530.67735526804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165</v>
      </c>
      <c r="G4" s="501"/>
      <c r="H4" s="502"/>
      <c r="I4" s="503" t="s">
        <v>164</v>
      </c>
      <c r="J4" s="501"/>
      <c r="K4" s="502"/>
      <c r="L4" s="504" t="s">
        <v>6</v>
      </c>
      <c r="M4" s="505"/>
    </row>
    <row r="5" spans="1:13" ht="14.4" customHeight="1" thickBot="1" x14ac:dyDescent="0.35">
      <c r="A5" s="646" t="s">
        <v>166</v>
      </c>
      <c r="B5" s="667" t="s">
        <v>167</v>
      </c>
      <c r="C5" s="667" t="s">
        <v>93</v>
      </c>
      <c r="D5" s="667" t="s">
        <v>168</v>
      </c>
      <c r="E5" s="667" t="s">
        <v>169</v>
      </c>
      <c r="F5" s="668" t="s">
        <v>31</v>
      </c>
      <c r="G5" s="668" t="s">
        <v>17</v>
      </c>
      <c r="H5" s="648" t="s">
        <v>170</v>
      </c>
      <c r="I5" s="647" t="s">
        <v>31</v>
      </c>
      <c r="J5" s="668" t="s">
        <v>17</v>
      </c>
      <c r="K5" s="648" t="s">
        <v>170</v>
      </c>
      <c r="L5" s="647" t="s">
        <v>31</v>
      </c>
      <c r="M5" s="669" t="s">
        <v>17</v>
      </c>
    </row>
    <row r="6" spans="1:13" ht="14.4" customHeight="1" x14ac:dyDescent="0.3">
      <c r="A6" s="628" t="s">
        <v>501</v>
      </c>
      <c r="B6" s="629" t="s">
        <v>1300</v>
      </c>
      <c r="C6" s="629" t="s">
        <v>1054</v>
      </c>
      <c r="D6" s="629" t="s">
        <v>1055</v>
      </c>
      <c r="E6" s="629" t="s">
        <v>1056</v>
      </c>
      <c r="F6" s="632"/>
      <c r="G6" s="632"/>
      <c r="H6" s="651">
        <v>0</v>
      </c>
      <c r="I6" s="632">
        <v>370</v>
      </c>
      <c r="J6" s="632">
        <v>26256.545949115909</v>
      </c>
      <c r="K6" s="651">
        <v>1</v>
      </c>
      <c r="L6" s="632">
        <v>370</v>
      </c>
      <c r="M6" s="633">
        <v>26256.545949115909</v>
      </c>
    </row>
    <row r="7" spans="1:13" ht="14.4" customHeight="1" x14ac:dyDescent="0.3">
      <c r="A7" s="634" t="s">
        <v>501</v>
      </c>
      <c r="B7" s="635" t="s">
        <v>1301</v>
      </c>
      <c r="C7" s="635" t="s">
        <v>1051</v>
      </c>
      <c r="D7" s="635" t="s">
        <v>1009</v>
      </c>
      <c r="E7" s="635" t="s">
        <v>1052</v>
      </c>
      <c r="F7" s="638"/>
      <c r="G7" s="638"/>
      <c r="H7" s="660">
        <v>0</v>
      </c>
      <c r="I7" s="638">
        <v>2</v>
      </c>
      <c r="J7" s="638">
        <v>148.43992892396076</v>
      </c>
      <c r="K7" s="660">
        <v>1</v>
      </c>
      <c r="L7" s="638">
        <v>2</v>
      </c>
      <c r="M7" s="639">
        <v>148.43992892396076</v>
      </c>
    </row>
    <row r="8" spans="1:13" ht="14.4" customHeight="1" x14ac:dyDescent="0.3">
      <c r="A8" s="634" t="s">
        <v>501</v>
      </c>
      <c r="B8" s="635" t="s">
        <v>1301</v>
      </c>
      <c r="C8" s="635" t="s">
        <v>1008</v>
      </c>
      <c r="D8" s="635" t="s">
        <v>1009</v>
      </c>
      <c r="E8" s="635" t="s">
        <v>1010</v>
      </c>
      <c r="F8" s="638"/>
      <c r="G8" s="638"/>
      <c r="H8" s="660">
        <v>0</v>
      </c>
      <c r="I8" s="638">
        <v>1</v>
      </c>
      <c r="J8" s="638">
        <v>122.72</v>
      </c>
      <c r="K8" s="660">
        <v>1</v>
      </c>
      <c r="L8" s="638">
        <v>1</v>
      </c>
      <c r="M8" s="639">
        <v>122.72</v>
      </c>
    </row>
    <row r="9" spans="1:13" ht="14.4" customHeight="1" x14ac:dyDescent="0.3">
      <c r="A9" s="634" t="s">
        <v>501</v>
      </c>
      <c r="B9" s="635" t="s">
        <v>1302</v>
      </c>
      <c r="C9" s="635" t="s">
        <v>1047</v>
      </c>
      <c r="D9" s="635" t="s">
        <v>1048</v>
      </c>
      <c r="E9" s="635" t="s">
        <v>1049</v>
      </c>
      <c r="F9" s="638"/>
      <c r="G9" s="638"/>
      <c r="H9" s="660">
        <v>0</v>
      </c>
      <c r="I9" s="638">
        <v>15</v>
      </c>
      <c r="J9" s="638">
        <v>7095.456772008074</v>
      </c>
      <c r="K9" s="660">
        <v>1</v>
      </c>
      <c r="L9" s="638">
        <v>15</v>
      </c>
      <c r="M9" s="639">
        <v>7095.456772008074</v>
      </c>
    </row>
    <row r="10" spans="1:13" ht="14.4" customHeight="1" x14ac:dyDescent="0.3">
      <c r="A10" s="634" t="s">
        <v>501</v>
      </c>
      <c r="B10" s="635" t="s">
        <v>1303</v>
      </c>
      <c r="C10" s="635" t="s">
        <v>829</v>
      </c>
      <c r="D10" s="635" t="s">
        <v>1304</v>
      </c>
      <c r="E10" s="635" t="s">
        <v>1305</v>
      </c>
      <c r="F10" s="638"/>
      <c r="G10" s="638"/>
      <c r="H10" s="660">
        <v>0</v>
      </c>
      <c r="I10" s="638">
        <v>10</v>
      </c>
      <c r="J10" s="638">
        <v>3892.9013778723047</v>
      </c>
      <c r="K10" s="660">
        <v>1</v>
      </c>
      <c r="L10" s="638">
        <v>10</v>
      </c>
      <c r="M10" s="639">
        <v>3892.9013778723047</v>
      </c>
    </row>
    <row r="11" spans="1:13" ht="14.4" customHeight="1" x14ac:dyDescent="0.3">
      <c r="A11" s="634" t="s">
        <v>501</v>
      </c>
      <c r="B11" s="635" t="s">
        <v>1306</v>
      </c>
      <c r="C11" s="635" t="s">
        <v>1020</v>
      </c>
      <c r="D11" s="635" t="s">
        <v>1021</v>
      </c>
      <c r="E11" s="635" t="s">
        <v>1307</v>
      </c>
      <c r="F11" s="638"/>
      <c r="G11" s="638"/>
      <c r="H11" s="660">
        <v>0</v>
      </c>
      <c r="I11" s="638">
        <v>6</v>
      </c>
      <c r="J11" s="638">
        <v>20700</v>
      </c>
      <c r="K11" s="660">
        <v>1</v>
      </c>
      <c r="L11" s="638">
        <v>6</v>
      </c>
      <c r="M11" s="639">
        <v>20700</v>
      </c>
    </row>
    <row r="12" spans="1:13" ht="14.4" customHeight="1" x14ac:dyDescent="0.3">
      <c r="A12" s="634" t="s">
        <v>501</v>
      </c>
      <c r="B12" s="635" t="s">
        <v>1308</v>
      </c>
      <c r="C12" s="635" t="s">
        <v>1036</v>
      </c>
      <c r="D12" s="635" t="s">
        <v>1001</v>
      </c>
      <c r="E12" s="635" t="s">
        <v>1037</v>
      </c>
      <c r="F12" s="638"/>
      <c r="G12" s="638"/>
      <c r="H12" s="660">
        <v>0</v>
      </c>
      <c r="I12" s="638">
        <v>25</v>
      </c>
      <c r="J12" s="638">
        <v>3384.1505693608351</v>
      </c>
      <c r="K12" s="660">
        <v>1</v>
      </c>
      <c r="L12" s="638">
        <v>25</v>
      </c>
      <c r="M12" s="639">
        <v>3384.1505693608351</v>
      </c>
    </row>
    <row r="13" spans="1:13" ht="14.4" customHeight="1" x14ac:dyDescent="0.3">
      <c r="A13" s="634" t="s">
        <v>501</v>
      </c>
      <c r="B13" s="635" t="s">
        <v>1308</v>
      </c>
      <c r="C13" s="635" t="s">
        <v>1000</v>
      </c>
      <c r="D13" s="635" t="s">
        <v>1001</v>
      </c>
      <c r="E13" s="635" t="s">
        <v>1309</v>
      </c>
      <c r="F13" s="638"/>
      <c r="G13" s="638"/>
      <c r="H13" s="660">
        <v>0</v>
      </c>
      <c r="I13" s="638">
        <v>1</v>
      </c>
      <c r="J13" s="638">
        <v>47.33</v>
      </c>
      <c r="K13" s="660">
        <v>1</v>
      </c>
      <c r="L13" s="638">
        <v>1</v>
      </c>
      <c r="M13" s="639">
        <v>47.33</v>
      </c>
    </row>
    <row r="14" spans="1:13" ht="14.4" customHeight="1" x14ac:dyDescent="0.3">
      <c r="A14" s="634" t="s">
        <v>501</v>
      </c>
      <c r="B14" s="635" t="s">
        <v>1310</v>
      </c>
      <c r="C14" s="635" t="s">
        <v>1016</v>
      </c>
      <c r="D14" s="635" t="s">
        <v>1017</v>
      </c>
      <c r="E14" s="635" t="s">
        <v>1018</v>
      </c>
      <c r="F14" s="638"/>
      <c r="G14" s="638"/>
      <c r="H14" s="660">
        <v>0</v>
      </c>
      <c r="I14" s="638">
        <v>1</v>
      </c>
      <c r="J14" s="638">
        <v>79.83</v>
      </c>
      <c r="K14" s="660">
        <v>1</v>
      </c>
      <c r="L14" s="638">
        <v>1</v>
      </c>
      <c r="M14" s="639">
        <v>79.83</v>
      </c>
    </row>
    <row r="15" spans="1:13" ht="14.4" customHeight="1" x14ac:dyDescent="0.3">
      <c r="A15" s="634" t="s">
        <v>501</v>
      </c>
      <c r="B15" s="635" t="s">
        <v>1311</v>
      </c>
      <c r="C15" s="635" t="s">
        <v>1043</v>
      </c>
      <c r="D15" s="635" t="s">
        <v>1044</v>
      </c>
      <c r="E15" s="635" t="s">
        <v>1045</v>
      </c>
      <c r="F15" s="638"/>
      <c r="G15" s="638"/>
      <c r="H15" s="660">
        <v>0</v>
      </c>
      <c r="I15" s="638">
        <v>1</v>
      </c>
      <c r="J15" s="638">
        <v>64.540000000000006</v>
      </c>
      <c r="K15" s="660">
        <v>1</v>
      </c>
      <c r="L15" s="638">
        <v>1</v>
      </c>
      <c r="M15" s="639">
        <v>64.540000000000006</v>
      </c>
    </row>
    <row r="16" spans="1:13" ht="14.4" customHeight="1" x14ac:dyDescent="0.3">
      <c r="A16" s="634" t="s">
        <v>501</v>
      </c>
      <c r="B16" s="635" t="s">
        <v>1311</v>
      </c>
      <c r="C16" s="635" t="s">
        <v>1039</v>
      </c>
      <c r="D16" s="635" t="s">
        <v>1040</v>
      </c>
      <c r="E16" s="635" t="s">
        <v>1041</v>
      </c>
      <c r="F16" s="638"/>
      <c r="G16" s="638"/>
      <c r="H16" s="660">
        <v>0</v>
      </c>
      <c r="I16" s="638">
        <v>1</v>
      </c>
      <c r="J16" s="638">
        <v>151.12</v>
      </c>
      <c r="K16" s="660">
        <v>1</v>
      </c>
      <c r="L16" s="638">
        <v>1</v>
      </c>
      <c r="M16" s="639">
        <v>151.12</v>
      </c>
    </row>
    <row r="17" spans="1:13" ht="14.4" customHeight="1" x14ac:dyDescent="0.3">
      <c r="A17" s="634" t="s">
        <v>501</v>
      </c>
      <c r="B17" s="635" t="s">
        <v>1312</v>
      </c>
      <c r="C17" s="635" t="s">
        <v>841</v>
      </c>
      <c r="D17" s="635" t="s">
        <v>842</v>
      </c>
      <c r="E17" s="635" t="s">
        <v>1313</v>
      </c>
      <c r="F17" s="638"/>
      <c r="G17" s="638"/>
      <c r="H17" s="660">
        <v>0</v>
      </c>
      <c r="I17" s="638">
        <v>2</v>
      </c>
      <c r="J17" s="638">
        <v>159.87965826345686</v>
      </c>
      <c r="K17" s="660">
        <v>1</v>
      </c>
      <c r="L17" s="638">
        <v>2</v>
      </c>
      <c r="M17" s="639">
        <v>159.87965826345686</v>
      </c>
    </row>
    <row r="18" spans="1:13" ht="14.4" customHeight="1" x14ac:dyDescent="0.3">
      <c r="A18" s="634" t="s">
        <v>501</v>
      </c>
      <c r="B18" s="635" t="s">
        <v>1314</v>
      </c>
      <c r="C18" s="635" t="s">
        <v>1024</v>
      </c>
      <c r="D18" s="635" t="s">
        <v>1025</v>
      </c>
      <c r="E18" s="635" t="s">
        <v>1315</v>
      </c>
      <c r="F18" s="638"/>
      <c r="G18" s="638"/>
      <c r="H18" s="660">
        <v>0</v>
      </c>
      <c r="I18" s="638">
        <v>1</v>
      </c>
      <c r="J18" s="638">
        <v>140.94</v>
      </c>
      <c r="K18" s="660">
        <v>1</v>
      </c>
      <c r="L18" s="638">
        <v>1</v>
      </c>
      <c r="M18" s="639">
        <v>140.94</v>
      </c>
    </row>
    <row r="19" spans="1:13" ht="14.4" customHeight="1" x14ac:dyDescent="0.3">
      <c r="A19" s="634" t="s">
        <v>501</v>
      </c>
      <c r="B19" s="635" t="s">
        <v>1316</v>
      </c>
      <c r="C19" s="635" t="s">
        <v>1070</v>
      </c>
      <c r="D19" s="635" t="s">
        <v>1317</v>
      </c>
      <c r="E19" s="635" t="s">
        <v>1318</v>
      </c>
      <c r="F19" s="638"/>
      <c r="G19" s="638"/>
      <c r="H19" s="660">
        <v>0</v>
      </c>
      <c r="I19" s="638">
        <v>6</v>
      </c>
      <c r="J19" s="638">
        <v>8806.14</v>
      </c>
      <c r="K19" s="660">
        <v>1</v>
      </c>
      <c r="L19" s="638">
        <v>6</v>
      </c>
      <c r="M19" s="639">
        <v>8806.14</v>
      </c>
    </row>
    <row r="20" spans="1:13" ht="14.4" customHeight="1" x14ac:dyDescent="0.3">
      <c r="A20" s="634" t="s">
        <v>501</v>
      </c>
      <c r="B20" s="635" t="s">
        <v>1319</v>
      </c>
      <c r="C20" s="635" t="s">
        <v>996</v>
      </c>
      <c r="D20" s="635" t="s">
        <v>1320</v>
      </c>
      <c r="E20" s="635" t="s">
        <v>1321</v>
      </c>
      <c r="F20" s="638"/>
      <c r="G20" s="638"/>
      <c r="H20" s="660">
        <v>0</v>
      </c>
      <c r="I20" s="638">
        <v>4</v>
      </c>
      <c r="J20" s="638">
        <v>145.32</v>
      </c>
      <c r="K20" s="660">
        <v>1</v>
      </c>
      <c r="L20" s="638">
        <v>4</v>
      </c>
      <c r="M20" s="639">
        <v>145.32</v>
      </c>
    </row>
    <row r="21" spans="1:13" ht="14.4" customHeight="1" x14ac:dyDescent="0.3">
      <c r="A21" s="634" t="s">
        <v>501</v>
      </c>
      <c r="B21" s="635" t="s">
        <v>1322</v>
      </c>
      <c r="C21" s="635" t="s">
        <v>515</v>
      </c>
      <c r="D21" s="635" t="s">
        <v>516</v>
      </c>
      <c r="E21" s="635" t="s">
        <v>517</v>
      </c>
      <c r="F21" s="638">
        <v>1</v>
      </c>
      <c r="G21" s="638">
        <v>49.8</v>
      </c>
      <c r="H21" s="660">
        <v>1</v>
      </c>
      <c r="I21" s="638"/>
      <c r="J21" s="638"/>
      <c r="K21" s="660">
        <v>0</v>
      </c>
      <c r="L21" s="638">
        <v>1</v>
      </c>
      <c r="M21" s="639">
        <v>49.8</v>
      </c>
    </row>
    <row r="22" spans="1:13" ht="14.4" customHeight="1" x14ac:dyDescent="0.3">
      <c r="A22" s="634" t="s">
        <v>501</v>
      </c>
      <c r="B22" s="635" t="s">
        <v>1322</v>
      </c>
      <c r="C22" s="635" t="s">
        <v>1062</v>
      </c>
      <c r="D22" s="635" t="s">
        <v>1063</v>
      </c>
      <c r="E22" s="635" t="s">
        <v>1323</v>
      </c>
      <c r="F22" s="638"/>
      <c r="G22" s="638"/>
      <c r="H22" s="660">
        <v>0</v>
      </c>
      <c r="I22" s="638">
        <v>1</v>
      </c>
      <c r="J22" s="638">
        <v>97.57</v>
      </c>
      <c r="K22" s="660">
        <v>1</v>
      </c>
      <c r="L22" s="638">
        <v>1</v>
      </c>
      <c r="M22" s="639">
        <v>97.57</v>
      </c>
    </row>
    <row r="23" spans="1:13" ht="14.4" customHeight="1" x14ac:dyDescent="0.3">
      <c r="A23" s="634" t="s">
        <v>501</v>
      </c>
      <c r="B23" s="635" t="s">
        <v>1322</v>
      </c>
      <c r="C23" s="635" t="s">
        <v>1012</v>
      </c>
      <c r="D23" s="635" t="s">
        <v>1013</v>
      </c>
      <c r="E23" s="635" t="s">
        <v>1324</v>
      </c>
      <c r="F23" s="638"/>
      <c r="G23" s="638"/>
      <c r="H23" s="660">
        <v>0</v>
      </c>
      <c r="I23" s="638">
        <v>2</v>
      </c>
      <c r="J23" s="638">
        <v>124.1</v>
      </c>
      <c r="K23" s="660">
        <v>1</v>
      </c>
      <c r="L23" s="638">
        <v>2</v>
      </c>
      <c r="M23" s="639">
        <v>124.1</v>
      </c>
    </row>
    <row r="24" spans="1:13" ht="14.4" customHeight="1" x14ac:dyDescent="0.3">
      <c r="A24" s="634" t="s">
        <v>501</v>
      </c>
      <c r="B24" s="635" t="s">
        <v>1325</v>
      </c>
      <c r="C24" s="635" t="s">
        <v>1240</v>
      </c>
      <c r="D24" s="635" t="s">
        <v>1241</v>
      </c>
      <c r="E24" s="635" t="s">
        <v>1242</v>
      </c>
      <c r="F24" s="638"/>
      <c r="G24" s="638"/>
      <c r="H24" s="660">
        <v>0</v>
      </c>
      <c r="I24" s="638">
        <v>4</v>
      </c>
      <c r="J24" s="638">
        <v>50262.271999999997</v>
      </c>
      <c r="K24" s="660">
        <v>1</v>
      </c>
      <c r="L24" s="638">
        <v>4</v>
      </c>
      <c r="M24" s="639">
        <v>50262.271999999997</v>
      </c>
    </row>
    <row r="25" spans="1:13" ht="14.4" customHeight="1" x14ac:dyDescent="0.3">
      <c r="A25" s="634" t="s">
        <v>501</v>
      </c>
      <c r="B25" s="635" t="s">
        <v>1326</v>
      </c>
      <c r="C25" s="635" t="s">
        <v>1203</v>
      </c>
      <c r="D25" s="635" t="s">
        <v>1204</v>
      </c>
      <c r="E25" s="635" t="s">
        <v>1205</v>
      </c>
      <c r="F25" s="638"/>
      <c r="G25" s="638"/>
      <c r="H25" s="660">
        <v>0</v>
      </c>
      <c r="I25" s="638">
        <v>116</v>
      </c>
      <c r="J25" s="638">
        <v>5318.6020983607814</v>
      </c>
      <c r="K25" s="660">
        <v>1</v>
      </c>
      <c r="L25" s="638">
        <v>116</v>
      </c>
      <c r="M25" s="639">
        <v>5318.6020983607814</v>
      </c>
    </row>
    <row r="26" spans="1:13" ht="14.4" customHeight="1" x14ac:dyDescent="0.3">
      <c r="A26" s="634" t="s">
        <v>501</v>
      </c>
      <c r="B26" s="635" t="s">
        <v>1327</v>
      </c>
      <c r="C26" s="635" t="s">
        <v>1218</v>
      </c>
      <c r="D26" s="635" t="s">
        <v>1328</v>
      </c>
      <c r="E26" s="635" t="s">
        <v>1329</v>
      </c>
      <c r="F26" s="638"/>
      <c r="G26" s="638"/>
      <c r="H26" s="660">
        <v>0</v>
      </c>
      <c r="I26" s="638">
        <v>74.199999999999989</v>
      </c>
      <c r="J26" s="638">
        <v>7233.1725598223893</v>
      </c>
      <c r="K26" s="660">
        <v>1</v>
      </c>
      <c r="L26" s="638">
        <v>74.199999999999989</v>
      </c>
      <c r="M26" s="639">
        <v>7233.1725598223893</v>
      </c>
    </row>
    <row r="27" spans="1:13" ht="14.4" customHeight="1" x14ac:dyDescent="0.3">
      <c r="A27" s="634" t="s">
        <v>501</v>
      </c>
      <c r="B27" s="635" t="s">
        <v>1327</v>
      </c>
      <c r="C27" s="635" t="s">
        <v>1226</v>
      </c>
      <c r="D27" s="635" t="s">
        <v>1330</v>
      </c>
      <c r="E27" s="635" t="s">
        <v>1331</v>
      </c>
      <c r="F27" s="638"/>
      <c r="G27" s="638"/>
      <c r="H27" s="660">
        <v>0</v>
      </c>
      <c r="I27" s="638">
        <v>1</v>
      </c>
      <c r="J27" s="638">
        <v>252.54120453477299</v>
      </c>
      <c r="K27" s="660">
        <v>1</v>
      </c>
      <c r="L27" s="638">
        <v>1</v>
      </c>
      <c r="M27" s="639">
        <v>252.54120453477299</v>
      </c>
    </row>
    <row r="28" spans="1:13" ht="14.4" customHeight="1" x14ac:dyDescent="0.3">
      <c r="A28" s="634" t="s">
        <v>501</v>
      </c>
      <c r="B28" s="635" t="s">
        <v>1332</v>
      </c>
      <c r="C28" s="635" t="s">
        <v>1215</v>
      </c>
      <c r="D28" s="635" t="s">
        <v>1216</v>
      </c>
      <c r="E28" s="635" t="s">
        <v>1333</v>
      </c>
      <c r="F28" s="638"/>
      <c r="G28" s="638"/>
      <c r="H28" s="660">
        <v>0</v>
      </c>
      <c r="I28" s="638">
        <v>6.6999999999999984</v>
      </c>
      <c r="J28" s="638">
        <v>1386.9024700198454</v>
      </c>
      <c r="K28" s="660">
        <v>1</v>
      </c>
      <c r="L28" s="638">
        <v>6.6999999999999984</v>
      </c>
      <c r="M28" s="639">
        <v>1386.9024700198454</v>
      </c>
    </row>
    <row r="29" spans="1:13" ht="14.4" customHeight="1" x14ac:dyDescent="0.3">
      <c r="A29" s="634" t="s">
        <v>501</v>
      </c>
      <c r="B29" s="635" t="s">
        <v>1334</v>
      </c>
      <c r="C29" s="635" t="s">
        <v>1222</v>
      </c>
      <c r="D29" s="635" t="s">
        <v>1335</v>
      </c>
      <c r="E29" s="635" t="s">
        <v>1205</v>
      </c>
      <c r="F29" s="638"/>
      <c r="G29" s="638"/>
      <c r="H29" s="660">
        <v>0</v>
      </c>
      <c r="I29" s="638">
        <v>42</v>
      </c>
      <c r="J29" s="638">
        <v>3159.2490000000003</v>
      </c>
      <c r="K29" s="660">
        <v>1</v>
      </c>
      <c r="L29" s="638">
        <v>42</v>
      </c>
      <c r="M29" s="639">
        <v>3159.2490000000003</v>
      </c>
    </row>
    <row r="30" spans="1:13" ht="14.4" customHeight="1" x14ac:dyDescent="0.3">
      <c r="A30" s="634" t="s">
        <v>501</v>
      </c>
      <c r="B30" s="635" t="s">
        <v>1336</v>
      </c>
      <c r="C30" s="635" t="s">
        <v>1132</v>
      </c>
      <c r="D30" s="635" t="s">
        <v>1133</v>
      </c>
      <c r="E30" s="635" t="s">
        <v>1134</v>
      </c>
      <c r="F30" s="638">
        <v>20</v>
      </c>
      <c r="G30" s="638">
        <v>705.19999999999993</v>
      </c>
      <c r="H30" s="660">
        <v>1</v>
      </c>
      <c r="I30" s="638"/>
      <c r="J30" s="638"/>
      <c r="K30" s="660">
        <v>0</v>
      </c>
      <c r="L30" s="638">
        <v>20</v>
      </c>
      <c r="M30" s="639">
        <v>705.19999999999993</v>
      </c>
    </row>
    <row r="31" spans="1:13" ht="14.4" customHeight="1" x14ac:dyDescent="0.3">
      <c r="A31" s="634" t="s">
        <v>501</v>
      </c>
      <c r="B31" s="635" t="s">
        <v>1337</v>
      </c>
      <c r="C31" s="635" t="s">
        <v>1243</v>
      </c>
      <c r="D31" s="635" t="s">
        <v>1244</v>
      </c>
      <c r="E31" s="635" t="s">
        <v>1245</v>
      </c>
      <c r="F31" s="638"/>
      <c r="G31" s="638"/>
      <c r="H31" s="660">
        <v>0</v>
      </c>
      <c r="I31" s="638">
        <v>7</v>
      </c>
      <c r="J31" s="638">
        <v>12160.979039499343</v>
      </c>
      <c r="K31" s="660">
        <v>1</v>
      </c>
      <c r="L31" s="638">
        <v>7</v>
      </c>
      <c r="M31" s="639">
        <v>12160.979039499343</v>
      </c>
    </row>
    <row r="32" spans="1:13" ht="14.4" customHeight="1" x14ac:dyDescent="0.3">
      <c r="A32" s="634" t="s">
        <v>501</v>
      </c>
      <c r="B32" s="635" t="s">
        <v>1338</v>
      </c>
      <c r="C32" s="635" t="s">
        <v>1211</v>
      </c>
      <c r="D32" s="635" t="s">
        <v>1212</v>
      </c>
      <c r="E32" s="635" t="s">
        <v>1339</v>
      </c>
      <c r="F32" s="638"/>
      <c r="G32" s="638"/>
      <c r="H32" s="660">
        <v>0</v>
      </c>
      <c r="I32" s="638">
        <v>30</v>
      </c>
      <c r="J32" s="638">
        <v>7867.3</v>
      </c>
      <c r="K32" s="660">
        <v>1</v>
      </c>
      <c r="L32" s="638">
        <v>30</v>
      </c>
      <c r="M32" s="639">
        <v>7867.3</v>
      </c>
    </row>
    <row r="33" spans="1:13" ht="14.4" customHeight="1" x14ac:dyDescent="0.3">
      <c r="A33" s="634" t="s">
        <v>501</v>
      </c>
      <c r="B33" s="635" t="s">
        <v>1340</v>
      </c>
      <c r="C33" s="635" t="s">
        <v>1233</v>
      </c>
      <c r="D33" s="635" t="s">
        <v>1237</v>
      </c>
      <c r="E33" s="635" t="s">
        <v>1341</v>
      </c>
      <c r="F33" s="638"/>
      <c r="G33" s="638"/>
      <c r="H33" s="660">
        <v>0</v>
      </c>
      <c r="I33" s="638">
        <v>2</v>
      </c>
      <c r="J33" s="638">
        <v>148</v>
      </c>
      <c r="K33" s="660">
        <v>1</v>
      </c>
      <c r="L33" s="638">
        <v>2</v>
      </c>
      <c r="M33" s="639">
        <v>148</v>
      </c>
    </row>
    <row r="34" spans="1:13" ht="14.4" customHeight="1" x14ac:dyDescent="0.3">
      <c r="A34" s="634" t="s">
        <v>501</v>
      </c>
      <c r="B34" s="635" t="s">
        <v>1340</v>
      </c>
      <c r="C34" s="635" t="s">
        <v>1199</v>
      </c>
      <c r="D34" s="635" t="s">
        <v>1237</v>
      </c>
      <c r="E34" s="635" t="s">
        <v>1342</v>
      </c>
      <c r="F34" s="638"/>
      <c r="G34" s="638"/>
      <c r="H34" s="660">
        <v>0</v>
      </c>
      <c r="I34" s="638">
        <v>93</v>
      </c>
      <c r="J34" s="638">
        <v>8239.8260186587413</v>
      </c>
      <c r="K34" s="660">
        <v>1</v>
      </c>
      <c r="L34" s="638">
        <v>93</v>
      </c>
      <c r="M34" s="639">
        <v>8239.8260186587413</v>
      </c>
    </row>
    <row r="35" spans="1:13" ht="14.4" customHeight="1" x14ac:dyDescent="0.3">
      <c r="A35" s="634" t="s">
        <v>501</v>
      </c>
      <c r="B35" s="635" t="s">
        <v>1340</v>
      </c>
      <c r="C35" s="635" t="s">
        <v>1236</v>
      </c>
      <c r="D35" s="635" t="s">
        <v>1237</v>
      </c>
      <c r="E35" s="635" t="s">
        <v>1238</v>
      </c>
      <c r="F35" s="638"/>
      <c r="G35" s="638"/>
      <c r="H35" s="660">
        <v>0</v>
      </c>
      <c r="I35" s="638">
        <v>16</v>
      </c>
      <c r="J35" s="638">
        <v>956.63216325638996</v>
      </c>
      <c r="K35" s="660">
        <v>1</v>
      </c>
      <c r="L35" s="638">
        <v>16</v>
      </c>
      <c r="M35" s="639">
        <v>956.63216325638996</v>
      </c>
    </row>
    <row r="36" spans="1:13" ht="14.4" customHeight="1" x14ac:dyDescent="0.3">
      <c r="A36" s="634" t="s">
        <v>501</v>
      </c>
      <c r="B36" s="635" t="s">
        <v>1343</v>
      </c>
      <c r="C36" s="635" t="s">
        <v>1230</v>
      </c>
      <c r="D36" s="635" t="s">
        <v>1231</v>
      </c>
      <c r="E36" s="635" t="s">
        <v>1344</v>
      </c>
      <c r="F36" s="638"/>
      <c r="G36" s="638"/>
      <c r="H36" s="660">
        <v>0</v>
      </c>
      <c r="I36" s="638">
        <v>2</v>
      </c>
      <c r="J36" s="638">
        <v>108.86</v>
      </c>
      <c r="K36" s="660">
        <v>1</v>
      </c>
      <c r="L36" s="638">
        <v>2</v>
      </c>
      <c r="M36" s="639">
        <v>108.86</v>
      </c>
    </row>
    <row r="37" spans="1:13" ht="14.4" customHeight="1" x14ac:dyDescent="0.3">
      <c r="A37" s="634" t="s">
        <v>501</v>
      </c>
      <c r="B37" s="635" t="s">
        <v>1345</v>
      </c>
      <c r="C37" s="635" t="s">
        <v>1207</v>
      </c>
      <c r="D37" s="635" t="s">
        <v>1346</v>
      </c>
      <c r="E37" s="635" t="s">
        <v>1344</v>
      </c>
      <c r="F37" s="638"/>
      <c r="G37" s="638"/>
      <c r="H37" s="660">
        <v>0</v>
      </c>
      <c r="I37" s="638">
        <v>71</v>
      </c>
      <c r="J37" s="638">
        <v>5303.7034777591452</v>
      </c>
      <c r="K37" s="660">
        <v>1</v>
      </c>
      <c r="L37" s="638">
        <v>71</v>
      </c>
      <c r="M37" s="639">
        <v>5303.7034777591452</v>
      </c>
    </row>
    <row r="38" spans="1:13" ht="14.4" customHeight="1" x14ac:dyDescent="0.3">
      <c r="A38" s="634" t="s">
        <v>501</v>
      </c>
      <c r="B38" s="635" t="s">
        <v>1347</v>
      </c>
      <c r="C38" s="635" t="s">
        <v>1163</v>
      </c>
      <c r="D38" s="635" t="s">
        <v>1348</v>
      </c>
      <c r="E38" s="635" t="s">
        <v>1349</v>
      </c>
      <c r="F38" s="638"/>
      <c r="G38" s="638"/>
      <c r="H38" s="660">
        <v>0</v>
      </c>
      <c r="I38" s="638">
        <v>40</v>
      </c>
      <c r="J38" s="638">
        <v>4227.3999999999996</v>
      </c>
      <c r="K38" s="660">
        <v>1</v>
      </c>
      <c r="L38" s="638">
        <v>40</v>
      </c>
      <c r="M38" s="639">
        <v>4227.3999999999996</v>
      </c>
    </row>
    <row r="39" spans="1:13" ht="14.4" customHeight="1" x14ac:dyDescent="0.3">
      <c r="A39" s="634" t="s">
        <v>501</v>
      </c>
      <c r="B39" s="635" t="s">
        <v>1347</v>
      </c>
      <c r="C39" s="635" t="s">
        <v>1167</v>
      </c>
      <c r="D39" s="635" t="s">
        <v>1350</v>
      </c>
      <c r="E39" s="635" t="s">
        <v>1134</v>
      </c>
      <c r="F39" s="638"/>
      <c r="G39" s="638"/>
      <c r="H39" s="660">
        <v>0</v>
      </c>
      <c r="I39" s="638">
        <v>20</v>
      </c>
      <c r="J39" s="638">
        <v>5263.4000000000005</v>
      </c>
      <c r="K39" s="660">
        <v>1</v>
      </c>
      <c r="L39" s="638">
        <v>20</v>
      </c>
      <c r="M39" s="639">
        <v>5263.4000000000005</v>
      </c>
    </row>
    <row r="40" spans="1:13" ht="14.4" customHeight="1" x14ac:dyDescent="0.3">
      <c r="A40" s="634" t="s">
        <v>501</v>
      </c>
      <c r="B40" s="635" t="s">
        <v>1351</v>
      </c>
      <c r="C40" s="635" t="s">
        <v>1251</v>
      </c>
      <c r="D40" s="635" t="s">
        <v>1352</v>
      </c>
      <c r="E40" s="635" t="s">
        <v>1353</v>
      </c>
      <c r="F40" s="638"/>
      <c r="G40" s="638"/>
      <c r="H40" s="660">
        <v>0</v>
      </c>
      <c r="I40" s="638">
        <v>200</v>
      </c>
      <c r="J40" s="638">
        <v>11728.829413530535</v>
      </c>
      <c r="K40" s="660">
        <v>1</v>
      </c>
      <c r="L40" s="638">
        <v>200</v>
      </c>
      <c r="M40" s="639">
        <v>11728.829413530535</v>
      </c>
    </row>
    <row r="41" spans="1:13" ht="14.4" customHeight="1" x14ac:dyDescent="0.3">
      <c r="A41" s="634" t="s">
        <v>501</v>
      </c>
      <c r="B41" s="635" t="s">
        <v>1354</v>
      </c>
      <c r="C41" s="635" t="s">
        <v>1254</v>
      </c>
      <c r="D41" s="635" t="s">
        <v>1255</v>
      </c>
      <c r="E41" s="635" t="s">
        <v>1256</v>
      </c>
      <c r="F41" s="638"/>
      <c r="G41" s="638"/>
      <c r="H41" s="660">
        <v>0</v>
      </c>
      <c r="I41" s="638">
        <v>5</v>
      </c>
      <c r="J41" s="638">
        <v>14916.970000000001</v>
      </c>
      <c r="K41" s="660">
        <v>1</v>
      </c>
      <c r="L41" s="638">
        <v>5</v>
      </c>
      <c r="M41" s="639">
        <v>14916.970000000001</v>
      </c>
    </row>
    <row r="42" spans="1:13" ht="14.4" customHeight="1" x14ac:dyDescent="0.3">
      <c r="A42" s="634" t="s">
        <v>501</v>
      </c>
      <c r="B42" s="635" t="s">
        <v>1355</v>
      </c>
      <c r="C42" s="635" t="s">
        <v>506</v>
      </c>
      <c r="D42" s="635" t="s">
        <v>1356</v>
      </c>
      <c r="E42" s="635" t="s">
        <v>1357</v>
      </c>
      <c r="F42" s="638">
        <v>20</v>
      </c>
      <c r="G42" s="638">
        <v>5214.5934947252754</v>
      </c>
      <c r="H42" s="660">
        <v>1</v>
      </c>
      <c r="I42" s="638"/>
      <c r="J42" s="638"/>
      <c r="K42" s="660">
        <v>0</v>
      </c>
      <c r="L42" s="638">
        <v>20</v>
      </c>
      <c r="M42" s="639">
        <v>5214.5934947252754</v>
      </c>
    </row>
    <row r="43" spans="1:13" ht="14.4" customHeight="1" x14ac:dyDescent="0.3">
      <c r="A43" s="634" t="s">
        <v>501</v>
      </c>
      <c r="B43" s="635" t="s">
        <v>1358</v>
      </c>
      <c r="C43" s="635" t="s">
        <v>512</v>
      </c>
      <c r="D43" s="635" t="s">
        <v>513</v>
      </c>
      <c r="E43" s="635" t="s">
        <v>514</v>
      </c>
      <c r="F43" s="638">
        <v>1</v>
      </c>
      <c r="G43" s="638">
        <v>900.00070203790347</v>
      </c>
      <c r="H43" s="660">
        <v>1</v>
      </c>
      <c r="I43" s="638"/>
      <c r="J43" s="638"/>
      <c r="K43" s="660">
        <v>0</v>
      </c>
      <c r="L43" s="638">
        <v>1</v>
      </c>
      <c r="M43" s="639">
        <v>900.00070203790347</v>
      </c>
    </row>
    <row r="44" spans="1:13" ht="14.4" customHeight="1" x14ac:dyDescent="0.3">
      <c r="A44" s="634" t="s">
        <v>501</v>
      </c>
      <c r="B44" s="635" t="s">
        <v>1358</v>
      </c>
      <c r="C44" s="635" t="s">
        <v>1058</v>
      </c>
      <c r="D44" s="635" t="s">
        <v>1059</v>
      </c>
      <c r="E44" s="635" t="s">
        <v>1060</v>
      </c>
      <c r="F44" s="638"/>
      <c r="G44" s="638"/>
      <c r="H44" s="660">
        <v>0</v>
      </c>
      <c r="I44" s="638">
        <v>7</v>
      </c>
      <c r="J44" s="638">
        <v>6230.7000000000016</v>
      </c>
      <c r="K44" s="660">
        <v>1</v>
      </c>
      <c r="L44" s="638">
        <v>7</v>
      </c>
      <c r="M44" s="639">
        <v>6230.7000000000016</v>
      </c>
    </row>
    <row r="45" spans="1:13" ht="14.4" customHeight="1" x14ac:dyDescent="0.3">
      <c r="A45" s="634" t="s">
        <v>501</v>
      </c>
      <c r="B45" s="635" t="s">
        <v>1359</v>
      </c>
      <c r="C45" s="635" t="s">
        <v>1032</v>
      </c>
      <c r="D45" s="635" t="s">
        <v>1360</v>
      </c>
      <c r="E45" s="635" t="s">
        <v>1361</v>
      </c>
      <c r="F45" s="638"/>
      <c r="G45" s="638"/>
      <c r="H45" s="660">
        <v>0</v>
      </c>
      <c r="I45" s="638">
        <v>1</v>
      </c>
      <c r="J45" s="638">
        <v>337.15</v>
      </c>
      <c r="K45" s="660">
        <v>1</v>
      </c>
      <c r="L45" s="638">
        <v>1</v>
      </c>
      <c r="M45" s="639">
        <v>337.15</v>
      </c>
    </row>
    <row r="46" spans="1:13" ht="14.4" customHeight="1" x14ac:dyDescent="0.3">
      <c r="A46" s="634" t="s">
        <v>501</v>
      </c>
      <c r="B46" s="635" t="s">
        <v>1362</v>
      </c>
      <c r="C46" s="635" t="s">
        <v>518</v>
      </c>
      <c r="D46" s="635" t="s">
        <v>519</v>
      </c>
      <c r="E46" s="635" t="s">
        <v>520</v>
      </c>
      <c r="F46" s="638">
        <v>13</v>
      </c>
      <c r="G46" s="638">
        <v>6591.8540000000048</v>
      </c>
      <c r="H46" s="660">
        <v>1</v>
      </c>
      <c r="I46" s="638"/>
      <c r="J46" s="638"/>
      <c r="K46" s="660">
        <v>0</v>
      </c>
      <c r="L46" s="638">
        <v>13</v>
      </c>
      <c r="M46" s="639">
        <v>6591.8540000000048</v>
      </c>
    </row>
    <row r="47" spans="1:13" ht="14.4" customHeight="1" x14ac:dyDescent="0.3">
      <c r="A47" s="634" t="s">
        <v>501</v>
      </c>
      <c r="B47" s="635" t="s">
        <v>1363</v>
      </c>
      <c r="C47" s="635" t="s">
        <v>1066</v>
      </c>
      <c r="D47" s="635" t="s">
        <v>1067</v>
      </c>
      <c r="E47" s="635" t="s">
        <v>1364</v>
      </c>
      <c r="F47" s="638"/>
      <c r="G47" s="638"/>
      <c r="H47" s="660">
        <v>0</v>
      </c>
      <c r="I47" s="638">
        <v>1</v>
      </c>
      <c r="J47" s="638">
        <v>162.36000000000004</v>
      </c>
      <c r="K47" s="660">
        <v>1</v>
      </c>
      <c r="L47" s="638">
        <v>1</v>
      </c>
      <c r="M47" s="639">
        <v>162.36000000000004</v>
      </c>
    </row>
    <row r="48" spans="1:13" ht="14.4" customHeight="1" x14ac:dyDescent="0.3">
      <c r="A48" s="634" t="s">
        <v>501</v>
      </c>
      <c r="B48" s="635" t="s">
        <v>1365</v>
      </c>
      <c r="C48" s="635" t="s">
        <v>1028</v>
      </c>
      <c r="D48" s="635" t="s">
        <v>1029</v>
      </c>
      <c r="E48" s="635" t="s">
        <v>1030</v>
      </c>
      <c r="F48" s="638"/>
      <c r="G48" s="638"/>
      <c r="H48" s="660">
        <v>0</v>
      </c>
      <c r="I48" s="638">
        <v>6</v>
      </c>
      <c r="J48" s="638">
        <v>512.87999999999988</v>
      </c>
      <c r="K48" s="660">
        <v>1</v>
      </c>
      <c r="L48" s="638">
        <v>6</v>
      </c>
      <c r="M48" s="639">
        <v>512.87999999999988</v>
      </c>
    </row>
    <row r="49" spans="1:13" ht="14.4" customHeight="1" x14ac:dyDescent="0.3">
      <c r="A49" s="634" t="s">
        <v>501</v>
      </c>
      <c r="B49" s="635" t="s">
        <v>1366</v>
      </c>
      <c r="C49" s="635" t="s">
        <v>1126</v>
      </c>
      <c r="D49" s="635" t="s">
        <v>1367</v>
      </c>
      <c r="E49" s="635" t="s">
        <v>1006</v>
      </c>
      <c r="F49" s="638"/>
      <c r="G49" s="638"/>
      <c r="H49" s="660">
        <v>0</v>
      </c>
      <c r="I49" s="638">
        <v>105</v>
      </c>
      <c r="J49" s="638">
        <v>4259.8501888886958</v>
      </c>
      <c r="K49" s="660">
        <v>1</v>
      </c>
      <c r="L49" s="638">
        <v>105</v>
      </c>
      <c r="M49" s="639">
        <v>4259.8501888886958</v>
      </c>
    </row>
    <row r="50" spans="1:13" ht="14.4" customHeight="1" x14ac:dyDescent="0.3">
      <c r="A50" s="634" t="s">
        <v>501</v>
      </c>
      <c r="B50" s="635" t="s">
        <v>1366</v>
      </c>
      <c r="C50" s="635" t="s">
        <v>1106</v>
      </c>
      <c r="D50" s="635" t="s">
        <v>1368</v>
      </c>
      <c r="E50" s="635" t="s">
        <v>1006</v>
      </c>
      <c r="F50" s="638"/>
      <c r="G50" s="638"/>
      <c r="H50" s="660">
        <v>0</v>
      </c>
      <c r="I50" s="638">
        <v>14</v>
      </c>
      <c r="J50" s="638">
        <v>567.98004895541999</v>
      </c>
      <c r="K50" s="660">
        <v>1</v>
      </c>
      <c r="L50" s="638">
        <v>14</v>
      </c>
      <c r="M50" s="639">
        <v>567.98004895541999</v>
      </c>
    </row>
    <row r="51" spans="1:13" ht="14.4" customHeight="1" x14ac:dyDescent="0.3">
      <c r="A51" s="634" t="s">
        <v>501</v>
      </c>
      <c r="B51" s="635" t="s">
        <v>1366</v>
      </c>
      <c r="C51" s="635" t="s">
        <v>1109</v>
      </c>
      <c r="D51" s="635" t="s">
        <v>1369</v>
      </c>
      <c r="E51" s="635" t="s">
        <v>1006</v>
      </c>
      <c r="F51" s="638"/>
      <c r="G51" s="638"/>
      <c r="H51" s="660">
        <v>0</v>
      </c>
      <c r="I51" s="638">
        <v>32</v>
      </c>
      <c r="J51" s="638">
        <v>1731.8399999999997</v>
      </c>
      <c r="K51" s="660">
        <v>1</v>
      </c>
      <c r="L51" s="638">
        <v>32</v>
      </c>
      <c r="M51" s="639">
        <v>1731.8399999999997</v>
      </c>
    </row>
    <row r="52" spans="1:13" ht="14.4" customHeight="1" x14ac:dyDescent="0.3">
      <c r="A52" s="634" t="s">
        <v>501</v>
      </c>
      <c r="B52" s="635" t="s">
        <v>1366</v>
      </c>
      <c r="C52" s="635" t="s">
        <v>1112</v>
      </c>
      <c r="D52" s="635" t="s">
        <v>1370</v>
      </c>
      <c r="E52" s="635" t="s">
        <v>1006</v>
      </c>
      <c r="F52" s="638"/>
      <c r="G52" s="638"/>
      <c r="H52" s="660">
        <v>0</v>
      </c>
      <c r="I52" s="638">
        <v>20</v>
      </c>
      <c r="J52" s="638">
        <v>1082.3999999999999</v>
      </c>
      <c r="K52" s="660">
        <v>1</v>
      </c>
      <c r="L52" s="638">
        <v>20</v>
      </c>
      <c r="M52" s="639">
        <v>1082.3999999999999</v>
      </c>
    </row>
    <row r="53" spans="1:13" ht="14.4" customHeight="1" x14ac:dyDescent="0.3">
      <c r="A53" s="634" t="s">
        <v>501</v>
      </c>
      <c r="B53" s="635" t="s">
        <v>1366</v>
      </c>
      <c r="C53" s="635" t="s">
        <v>1004</v>
      </c>
      <c r="D53" s="635" t="s">
        <v>1371</v>
      </c>
      <c r="E53" s="635" t="s">
        <v>1006</v>
      </c>
      <c r="F53" s="638"/>
      <c r="G53" s="638"/>
      <c r="H53" s="660">
        <v>0</v>
      </c>
      <c r="I53" s="638">
        <v>14</v>
      </c>
      <c r="J53" s="638">
        <v>762.4400219054487</v>
      </c>
      <c r="K53" s="660">
        <v>1</v>
      </c>
      <c r="L53" s="638">
        <v>14</v>
      </c>
      <c r="M53" s="639">
        <v>762.4400219054487</v>
      </c>
    </row>
    <row r="54" spans="1:13" ht="14.4" customHeight="1" x14ac:dyDescent="0.3">
      <c r="A54" s="634" t="s">
        <v>501</v>
      </c>
      <c r="B54" s="635" t="s">
        <v>1366</v>
      </c>
      <c r="C54" s="635" t="s">
        <v>1117</v>
      </c>
      <c r="D54" s="635" t="s">
        <v>1118</v>
      </c>
      <c r="E54" s="635" t="s">
        <v>1119</v>
      </c>
      <c r="F54" s="638"/>
      <c r="G54" s="638"/>
      <c r="H54" s="660">
        <v>0</v>
      </c>
      <c r="I54" s="638">
        <v>29</v>
      </c>
      <c r="J54" s="638">
        <v>12324.42</v>
      </c>
      <c r="K54" s="660">
        <v>1</v>
      </c>
      <c r="L54" s="638">
        <v>29</v>
      </c>
      <c r="M54" s="639">
        <v>12324.42</v>
      </c>
    </row>
    <row r="55" spans="1:13" ht="14.4" customHeight="1" x14ac:dyDescent="0.3">
      <c r="A55" s="634" t="s">
        <v>501</v>
      </c>
      <c r="B55" s="635" t="s">
        <v>1366</v>
      </c>
      <c r="C55" s="635" t="s">
        <v>1115</v>
      </c>
      <c r="D55" s="635" t="s">
        <v>1116</v>
      </c>
      <c r="E55" s="635" t="s">
        <v>1006</v>
      </c>
      <c r="F55" s="638"/>
      <c r="G55" s="638"/>
      <c r="H55" s="660">
        <v>0</v>
      </c>
      <c r="I55" s="638">
        <v>28</v>
      </c>
      <c r="J55" s="638">
        <v>1197.2800343987144</v>
      </c>
      <c r="K55" s="660">
        <v>1</v>
      </c>
      <c r="L55" s="638">
        <v>28</v>
      </c>
      <c r="M55" s="639">
        <v>1197.2800343987144</v>
      </c>
    </row>
    <row r="56" spans="1:13" ht="14.4" customHeight="1" x14ac:dyDescent="0.3">
      <c r="A56" s="634" t="s">
        <v>501</v>
      </c>
      <c r="B56" s="635" t="s">
        <v>1366</v>
      </c>
      <c r="C56" s="635" t="s">
        <v>1120</v>
      </c>
      <c r="D56" s="635" t="s">
        <v>1121</v>
      </c>
      <c r="E56" s="635" t="s">
        <v>1119</v>
      </c>
      <c r="F56" s="638"/>
      <c r="G56" s="638"/>
      <c r="H56" s="660">
        <v>0</v>
      </c>
      <c r="I56" s="638">
        <v>32</v>
      </c>
      <c r="J56" s="638">
        <v>5867.8358111703292</v>
      </c>
      <c r="K56" s="660">
        <v>1</v>
      </c>
      <c r="L56" s="638">
        <v>32</v>
      </c>
      <c r="M56" s="639">
        <v>5867.8358111703292</v>
      </c>
    </row>
    <row r="57" spans="1:13" ht="14.4" customHeight="1" x14ac:dyDescent="0.3">
      <c r="A57" s="634" t="s">
        <v>501</v>
      </c>
      <c r="B57" s="635" t="s">
        <v>1366</v>
      </c>
      <c r="C57" s="635" t="s">
        <v>509</v>
      </c>
      <c r="D57" s="635" t="s">
        <v>510</v>
      </c>
      <c r="E57" s="635" t="s">
        <v>511</v>
      </c>
      <c r="F57" s="638">
        <v>2</v>
      </c>
      <c r="G57" s="638">
        <v>443.37999999999994</v>
      </c>
      <c r="H57" s="660">
        <v>1</v>
      </c>
      <c r="I57" s="638"/>
      <c r="J57" s="638"/>
      <c r="K57" s="660">
        <v>0</v>
      </c>
      <c r="L57" s="638">
        <v>2</v>
      </c>
      <c r="M57" s="639">
        <v>443.37999999999994</v>
      </c>
    </row>
    <row r="58" spans="1:13" ht="14.4" customHeight="1" x14ac:dyDescent="0.3">
      <c r="A58" s="634" t="s">
        <v>501</v>
      </c>
      <c r="B58" s="635" t="s">
        <v>1366</v>
      </c>
      <c r="C58" s="635" t="s">
        <v>1129</v>
      </c>
      <c r="D58" s="635" t="s">
        <v>1372</v>
      </c>
      <c r="E58" s="635" t="s">
        <v>1006</v>
      </c>
      <c r="F58" s="638"/>
      <c r="G58" s="638"/>
      <c r="H58" s="660">
        <v>0</v>
      </c>
      <c r="I58" s="638">
        <v>86</v>
      </c>
      <c r="J58" s="638">
        <v>3489.0193521997521</v>
      </c>
      <c r="K58" s="660">
        <v>1</v>
      </c>
      <c r="L58" s="638">
        <v>86</v>
      </c>
      <c r="M58" s="639">
        <v>3489.0193521997521</v>
      </c>
    </row>
    <row r="59" spans="1:13" ht="14.4" customHeight="1" thickBot="1" x14ac:dyDescent="0.35">
      <c r="A59" s="640" t="s">
        <v>501</v>
      </c>
      <c r="B59" s="641" t="s">
        <v>1366</v>
      </c>
      <c r="C59" s="641" t="s">
        <v>1122</v>
      </c>
      <c r="D59" s="641" t="s">
        <v>1123</v>
      </c>
      <c r="E59" s="641" t="s">
        <v>1124</v>
      </c>
      <c r="F59" s="644"/>
      <c r="G59" s="644"/>
      <c r="H59" s="652">
        <v>0</v>
      </c>
      <c r="I59" s="644">
        <v>1</v>
      </c>
      <c r="J59" s="644">
        <v>148.07</v>
      </c>
      <c r="K59" s="652">
        <v>1</v>
      </c>
      <c r="L59" s="644">
        <v>1</v>
      </c>
      <c r="M59" s="645">
        <v>148.07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60" customWidth="1"/>
    <col min="2" max="2" width="34.21875" style="260" customWidth="1"/>
    <col min="3" max="3" width="11.109375" style="260" bestFit="1" customWidth="1"/>
    <col min="4" max="4" width="7.33203125" style="260" bestFit="1" customWidth="1"/>
    <col min="5" max="5" width="11.109375" style="260" bestFit="1" customWidth="1"/>
    <col min="6" max="6" width="5.33203125" style="260" customWidth="1"/>
    <col min="7" max="7" width="7.33203125" style="260" bestFit="1" customWidth="1"/>
    <col min="8" max="8" width="5.33203125" style="260" customWidth="1"/>
    <col min="9" max="9" width="11.109375" style="260" customWidth="1"/>
    <col min="10" max="10" width="5.33203125" style="260" customWidth="1"/>
    <col min="11" max="11" width="7.33203125" style="260" customWidth="1"/>
    <col min="12" max="12" width="5.33203125" style="260" customWidth="1"/>
    <col min="13" max="13" width="0" style="260" hidden="1" customWidth="1"/>
    <col min="14" max="16384" width="8.88671875" style="260"/>
  </cols>
  <sheetData>
    <row r="1" spans="1:14" ht="18.600000000000001" customHeight="1" thickBot="1" x14ac:dyDescent="0.4">
      <c r="A1" s="496" t="s">
        <v>181</v>
      </c>
      <c r="B1" s="496"/>
      <c r="C1" s="496"/>
      <c r="D1" s="496"/>
      <c r="E1" s="496"/>
      <c r="F1" s="496"/>
      <c r="G1" s="496"/>
      <c r="H1" s="496"/>
      <c r="I1" s="465"/>
      <c r="J1" s="465"/>
      <c r="K1" s="465"/>
      <c r="L1" s="465"/>
    </row>
    <row r="2" spans="1:14" ht="14.4" customHeight="1" thickBot="1" x14ac:dyDescent="0.35">
      <c r="A2" s="389" t="s">
        <v>298</v>
      </c>
      <c r="B2" s="342"/>
      <c r="C2" s="342"/>
      <c r="D2" s="342"/>
      <c r="E2" s="342"/>
      <c r="F2" s="342"/>
      <c r="G2" s="342"/>
      <c r="H2" s="342"/>
    </row>
    <row r="3" spans="1:14" ht="14.4" customHeight="1" thickBot="1" x14ac:dyDescent="0.35">
      <c r="A3" s="275"/>
      <c r="B3" s="275"/>
      <c r="C3" s="507" t="s">
        <v>18</v>
      </c>
      <c r="D3" s="506"/>
      <c r="E3" s="506" t="s">
        <v>19</v>
      </c>
      <c r="F3" s="506"/>
      <c r="G3" s="506"/>
      <c r="H3" s="506"/>
      <c r="I3" s="506" t="s">
        <v>195</v>
      </c>
      <c r="J3" s="506"/>
      <c r="K3" s="506"/>
      <c r="L3" s="508"/>
    </row>
    <row r="4" spans="1:14" ht="14.4" customHeight="1" thickBot="1" x14ac:dyDescent="0.35">
      <c r="A4" s="106" t="s">
        <v>20</v>
      </c>
      <c r="B4" s="107" t="s">
        <v>21</v>
      </c>
      <c r="C4" s="108" t="s">
        <v>22</v>
      </c>
      <c r="D4" s="108" t="s">
        <v>23</v>
      </c>
      <c r="E4" s="108" t="s">
        <v>22</v>
      </c>
      <c r="F4" s="108" t="s">
        <v>5</v>
      </c>
      <c r="G4" s="108" t="s">
        <v>23</v>
      </c>
      <c r="H4" s="108" t="s">
        <v>5</v>
      </c>
      <c r="I4" s="108" t="s">
        <v>22</v>
      </c>
      <c r="J4" s="108" t="s">
        <v>5</v>
      </c>
      <c r="K4" s="108" t="s">
        <v>23</v>
      </c>
      <c r="L4" s="109" t="s">
        <v>5</v>
      </c>
    </row>
    <row r="5" spans="1:14" ht="14.4" customHeight="1" x14ac:dyDescent="0.3">
      <c r="A5" s="617">
        <v>59</v>
      </c>
      <c r="B5" s="618" t="s">
        <v>489</v>
      </c>
      <c r="C5" s="619">
        <v>302029.75</v>
      </c>
      <c r="D5" s="619">
        <v>87</v>
      </c>
      <c r="E5" s="619">
        <v>160469.32</v>
      </c>
      <c r="F5" s="620">
        <v>0.53130302561254317</v>
      </c>
      <c r="G5" s="619">
        <v>45</v>
      </c>
      <c r="H5" s="620">
        <v>0.51724137931034486</v>
      </c>
      <c r="I5" s="619">
        <v>141560.42999999996</v>
      </c>
      <c r="J5" s="620">
        <v>0.46869697438745672</v>
      </c>
      <c r="K5" s="619">
        <v>42</v>
      </c>
      <c r="L5" s="620">
        <v>0.48275862068965519</v>
      </c>
      <c r="M5" s="619" t="s">
        <v>77</v>
      </c>
      <c r="N5" s="283"/>
    </row>
    <row r="6" spans="1:14" ht="14.4" customHeight="1" x14ac:dyDescent="0.3">
      <c r="A6" s="617">
        <v>59</v>
      </c>
      <c r="B6" s="618" t="s">
        <v>1374</v>
      </c>
      <c r="C6" s="619">
        <v>302029.75</v>
      </c>
      <c r="D6" s="619">
        <v>83</v>
      </c>
      <c r="E6" s="619">
        <v>160469.32</v>
      </c>
      <c r="F6" s="620">
        <v>0.53130302561254317</v>
      </c>
      <c r="G6" s="619">
        <v>41</v>
      </c>
      <c r="H6" s="620">
        <v>0.49397590361445781</v>
      </c>
      <c r="I6" s="619">
        <v>141560.42999999996</v>
      </c>
      <c r="J6" s="620">
        <v>0.46869697438745672</v>
      </c>
      <c r="K6" s="619">
        <v>42</v>
      </c>
      <c r="L6" s="620">
        <v>0.50602409638554213</v>
      </c>
      <c r="M6" s="619" t="s">
        <v>2</v>
      </c>
      <c r="N6" s="283"/>
    </row>
    <row r="7" spans="1:14" ht="14.4" customHeight="1" x14ac:dyDescent="0.3">
      <c r="A7" s="617">
        <v>59</v>
      </c>
      <c r="B7" s="618" t="s">
        <v>1375</v>
      </c>
      <c r="C7" s="619">
        <v>0</v>
      </c>
      <c r="D7" s="619">
        <v>4</v>
      </c>
      <c r="E7" s="619">
        <v>0</v>
      </c>
      <c r="F7" s="620" t="s">
        <v>488</v>
      </c>
      <c r="G7" s="619">
        <v>4</v>
      </c>
      <c r="H7" s="620">
        <v>1</v>
      </c>
      <c r="I7" s="619" t="s">
        <v>488</v>
      </c>
      <c r="J7" s="620" t="s">
        <v>488</v>
      </c>
      <c r="K7" s="619" t="s">
        <v>488</v>
      </c>
      <c r="L7" s="620">
        <v>0</v>
      </c>
      <c r="M7" s="619" t="s">
        <v>2</v>
      </c>
      <c r="N7" s="283"/>
    </row>
    <row r="8" spans="1:14" ht="14.4" customHeight="1" x14ac:dyDescent="0.3">
      <c r="A8" s="617" t="s">
        <v>487</v>
      </c>
      <c r="B8" s="618" t="s">
        <v>6</v>
      </c>
      <c r="C8" s="619">
        <v>302029.75</v>
      </c>
      <c r="D8" s="619">
        <v>87</v>
      </c>
      <c r="E8" s="619">
        <v>160469.32</v>
      </c>
      <c r="F8" s="620">
        <v>0.53130302561254317</v>
      </c>
      <c r="G8" s="619">
        <v>45</v>
      </c>
      <c r="H8" s="620">
        <v>0.51724137931034486</v>
      </c>
      <c r="I8" s="619">
        <v>141560.42999999996</v>
      </c>
      <c r="J8" s="620">
        <v>0.46869697438745672</v>
      </c>
      <c r="K8" s="619">
        <v>42</v>
      </c>
      <c r="L8" s="620">
        <v>0.48275862068965519</v>
      </c>
      <c r="M8" s="619" t="s">
        <v>500</v>
      </c>
      <c r="N8" s="283"/>
    </row>
    <row r="10" spans="1:14" ht="14.4" customHeight="1" x14ac:dyDescent="0.3">
      <c r="A10" s="617">
        <v>59</v>
      </c>
      <c r="B10" s="618" t="s">
        <v>489</v>
      </c>
      <c r="C10" s="619" t="s">
        <v>488</v>
      </c>
      <c r="D10" s="619" t="s">
        <v>488</v>
      </c>
      <c r="E10" s="619" t="s">
        <v>488</v>
      </c>
      <c r="F10" s="620" t="s">
        <v>488</v>
      </c>
      <c r="G10" s="619" t="s">
        <v>488</v>
      </c>
      <c r="H10" s="620" t="s">
        <v>488</v>
      </c>
      <c r="I10" s="619" t="s">
        <v>488</v>
      </c>
      <c r="J10" s="620" t="s">
        <v>488</v>
      </c>
      <c r="K10" s="619" t="s">
        <v>488</v>
      </c>
      <c r="L10" s="620" t="s">
        <v>488</v>
      </c>
      <c r="M10" s="619" t="s">
        <v>77</v>
      </c>
      <c r="N10" s="283"/>
    </row>
    <row r="11" spans="1:14" ht="14.4" customHeight="1" x14ac:dyDescent="0.3">
      <c r="A11" s="617">
        <v>89301594</v>
      </c>
      <c r="B11" s="618" t="s">
        <v>1374</v>
      </c>
      <c r="C11" s="619">
        <v>302029.75</v>
      </c>
      <c r="D11" s="619">
        <v>83</v>
      </c>
      <c r="E11" s="619">
        <v>160469.32</v>
      </c>
      <c r="F11" s="620">
        <v>0.53130302561254317</v>
      </c>
      <c r="G11" s="619">
        <v>41</v>
      </c>
      <c r="H11" s="620">
        <v>0.49397590361445781</v>
      </c>
      <c r="I11" s="619">
        <v>141560.42999999996</v>
      </c>
      <c r="J11" s="620">
        <v>0.46869697438745672</v>
      </c>
      <c r="K11" s="619">
        <v>42</v>
      </c>
      <c r="L11" s="620">
        <v>0.50602409638554213</v>
      </c>
      <c r="M11" s="619" t="s">
        <v>2</v>
      </c>
      <c r="N11" s="283"/>
    </row>
    <row r="12" spans="1:14" ht="14.4" customHeight="1" x14ac:dyDescent="0.3">
      <c r="A12" s="617">
        <v>89301594</v>
      </c>
      <c r="B12" s="618" t="s">
        <v>1375</v>
      </c>
      <c r="C12" s="619">
        <v>0</v>
      </c>
      <c r="D12" s="619">
        <v>4</v>
      </c>
      <c r="E12" s="619">
        <v>0</v>
      </c>
      <c r="F12" s="620" t="s">
        <v>488</v>
      </c>
      <c r="G12" s="619">
        <v>4</v>
      </c>
      <c r="H12" s="620">
        <v>1</v>
      </c>
      <c r="I12" s="619" t="s">
        <v>488</v>
      </c>
      <c r="J12" s="620" t="s">
        <v>488</v>
      </c>
      <c r="K12" s="619" t="s">
        <v>488</v>
      </c>
      <c r="L12" s="620">
        <v>0</v>
      </c>
      <c r="M12" s="619" t="s">
        <v>2</v>
      </c>
      <c r="N12" s="283"/>
    </row>
    <row r="13" spans="1:14" ht="14.4" customHeight="1" x14ac:dyDescent="0.3">
      <c r="A13" s="617" t="s">
        <v>1376</v>
      </c>
      <c r="B13" s="618" t="s">
        <v>1377</v>
      </c>
      <c r="C13" s="619">
        <v>302029.75</v>
      </c>
      <c r="D13" s="619">
        <v>87</v>
      </c>
      <c r="E13" s="619">
        <v>160469.32</v>
      </c>
      <c r="F13" s="620">
        <v>0.53130302561254317</v>
      </c>
      <c r="G13" s="619">
        <v>45</v>
      </c>
      <c r="H13" s="620">
        <v>0.51724137931034486</v>
      </c>
      <c r="I13" s="619">
        <v>141560.42999999996</v>
      </c>
      <c r="J13" s="620">
        <v>0.46869697438745672</v>
      </c>
      <c r="K13" s="619">
        <v>42</v>
      </c>
      <c r="L13" s="620">
        <v>0.48275862068965519</v>
      </c>
      <c r="M13" s="619" t="s">
        <v>503</v>
      </c>
      <c r="N13" s="283"/>
    </row>
    <row r="14" spans="1:14" ht="14.4" customHeight="1" x14ac:dyDescent="0.3">
      <c r="A14" s="617" t="s">
        <v>488</v>
      </c>
      <c r="B14" s="618" t="s">
        <v>488</v>
      </c>
      <c r="C14" s="619" t="s">
        <v>488</v>
      </c>
      <c r="D14" s="619" t="s">
        <v>488</v>
      </c>
      <c r="E14" s="619" t="s">
        <v>488</v>
      </c>
      <c r="F14" s="620" t="s">
        <v>488</v>
      </c>
      <c r="G14" s="619" t="s">
        <v>488</v>
      </c>
      <c r="H14" s="620" t="s">
        <v>488</v>
      </c>
      <c r="I14" s="619" t="s">
        <v>488</v>
      </c>
      <c r="J14" s="620" t="s">
        <v>488</v>
      </c>
      <c r="K14" s="619" t="s">
        <v>488</v>
      </c>
      <c r="L14" s="620" t="s">
        <v>488</v>
      </c>
      <c r="M14" s="619" t="s">
        <v>504</v>
      </c>
      <c r="N14" s="283"/>
    </row>
    <row r="15" spans="1:14" ht="14.4" customHeight="1" x14ac:dyDescent="0.3">
      <c r="A15" s="617" t="s">
        <v>487</v>
      </c>
      <c r="B15" s="618" t="s">
        <v>1378</v>
      </c>
      <c r="C15" s="619">
        <v>302029.75</v>
      </c>
      <c r="D15" s="619">
        <v>87</v>
      </c>
      <c r="E15" s="619">
        <v>160469.32</v>
      </c>
      <c r="F15" s="620">
        <v>0.53130302561254317</v>
      </c>
      <c r="G15" s="619">
        <v>45</v>
      </c>
      <c r="H15" s="620">
        <v>0.51724137931034486</v>
      </c>
      <c r="I15" s="619">
        <v>141560.42999999996</v>
      </c>
      <c r="J15" s="620">
        <v>0.46869697438745672</v>
      </c>
      <c r="K15" s="619">
        <v>42</v>
      </c>
      <c r="L15" s="620">
        <v>0.48275862068965519</v>
      </c>
      <c r="M15" s="619" t="s">
        <v>500</v>
      </c>
      <c r="N15" s="283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48" priority="15" stopIfTrue="1" operator="lessThan">
      <formula>0.6</formula>
    </cfRule>
  </conditionalFormatting>
  <conditionalFormatting sqref="B5:B8">
    <cfRule type="expression" dxfId="47" priority="10">
      <formula>AND(LEFT(M5,6)&lt;&gt;"mezera",M5&lt;&gt;"")</formula>
    </cfRule>
  </conditionalFormatting>
  <conditionalFormatting sqref="A5:A8">
    <cfRule type="expression" dxfId="46" priority="8">
      <formula>AND(M5&lt;&gt;"",M5&lt;&gt;"mezeraKL")</formula>
    </cfRule>
  </conditionalFormatting>
  <conditionalFormatting sqref="F5:F8">
    <cfRule type="cellIs" dxfId="45" priority="7" operator="lessThan">
      <formula>0.6</formula>
    </cfRule>
  </conditionalFormatting>
  <conditionalFormatting sqref="B5:L8">
    <cfRule type="expression" dxfId="44" priority="9">
      <formula>OR($M5="KL",$M5="SumaKL")</formula>
    </cfRule>
    <cfRule type="expression" dxfId="43" priority="11">
      <formula>$M5="SumaNS"</formula>
    </cfRule>
  </conditionalFormatting>
  <conditionalFormatting sqref="A5:L8">
    <cfRule type="expression" dxfId="42" priority="12">
      <formula>$M5&lt;&gt;""</formula>
    </cfRule>
  </conditionalFormatting>
  <conditionalFormatting sqref="B10:B15">
    <cfRule type="expression" dxfId="41" priority="4">
      <formula>AND(LEFT(M10,6)&lt;&gt;"mezera",M10&lt;&gt;"")</formula>
    </cfRule>
  </conditionalFormatting>
  <conditionalFormatting sqref="A10:A15">
    <cfRule type="expression" dxfId="40" priority="2">
      <formula>AND(M10&lt;&gt;"",M10&lt;&gt;"mezeraKL")</formula>
    </cfRule>
  </conditionalFormatting>
  <conditionalFormatting sqref="F10:F15">
    <cfRule type="cellIs" dxfId="39" priority="1" operator="lessThan">
      <formula>0.6</formula>
    </cfRule>
  </conditionalFormatting>
  <conditionalFormatting sqref="B10:L15">
    <cfRule type="expression" dxfId="38" priority="3">
      <formula>OR($M10="KL",$M10="SumaKL")</formula>
    </cfRule>
    <cfRule type="expression" dxfId="37" priority="5">
      <formula>$M10="SumaNS"</formula>
    </cfRule>
  </conditionalFormatting>
  <conditionalFormatting sqref="A10:L15">
    <cfRule type="expression" dxfId="36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60" customWidth="1"/>
    <col min="2" max="2" width="11.109375" style="343" bestFit="1" customWidth="1"/>
    <col min="3" max="3" width="11.109375" style="260" hidden="1" customWidth="1"/>
    <col min="4" max="4" width="7.33203125" style="343" bestFit="1" customWidth="1"/>
    <col min="5" max="5" width="7.33203125" style="260" hidden="1" customWidth="1"/>
    <col min="6" max="6" width="11.109375" style="343" bestFit="1" customWidth="1"/>
    <col min="7" max="7" width="5.33203125" style="346" customWidth="1"/>
    <col min="8" max="8" width="7.33203125" style="343" bestFit="1" customWidth="1"/>
    <col min="9" max="9" width="5.33203125" style="346" customWidth="1"/>
    <col min="10" max="10" width="11.109375" style="343" customWidth="1"/>
    <col min="11" max="11" width="5.33203125" style="346" customWidth="1"/>
    <col min="12" max="12" width="7.33203125" style="343" customWidth="1"/>
    <col min="13" max="13" width="5.33203125" style="346" customWidth="1"/>
    <col min="14" max="14" width="0" style="260" hidden="1" customWidth="1"/>
    <col min="15" max="16384" width="8.88671875" style="260"/>
  </cols>
  <sheetData>
    <row r="1" spans="1:13" ht="18.600000000000001" customHeight="1" thickBot="1" x14ac:dyDescent="0.4">
      <c r="A1" s="496" t="s">
        <v>196</v>
      </c>
      <c r="B1" s="496"/>
      <c r="C1" s="496"/>
      <c r="D1" s="496"/>
      <c r="E1" s="496"/>
      <c r="F1" s="496"/>
      <c r="G1" s="496"/>
      <c r="H1" s="496"/>
      <c r="I1" s="496"/>
      <c r="J1" s="465"/>
      <c r="K1" s="465"/>
      <c r="L1" s="465"/>
      <c r="M1" s="465"/>
    </row>
    <row r="2" spans="1:13" ht="14.4" customHeight="1" thickBot="1" x14ac:dyDescent="0.35">
      <c r="A2" s="389" t="s">
        <v>298</v>
      </c>
      <c r="B2" s="350"/>
      <c r="C2" s="342"/>
      <c r="D2" s="350"/>
      <c r="E2" s="342"/>
      <c r="F2" s="350"/>
      <c r="G2" s="351"/>
      <c r="H2" s="350"/>
      <c r="I2" s="351"/>
    </row>
    <row r="3" spans="1:13" ht="14.4" customHeight="1" thickBot="1" x14ac:dyDescent="0.35">
      <c r="A3" s="275"/>
      <c r="B3" s="507" t="s">
        <v>18</v>
      </c>
      <c r="C3" s="509"/>
      <c r="D3" s="506"/>
      <c r="E3" s="274"/>
      <c r="F3" s="506" t="s">
        <v>19</v>
      </c>
      <c r="G3" s="506"/>
      <c r="H3" s="506"/>
      <c r="I3" s="506"/>
      <c r="J3" s="506" t="s">
        <v>195</v>
      </c>
      <c r="K3" s="506"/>
      <c r="L3" s="506"/>
      <c r="M3" s="508"/>
    </row>
    <row r="4" spans="1:13" ht="14.4" customHeight="1" thickBot="1" x14ac:dyDescent="0.35">
      <c r="A4" s="670" t="s">
        <v>171</v>
      </c>
      <c r="B4" s="674" t="s">
        <v>22</v>
      </c>
      <c r="C4" s="675"/>
      <c r="D4" s="674" t="s">
        <v>23</v>
      </c>
      <c r="E4" s="675"/>
      <c r="F4" s="674" t="s">
        <v>22</v>
      </c>
      <c r="G4" s="682" t="s">
        <v>5</v>
      </c>
      <c r="H4" s="674" t="s">
        <v>23</v>
      </c>
      <c r="I4" s="682" t="s">
        <v>5</v>
      </c>
      <c r="J4" s="674" t="s">
        <v>22</v>
      </c>
      <c r="K4" s="682" t="s">
        <v>5</v>
      </c>
      <c r="L4" s="674" t="s">
        <v>23</v>
      </c>
      <c r="M4" s="683" t="s">
        <v>5</v>
      </c>
    </row>
    <row r="5" spans="1:13" ht="14.4" customHeight="1" x14ac:dyDescent="0.3">
      <c r="A5" s="671" t="s">
        <v>1379</v>
      </c>
      <c r="B5" s="676">
        <v>76571.47</v>
      </c>
      <c r="C5" s="629">
        <v>1</v>
      </c>
      <c r="D5" s="679">
        <v>24</v>
      </c>
      <c r="E5" s="687" t="s">
        <v>1379</v>
      </c>
      <c r="F5" s="676">
        <v>37821.11</v>
      </c>
      <c r="G5" s="651">
        <v>0.49393213947701409</v>
      </c>
      <c r="H5" s="632">
        <v>10</v>
      </c>
      <c r="I5" s="684">
        <v>0.41666666666666669</v>
      </c>
      <c r="J5" s="690">
        <v>38750.36</v>
      </c>
      <c r="K5" s="651">
        <v>0.50606786052298591</v>
      </c>
      <c r="L5" s="632">
        <v>14</v>
      </c>
      <c r="M5" s="684">
        <v>0.58333333333333337</v>
      </c>
    </row>
    <row r="6" spans="1:13" ht="14.4" customHeight="1" x14ac:dyDescent="0.3">
      <c r="A6" s="672" t="s">
        <v>1380</v>
      </c>
      <c r="B6" s="677">
        <v>2843.1000000000004</v>
      </c>
      <c r="C6" s="635">
        <v>1</v>
      </c>
      <c r="D6" s="680">
        <v>6</v>
      </c>
      <c r="E6" s="688" t="s">
        <v>1380</v>
      </c>
      <c r="F6" s="677">
        <v>0</v>
      </c>
      <c r="G6" s="660">
        <v>0</v>
      </c>
      <c r="H6" s="638">
        <v>4</v>
      </c>
      <c r="I6" s="685">
        <v>0.66666666666666663</v>
      </c>
      <c r="J6" s="691">
        <v>2843.1000000000004</v>
      </c>
      <c r="K6" s="660">
        <v>1</v>
      </c>
      <c r="L6" s="638">
        <v>2</v>
      </c>
      <c r="M6" s="685">
        <v>0.33333333333333331</v>
      </c>
    </row>
    <row r="7" spans="1:13" ht="14.4" customHeight="1" thickBot="1" x14ac:dyDescent="0.35">
      <c r="A7" s="673" t="s">
        <v>1381</v>
      </c>
      <c r="B7" s="678">
        <v>222615.18</v>
      </c>
      <c r="C7" s="641">
        <v>1</v>
      </c>
      <c r="D7" s="681">
        <v>57</v>
      </c>
      <c r="E7" s="689" t="s">
        <v>1381</v>
      </c>
      <c r="F7" s="678">
        <v>122648.20999999999</v>
      </c>
      <c r="G7" s="652">
        <v>0.55094270750089902</v>
      </c>
      <c r="H7" s="644">
        <v>31</v>
      </c>
      <c r="I7" s="686">
        <v>0.54385964912280704</v>
      </c>
      <c r="J7" s="692">
        <v>99966.97</v>
      </c>
      <c r="K7" s="652">
        <v>0.44905729249910092</v>
      </c>
      <c r="L7" s="644">
        <v>26</v>
      </c>
      <c r="M7" s="686">
        <v>0.45614035087719296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4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60" hidden="1" customWidth="1" outlineLevel="1"/>
    <col min="2" max="2" width="28.33203125" style="260" hidden="1" customWidth="1" outlineLevel="1"/>
    <col min="3" max="3" width="9" style="260" customWidth="1" collapsed="1"/>
    <col min="4" max="4" width="18.77734375" style="354" customWidth="1"/>
    <col min="5" max="5" width="13.5546875" style="344" customWidth="1"/>
    <col min="6" max="6" width="6" style="260" bestFit="1" customWidth="1"/>
    <col min="7" max="7" width="8.77734375" style="260" customWidth="1"/>
    <col min="8" max="8" width="5" style="260" bestFit="1" customWidth="1"/>
    <col min="9" max="9" width="8.5546875" style="260" hidden="1" customWidth="1" outlineLevel="1"/>
    <col min="10" max="10" width="25.77734375" style="260" customWidth="1" collapsed="1"/>
    <col min="11" max="11" width="8.77734375" style="260" customWidth="1"/>
    <col min="12" max="12" width="7.77734375" style="345" customWidth="1"/>
    <col min="13" max="13" width="11.109375" style="345" customWidth="1"/>
    <col min="14" max="14" width="7.77734375" style="260" customWidth="1"/>
    <col min="15" max="15" width="7.77734375" style="355" customWidth="1"/>
    <col min="16" max="16" width="11.109375" style="345" customWidth="1"/>
    <col min="17" max="17" width="5.44140625" style="346" bestFit="1" customWidth="1"/>
    <col min="18" max="18" width="7.77734375" style="260" customWidth="1"/>
    <col min="19" max="19" width="5.44140625" style="346" bestFit="1" customWidth="1"/>
    <col min="20" max="20" width="7.77734375" style="355" customWidth="1"/>
    <col min="21" max="21" width="5.44140625" style="346" bestFit="1" customWidth="1"/>
    <col min="22" max="16384" width="8.88671875" style="260"/>
  </cols>
  <sheetData>
    <row r="1" spans="1:21" ht="18.600000000000001" customHeight="1" thickBot="1" x14ac:dyDescent="0.4">
      <c r="A1" s="488" t="s">
        <v>1445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</row>
    <row r="2" spans="1:21" ht="14.4" customHeight="1" thickBot="1" x14ac:dyDescent="0.35">
      <c r="A2" s="389" t="s">
        <v>298</v>
      </c>
      <c r="B2" s="352"/>
      <c r="C2" s="342"/>
      <c r="D2" s="342"/>
      <c r="E2" s="353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163</v>
      </c>
      <c r="L3" s="516"/>
      <c r="M3" s="70">
        <f>SUBTOTAL(9,M7:M1048576)</f>
        <v>302029.75</v>
      </c>
      <c r="N3" s="70">
        <f>SUBTOTAL(9,N7:N1048576)</f>
        <v>3704</v>
      </c>
      <c r="O3" s="70">
        <f>SUBTOTAL(9,O7:O1048576)</f>
        <v>87</v>
      </c>
      <c r="P3" s="70">
        <f>SUBTOTAL(9,P7:P1048576)</f>
        <v>160469.31999999998</v>
      </c>
      <c r="Q3" s="71">
        <f>IF(M3=0,0,P3/M3)</f>
        <v>0.53130302561254306</v>
      </c>
      <c r="R3" s="70">
        <f>SUBTOTAL(9,R7:R1048576)</f>
        <v>1974</v>
      </c>
      <c r="S3" s="71">
        <f>IF(N3=0,0,R3/N3)</f>
        <v>0.53293736501079914</v>
      </c>
      <c r="T3" s="70">
        <f>SUBTOTAL(9,T7:T1048576)</f>
        <v>45</v>
      </c>
      <c r="U3" s="72">
        <f>IF(O3=0,0,T3/O3)</f>
        <v>0.51724137931034486</v>
      </c>
    </row>
    <row r="4" spans="1:21" ht="14.4" customHeight="1" x14ac:dyDescent="0.3">
      <c r="A4" s="73"/>
      <c r="B4" s="74"/>
      <c r="C4" s="74"/>
      <c r="D4" s="75"/>
      <c r="E4" s="275"/>
      <c r="F4" s="74"/>
      <c r="G4" s="74"/>
      <c r="H4" s="74"/>
      <c r="I4" s="74"/>
      <c r="J4" s="74"/>
      <c r="K4" s="74"/>
      <c r="L4" s="74"/>
      <c r="M4" s="517" t="s">
        <v>18</v>
      </c>
      <c r="N4" s="518"/>
      <c r="O4" s="518"/>
      <c r="P4" s="519" t="s">
        <v>24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5"/>
      <c r="F5" s="74"/>
      <c r="G5" s="74"/>
      <c r="H5" s="74"/>
      <c r="I5" s="74"/>
      <c r="J5" s="74"/>
      <c r="K5" s="74"/>
      <c r="L5" s="74"/>
      <c r="M5" s="110" t="s">
        <v>25</v>
      </c>
      <c r="N5" s="111" t="s">
        <v>16</v>
      </c>
      <c r="O5" s="111" t="s">
        <v>23</v>
      </c>
      <c r="P5" s="510" t="s">
        <v>25</v>
      </c>
      <c r="Q5" s="511"/>
      <c r="R5" s="510" t="s">
        <v>16</v>
      </c>
      <c r="S5" s="511"/>
      <c r="T5" s="510" t="s">
        <v>23</v>
      </c>
      <c r="U5" s="512"/>
    </row>
    <row r="6" spans="1:21" s="344" customFormat="1" ht="14.4" customHeight="1" thickBot="1" x14ac:dyDescent="0.35">
      <c r="A6" s="693" t="s">
        <v>26</v>
      </c>
      <c r="B6" s="694" t="s">
        <v>8</v>
      </c>
      <c r="C6" s="693" t="s">
        <v>27</v>
      </c>
      <c r="D6" s="694" t="s">
        <v>9</v>
      </c>
      <c r="E6" s="694" t="s">
        <v>198</v>
      </c>
      <c r="F6" s="694" t="s">
        <v>28</v>
      </c>
      <c r="G6" s="694" t="s">
        <v>29</v>
      </c>
      <c r="H6" s="694" t="s">
        <v>11</v>
      </c>
      <c r="I6" s="694" t="s">
        <v>13</v>
      </c>
      <c r="J6" s="694" t="s">
        <v>14</v>
      </c>
      <c r="K6" s="694" t="s">
        <v>15</v>
      </c>
      <c r="L6" s="694" t="s">
        <v>30</v>
      </c>
      <c r="M6" s="695" t="s">
        <v>17</v>
      </c>
      <c r="N6" s="696" t="s">
        <v>31</v>
      </c>
      <c r="O6" s="696" t="s">
        <v>31</v>
      </c>
      <c r="P6" s="696" t="s">
        <v>17</v>
      </c>
      <c r="Q6" s="696" t="s">
        <v>5</v>
      </c>
      <c r="R6" s="696" t="s">
        <v>31</v>
      </c>
      <c r="S6" s="696" t="s">
        <v>5</v>
      </c>
      <c r="T6" s="696" t="s">
        <v>31</v>
      </c>
      <c r="U6" s="697" t="s">
        <v>5</v>
      </c>
    </row>
    <row r="7" spans="1:21" ht="14.4" customHeight="1" x14ac:dyDescent="0.3">
      <c r="A7" s="698">
        <v>59</v>
      </c>
      <c r="B7" s="699" t="s">
        <v>489</v>
      </c>
      <c r="C7" s="699">
        <v>89301594</v>
      </c>
      <c r="D7" s="700" t="s">
        <v>1444</v>
      </c>
      <c r="E7" s="701" t="s">
        <v>1379</v>
      </c>
      <c r="F7" s="699" t="s">
        <v>1374</v>
      </c>
      <c r="G7" s="699" t="s">
        <v>1382</v>
      </c>
      <c r="H7" s="699" t="s">
        <v>488</v>
      </c>
      <c r="I7" s="699" t="s">
        <v>1383</v>
      </c>
      <c r="J7" s="699" t="s">
        <v>1384</v>
      </c>
      <c r="K7" s="699"/>
      <c r="L7" s="702">
        <v>0</v>
      </c>
      <c r="M7" s="702">
        <v>0</v>
      </c>
      <c r="N7" s="699">
        <v>7</v>
      </c>
      <c r="O7" s="703">
        <v>0.5</v>
      </c>
      <c r="P7" s="702"/>
      <c r="Q7" s="704"/>
      <c r="R7" s="699"/>
      <c r="S7" s="704">
        <v>0</v>
      </c>
      <c r="T7" s="703"/>
      <c r="U7" s="241">
        <v>0</v>
      </c>
    </row>
    <row r="8" spans="1:21" ht="14.4" customHeight="1" x14ac:dyDescent="0.3">
      <c r="A8" s="634">
        <v>59</v>
      </c>
      <c r="B8" s="635" t="s">
        <v>489</v>
      </c>
      <c r="C8" s="635">
        <v>89301594</v>
      </c>
      <c r="D8" s="705" t="s">
        <v>1444</v>
      </c>
      <c r="E8" s="706" t="s">
        <v>1379</v>
      </c>
      <c r="F8" s="635" t="s">
        <v>1374</v>
      </c>
      <c r="G8" s="635" t="s">
        <v>1385</v>
      </c>
      <c r="H8" s="635" t="s">
        <v>994</v>
      </c>
      <c r="I8" s="635" t="s">
        <v>1106</v>
      </c>
      <c r="J8" s="635" t="s">
        <v>1368</v>
      </c>
      <c r="K8" s="635" t="s">
        <v>1006</v>
      </c>
      <c r="L8" s="636">
        <v>32.380000000000003</v>
      </c>
      <c r="M8" s="636">
        <v>323.8</v>
      </c>
      <c r="N8" s="635">
        <v>10</v>
      </c>
      <c r="O8" s="707">
        <v>0.5</v>
      </c>
      <c r="P8" s="636"/>
      <c r="Q8" s="660">
        <v>0</v>
      </c>
      <c r="R8" s="635"/>
      <c r="S8" s="660">
        <v>0</v>
      </c>
      <c r="T8" s="707"/>
      <c r="U8" s="685">
        <v>0</v>
      </c>
    </row>
    <row r="9" spans="1:21" ht="14.4" customHeight="1" x14ac:dyDescent="0.3">
      <c r="A9" s="634">
        <v>59</v>
      </c>
      <c r="B9" s="635" t="s">
        <v>489</v>
      </c>
      <c r="C9" s="635">
        <v>89301594</v>
      </c>
      <c r="D9" s="705" t="s">
        <v>1444</v>
      </c>
      <c r="E9" s="706" t="s">
        <v>1379</v>
      </c>
      <c r="F9" s="635" t="s">
        <v>1374</v>
      </c>
      <c r="G9" s="635" t="s">
        <v>1385</v>
      </c>
      <c r="H9" s="635" t="s">
        <v>994</v>
      </c>
      <c r="I9" s="635" t="s">
        <v>1386</v>
      </c>
      <c r="J9" s="635" t="s">
        <v>1387</v>
      </c>
      <c r="K9" s="635" t="s">
        <v>1388</v>
      </c>
      <c r="L9" s="636">
        <v>189.56</v>
      </c>
      <c r="M9" s="636">
        <v>21609.839999999997</v>
      </c>
      <c r="N9" s="635">
        <v>114</v>
      </c>
      <c r="O9" s="707">
        <v>7.5</v>
      </c>
      <c r="P9" s="636">
        <v>2085.16</v>
      </c>
      <c r="Q9" s="660">
        <v>9.6491228070175447E-2</v>
      </c>
      <c r="R9" s="635">
        <v>11</v>
      </c>
      <c r="S9" s="660">
        <v>9.6491228070175433E-2</v>
      </c>
      <c r="T9" s="707">
        <v>1.5</v>
      </c>
      <c r="U9" s="685">
        <v>0.2</v>
      </c>
    </row>
    <row r="10" spans="1:21" ht="14.4" customHeight="1" x14ac:dyDescent="0.3">
      <c r="A10" s="634">
        <v>59</v>
      </c>
      <c r="B10" s="635" t="s">
        <v>489</v>
      </c>
      <c r="C10" s="635">
        <v>89301594</v>
      </c>
      <c r="D10" s="705" t="s">
        <v>1444</v>
      </c>
      <c r="E10" s="706" t="s">
        <v>1379</v>
      </c>
      <c r="F10" s="635" t="s">
        <v>1374</v>
      </c>
      <c r="G10" s="635" t="s">
        <v>1385</v>
      </c>
      <c r="H10" s="635" t="s">
        <v>994</v>
      </c>
      <c r="I10" s="635" t="s">
        <v>1386</v>
      </c>
      <c r="J10" s="635" t="s">
        <v>1387</v>
      </c>
      <c r="K10" s="635" t="s">
        <v>1388</v>
      </c>
      <c r="L10" s="636">
        <v>194.26</v>
      </c>
      <c r="M10" s="636">
        <v>4079.46</v>
      </c>
      <c r="N10" s="635">
        <v>21</v>
      </c>
      <c r="O10" s="707">
        <v>2</v>
      </c>
      <c r="P10" s="636"/>
      <c r="Q10" s="660">
        <v>0</v>
      </c>
      <c r="R10" s="635"/>
      <c r="S10" s="660">
        <v>0</v>
      </c>
      <c r="T10" s="707"/>
      <c r="U10" s="685">
        <v>0</v>
      </c>
    </row>
    <row r="11" spans="1:21" ht="14.4" customHeight="1" x14ac:dyDescent="0.3">
      <c r="A11" s="634">
        <v>59</v>
      </c>
      <c r="B11" s="635" t="s">
        <v>489</v>
      </c>
      <c r="C11" s="635">
        <v>89301594</v>
      </c>
      <c r="D11" s="705" t="s">
        <v>1444</v>
      </c>
      <c r="E11" s="706" t="s">
        <v>1379</v>
      </c>
      <c r="F11" s="635" t="s">
        <v>1374</v>
      </c>
      <c r="G11" s="635" t="s">
        <v>1385</v>
      </c>
      <c r="H11" s="635" t="s">
        <v>994</v>
      </c>
      <c r="I11" s="635" t="s">
        <v>1004</v>
      </c>
      <c r="J11" s="635" t="s">
        <v>1371</v>
      </c>
      <c r="K11" s="635" t="s">
        <v>1006</v>
      </c>
      <c r="L11" s="636">
        <v>26.33</v>
      </c>
      <c r="M11" s="636">
        <v>394.95</v>
      </c>
      <c r="N11" s="635">
        <v>15</v>
      </c>
      <c r="O11" s="707">
        <v>0.5</v>
      </c>
      <c r="P11" s="636"/>
      <c r="Q11" s="660">
        <v>0</v>
      </c>
      <c r="R11" s="635"/>
      <c r="S11" s="660">
        <v>0</v>
      </c>
      <c r="T11" s="707"/>
      <c r="U11" s="685">
        <v>0</v>
      </c>
    </row>
    <row r="12" spans="1:21" ht="14.4" customHeight="1" x14ac:dyDescent="0.3">
      <c r="A12" s="634">
        <v>59</v>
      </c>
      <c r="B12" s="635" t="s">
        <v>489</v>
      </c>
      <c r="C12" s="635">
        <v>89301594</v>
      </c>
      <c r="D12" s="705" t="s">
        <v>1444</v>
      </c>
      <c r="E12" s="706" t="s">
        <v>1379</v>
      </c>
      <c r="F12" s="635" t="s">
        <v>1374</v>
      </c>
      <c r="G12" s="635" t="s">
        <v>1385</v>
      </c>
      <c r="H12" s="635" t="s">
        <v>994</v>
      </c>
      <c r="I12" s="635" t="s">
        <v>1120</v>
      </c>
      <c r="J12" s="635" t="s">
        <v>1121</v>
      </c>
      <c r="K12" s="635" t="s">
        <v>1119</v>
      </c>
      <c r="L12" s="636">
        <v>105.31</v>
      </c>
      <c r="M12" s="636">
        <v>41702.76</v>
      </c>
      <c r="N12" s="635">
        <v>396</v>
      </c>
      <c r="O12" s="707">
        <v>11.5</v>
      </c>
      <c r="P12" s="636">
        <v>27275.29</v>
      </c>
      <c r="Q12" s="660">
        <v>0.65404040404040398</v>
      </c>
      <c r="R12" s="635">
        <v>259</v>
      </c>
      <c r="S12" s="660">
        <v>0.65404040404040409</v>
      </c>
      <c r="T12" s="707">
        <v>7</v>
      </c>
      <c r="U12" s="685">
        <v>0.60869565217391308</v>
      </c>
    </row>
    <row r="13" spans="1:21" ht="14.4" customHeight="1" x14ac:dyDescent="0.3">
      <c r="A13" s="634">
        <v>59</v>
      </c>
      <c r="B13" s="635" t="s">
        <v>489</v>
      </c>
      <c r="C13" s="635">
        <v>89301594</v>
      </c>
      <c r="D13" s="705" t="s">
        <v>1444</v>
      </c>
      <c r="E13" s="706" t="s">
        <v>1379</v>
      </c>
      <c r="F13" s="635" t="s">
        <v>1374</v>
      </c>
      <c r="G13" s="635" t="s">
        <v>1385</v>
      </c>
      <c r="H13" s="635" t="s">
        <v>994</v>
      </c>
      <c r="I13" s="635" t="s">
        <v>1389</v>
      </c>
      <c r="J13" s="635" t="s">
        <v>1390</v>
      </c>
      <c r="K13" s="635" t="s">
        <v>1119</v>
      </c>
      <c r="L13" s="636">
        <v>108.47</v>
      </c>
      <c r="M13" s="636">
        <v>8460.66</v>
      </c>
      <c r="N13" s="635">
        <v>78</v>
      </c>
      <c r="O13" s="707">
        <v>1.5</v>
      </c>
      <c r="P13" s="636">
        <v>8460.66</v>
      </c>
      <c r="Q13" s="660">
        <v>1</v>
      </c>
      <c r="R13" s="635">
        <v>78</v>
      </c>
      <c r="S13" s="660">
        <v>1</v>
      </c>
      <c r="T13" s="707">
        <v>1.5</v>
      </c>
      <c r="U13" s="685">
        <v>1</v>
      </c>
    </row>
    <row r="14" spans="1:21" ht="14.4" customHeight="1" x14ac:dyDescent="0.3">
      <c r="A14" s="634">
        <v>59</v>
      </c>
      <c r="B14" s="635" t="s">
        <v>489</v>
      </c>
      <c r="C14" s="635">
        <v>89301594</v>
      </c>
      <c r="D14" s="705" t="s">
        <v>1444</v>
      </c>
      <c r="E14" s="706" t="s">
        <v>1380</v>
      </c>
      <c r="F14" s="635" t="s">
        <v>1374</v>
      </c>
      <c r="G14" s="635" t="s">
        <v>1385</v>
      </c>
      <c r="H14" s="635" t="s">
        <v>994</v>
      </c>
      <c r="I14" s="635" t="s">
        <v>1391</v>
      </c>
      <c r="J14" s="635" t="s">
        <v>1392</v>
      </c>
      <c r="K14" s="635" t="s">
        <v>1006</v>
      </c>
      <c r="L14" s="636">
        <v>31.59</v>
      </c>
      <c r="M14" s="636">
        <v>947.7</v>
      </c>
      <c r="N14" s="635">
        <v>30</v>
      </c>
      <c r="O14" s="707">
        <v>1</v>
      </c>
      <c r="P14" s="636"/>
      <c r="Q14" s="660">
        <v>0</v>
      </c>
      <c r="R14" s="635"/>
      <c r="S14" s="660">
        <v>0</v>
      </c>
      <c r="T14" s="707"/>
      <c r="U14" s="685">
        <v>0</v>
      </c>
    </row>
    <row r="15" spans="1:21" ht="14.4" customHeight="1" x14ac:dyDescent="0.3">
      <c r="A15" s="634">
        <v>59</v>
      </c>
      <c r="B15" s="635" t="s">
        <v>489</v>
      </c>
      <c r="C15" s="635">
        <v>89301594</v>
      </c>
      <c r="D15" s="705" t="s">
        <v>1444</v>
      </c>
      <c r="E15" s="706" t="s">
        <v>1380</v>
      </c>
      <c r="F15" s="635" t="s">
        <v>1374</v>
      </c>
      <c r="G15" s="635" t="s">
        <v>1385</v>
      </c>
      <c r="H15" s="635" t="s">
        <v>994</v>
      </c>
      <c r="I15" s="635" t="s">
        <v>1393</v>
      </c>
      <c r="J15" s="635" t="s">
        <v>1394</v>
      </c>
      <c r="K15" s="635" t="s">
        <v>1006</v>
      </c>
      <c r="L15" s="636">
        <v>31.59</v>
      </c>
      <c r="M15" s="636">
        <v>947.7</v>
      </c>
      <c r="N15" s="635">
        <v>30</v>
      </c>
      <c r="O15" s="707">
        <v>0.5</v>
      </c>
      <c r="P15" s="636"/>
      <c r="Q15" s="660">
        <v>0</v>
      </c>
      <c r="R15" s="635"/>
      <c r="S15" s="660">
        <v>0</v>
      </c>
      <c r="T15" s="707"/>
      <c r="U15" s="685">
        <v>0</v>
      </c>
    </row>
    <row r="16" spans="1:21" ht="14.4" customHeight="1" x14ac:dyDescent="0.3">
      <c r="A16" s="634">
        <v>59</v>
      </c>
      <c r="B16" s="635" t="s">
        <v>489</v>
      </c>
      <c r="C16" s="635">
        <v>89301594</v>
      </c>
      <c r="D16" s="705" t="s">
        <v>1444</v>
      </c>
      <c r="E16" s="706" t="s">
        <v>1380</v>
      </c>
      <c r="F16" s="635" t="s">
        <v>1374</v>
      </c>
      <c r="G16" s="635" t="s">
        <v>1385</v>
      </c>
      <c r="H16" s="635" t="s">
        <v>994</v>
      </c>
      <c r="I16" s="635" t="s">
        <v>1395</v>
      </c>
      <c r="J16" s="635" t="s">
        <v>1396</v>
      </c>
      <c r="K16" s="635" t="s">
        <v>1006</v>
      </c>
      <c r="L16" s="636">
        <v>31.59</v>
      </c>
      <c r="M16" s="636">
        <v>947.7</v>
      </c>
      <c r="N16" s="635">
        <v>30</v>
      </c>
      <c r="O16" s="707">
        <v>0.5</v>
      </c>
      <c r="P16" s="636"/>
      <c r="Q16" s="660">
        <v>0</v>
      </c>
      <c r="R16" s="635"/>
      <c r="S16" s="660">
        <v>0</v>
      </c>
      <c r="T16" s="707"/>
      <c r="U16" s="685">
        <v>0</v>
      </c>
    </row>
    <row r="17" spans="1:21" ht="14.4" customHeight="1" x14ac:dyDescent="0.3">
      <c r="A17" s="634">
        <v>59</v>
      </c>
      <c r="B17" s="635" t="s">
        <v>489</v>
      </c>
      <c r="C17" s="635">
        <v>89301594</v>
      </c>
      <c r="D17" s="705" t="s">
        <v>1444</v>
      </c>
      <c r="E17" s="706" t="s">
        <v>1380</v>
      </c>
      <c r="F17" s="635" t="s">
        <v>1375</v>
      </c>
      <c r="G17" s="635" t="s">
        <v>1382</v>
      </c>
      <c r="H17" s="635" t="s">
        <v>488</v>
      </c>
      <c r="I17" s="635" t="s">
        <v>1397</v>
      </c>
      <c r="J17" s="635" t="s">
        <v>1384</v>
      </c>
      <c r="K17" s="635"/>
      <c r="L17" s="636">
        <v>0</v>
      </c>
      <c r="M17" s="636">
        <v>0</v>
      </c>
      <c r="N17" s="635">
        <v>2</v>
      </c>
      <c r="O17" s="707">
        <v>2</v>
      </c>
      <c r="P17" s="636">
        <v>0</v>
      </c>
      <c r="Q17" s="660"/>
      <c r="R17" s="635">
        <v>2</v>
      </c>
      <c r="S17" s="660">
        <v>1</v>
      </c>
      <c r="T17" s="707">
        <v>2</v>
      </c>
      <c r="U17" s="685">
        <v>1</v>
      </c>
    </row>
    <row r="18" spans="1:21" ht="14.4" customHeight="1" x14ac:dyDescent="0.3">
      <c r="A18" s="634">
        <v>59</v>
      </c>
      <c r="B18" s="635" t="s">
        <v>489</v>
      </c>
      <c r="C18" s="635">
        <v>89301594</v>
      </c>
      <c r="D18" s="705" t="s">
        <v>1444</v>
      </c>
      <c r="E18" s="706" t="s">
        <v>1380</v>
      </c>
      <c r="F18" s="635" t="s">
        <v>1375</v>
      </c>
      <c r="G18" s="635" t="s">
        <v>1382</v>
      </c>
      <c r="H18" s="635" t="s">
        <v>488</v>
      </c>
      <c r="I18" s="635" t="s">
        <v>1398</v>
      </c>
      <c r="J18" s="635" t="s">
        <v>1384</v>
      </c>
      <c r="K18" s="635"/>
      <c r="L18" s="636">
        <v>0</v>
      </c>
      <c r="M18" s="636">
        <v>0</v>
      </c>
      <c r="N18" s="635">
        <v>2</v>
      </c>
      <c r="O18" s="707">
        <v>2</v>
      </c>
      <c r="P18" s="636">
        <v>0</v>
      </c>
      <c r="Q18" s="660"/>
      <c r="R18" s="635">
        <v>2</v>
      </c>
      <c r="S18" s="660">
        <v>1</v>
      </c>
      <c r="T18" s="707">
        <v>2</v>
      </c>
      <c r="U18" s="685">
        <v>1</v>
      </c>
    </row>
    <row r="19" spans="1:21" ht="14.4" customHeight="1" x14ac:dyDescent="0.3">
      <c r="A19" s="634">
        <v>59</v>
      </c>
      <c r="B19" s="635" t="s">
        <v>489</v>
      </c>
      <c r="C19" s="635">
        <v>89301594</v>
      </c>
      <c r="D19" s="705" t="s">
        <v>1444</v>
      </c>
      <c r="E19" s="706" t="s">
        <v>1381</v>
      </c>
      <c r="F19" s="635" t="s">
        <v>1374</v>
      </c>
      <c r="G19" s="635" t="s">
        <v>1399</v>
      </c>
      <c r="H19" s="635" t="s">
        <v>488</v>
      </c>
      <c r="I19" s="635" t="s">
        <v>1400</v>
      </c>
      <c r="J19" s="635" t="s">
        <v>1401</v>
      </c>
      <c r="K19" s="635" t="s">
        <v>1402</v>
      </c>
      <c r="L19" s="636">
        <v>285.75</v>
      </c>
      <c r="M19" s="636">
        <v>285.75</v>
      </c>
      <c r="N19" s="635">
        <v>1</v>
      </c>
      <c r="O19" s="707">
        <v>0.5</v>
      </c>
      <c r="P19" s="636"/>
      <c r="Q19" s="660">
        <v>0</v>
      </c>
      <c r="R19" s="635"/>
      <c r="S19" s="660">
        <v>0</v>
      </c>
      <c r="T19" s="707"/>
      <c r="U19" s="685">
        <v>0</v>
      </c>
    </row>
    <row r="20" spans="1:21" ht="14.4" customHeight="1" x14ac:dyDescent="0.3">
      <c r="A20" s="634">
        <v>59</v>
      </c>
      <c r="B20" s="635" t="s">
        <v>489</v>
      </c>
      <c r="C20" s="635">
        <v>89301594</v>
      </c>
      <c r="D20" s="705" t="s">
        <v>1444</v>
      </c>
      <c r="E20" s="706" t="s">
        <v>1381</v>
      </c>
      <c r="F20" s="635" t="s">
        <v>1374</v>
      </c>
      <c r="G20" s="635" t="s">
        <v>1403</v>
      </c>
      <c r="H20" s="635" t="s">
        <v>488</v>
      </c>
      <c r="I20" s="635" t="s">
        <v>1404</v>
      </c>
      <c r="J20" s="635" t="s">
        <v>1405</v>
      </c>
      <c r="K20" s="635" t="s">
        <v>1406</v>
      </c>
      <c r="L20" s="636">
        <v>1720.7</v>
      </c>
      <c r="M20" s="636">
        <v>10324.200000000001</v>
      </c>
      <c r="N20" s="635">
        <v>6</v>
      </c>
      <c r="O20" s="707">
        <v>1</v>
      </c>
      <c r="P20" s="636"/>
      <c r="Q20" s="660">
        <v>0</v>
      </c>
      <c r="R20" s="635"/>
      <c r="S20" s="660">
        <v>0</v>
      </c>
      <c r="T20" s="707"/>
      <c r="U20" s="685">
        <v>0</v>
      </c>
    </row>
    <row r="21" spans="1:21" ht="14.4" customHeight="1" x14ac:dyDescent="0.3">
      <c r="A21" s="634">
        <v>59</v>
      </c>
      <c r="B21" s="635" t="s">
        <v>489</v>
      </c>
      <c r="C21" s="635">
        <v>89301594</v>
      </c>
      <c r="D21" s="705" t="s">
        <v>1444</v>
      </c>
      <c r="E21" s="706" t="s">
        <v>1381</v>
      </c>
      <c r="F21" s="635" t="s">
        <v>1374</v>
      </c>
      <c r="G21" s="635" t="s">
        <v>1382</v>
      </c>
      <c r="H21" s="635" t="s">
        <v>488</v>
      </c>
      <c r="I21" s="635" t="s">
        <v>1383</v>
      </c>
      <c r="J21" s="635" t="s">
        <v>1384</v>
      </c>
      <c r="K21" s="635"/>
      <c r="L21" s="636">
        <v>0</v>
      </c>
      <c r="M21" s="636">
        <v>0</v>
      </c>
      <c r="N21" s="635">
        <v>485</v>
      </c>
      <c r="O21" s="707">
        <v>6.5</v>
      </c>
      <c r="P21" s="636">
        <v>0</v>
      </c>
      <c r="Q21" s="660"/>
      <c r="R21" s="635">
        <v>425</v>
      </c>
      <c r="S21" s="660">
        <v>0.87628865979381443</v>
      </c>
      <c r="T21" s="707">
        <v>6</v>
      </c>
      <c r="U21" s="685">
        <v>0.92307692307692313</v>
      </c>
    </row>
    <row r="22" spans="1:21" ht="14.4" customHeight="1" x14ac:dyDescent="0.3">
      <c r="A22" s="634">
        <v>59</v>
      </c>
      <c r="B22" s="635" t="s">
        <v>489</v>
      </c>
      <c r="C22" s="635">
        <v>89301594</v>
      </c>
      <c r="D22" s="705" t="s">
        <v>1444</v>
      </c>
      <c r="E22" s="706" t="s">
        <v>1381</v>
      </c>
      <c r="F22" s="635" t="s">
        <v>1374</v>
      </c>
      <c r="G22" s="635" t="s">
        <v>1407</v>
      </c>
      <c r="H22" s="635" t="s">
        <v>488</v>
      </c>
      <c r="I22" s="635" t="s">
        <v>1408</v>
      </c>
      <c r="J22" s="635" t="s">
        <v>1409</v>
      </c>
      <c r="K22" s="635" t="s">
        <v>1410</v>
      </c>
      <c r="L22" s="636">
        <v>0</v>
      </c>
      <c r="M22" s="636">
        <v>0</v>
      </c>
      <c r="N22" s="635">
        <v>1</v>
      </c>
      <c r="O22" s="707">
        <v>0.5</v>
      </c>
      <c r="P22" s="636"/>
      <c r="Q22" s="660"/>
      <c r="R22" s="635"/>
      <c r="S22" s="660">
        <v>0</v>
      </c>
      <c r="T22" s="707"/>
      <c r="U22" s="685">
        <v>0</v>
      </c>
    </row>
    <row r="23" spans="1:21" ht="14.4" customHeight="1" x14ac:dyDescent="0.3">
      <c r="A23" s="634">
        <v>59</v>
      </c>
      <c r="B23" s="635" t="s">
        <v>489</v>
      </c>
      <c r="C23" s="635">
        <v>89301594</v>
      </c>
      <c r="D23" s="705" t="s">
        <v>1444</v>
      </c>
      <c r="E23" s="706" t="s">
        <v>1381</v>
      </c>
      <c r="F23" s="635" t="s">
        <v>1374</v>
      </c>
      <c r="G23" s="635" t="s">
        <v>1411</v>
      </c>
      <c r="H23" s="635" t="s">
        <v>488</v>
      </c>
      <c r="I23" s="635" t="s">
        <v>1412</v>
      </c>
      <c r="J23" s="635" t="s">
        <v>1413</v>
      </c>
      <c r="K23" s="635" t="s">
        <v>1414</v>
      </c>
      <c r="L23" s="636">
        <v>0</v>
      </c>
      <c r="M23" s="636">
        <v>0</v>
      </c>
      <c r="N23" s="635">
        <v>3</v>
      </c>
      <c r="O23" s="707">
        <v>0.5</v>
      </c>
      <c r="P23" s="636"/>
      <c r="Q23" s="660"/>
      <c r="R23" s="635"/>
      <c r="S23" s="660">
        <v>0</v>
      </c>
      <c r="T23" s="707"/>
      <c r="U23" s="685">
        <v>0</v>
      </c>
    </row>
    <row r="24" spans="1:21" ht="14.4" customHeight="1" x14ac:dyDescent="0.3">
      <c r="A24" s="634">
        <v>59</v>
      </c>
      <c r="B24" s="635" t="s">
        <v>489</v>
      </c>
      <c r="C24" s="635">
        <v>89301594</v>
      </c>
      <c r="D24" s="705" t="s">
        <v>1444</v>
      </c>
      <c r="E24" s="706" t="s">
        <v>1381</v>
      </c>
      <c r="F24" s="635" t="s">
        <v>1374</v>
      </c>
      <c r="G24" s="635" t="s">
        <v>1415</v>
      </c>
      <c r="H24" s="635" t="s">
        <v>488</v>
      </c>
      <c r="I24" s="635" t="s">
        <v>1416</v>
      </c>
      <c r="J24" s="635" t="s">
        <v>1417</v>
      </c>
      <c r="K24" s="635" t="s">
        <v>1418</v>
      </c>
      <c r="L24" s="636">
        <v>250.87</v>
      </c>
      <c r="M24" s="636">
        <v>1505.22</v>
      </c>
      <c r="N24" s="635">
        <v>6</v>
      </c>
      <c r="O24" s="707">
        <v>1</v>
      </c>
      <c r="P24" s="636"/>
      <c r="Q24" s="660">
        <v>0</v>
      </c>
      <c r="R24" s="635"/>
      <c r="S24" s="660">
        <v>0</v>
      </c>
      <c r="T24" s="707"/>
      <c r="U24" s="685">
        <v>0</v>
      </c>
    </row>
    <row r="25" spans="1:21" ht="14.4" customHeight="1" x14ac:dyDescent="0.3">
      <c r="A25" s="634">
        <v>59</v>
      </c>
      <c r="B25" s="635" t="s">
        <v>489</v>
      </c>
      <c r="C25" s="635">
        <v>89301594</v>
      </c>
      <c r="D25" s="705" t="s">
        <v>1444</v>
      </c>
      <c r="E25" s="706" t="s">
        <v>1381</v>
      </c>
      <c r="F25" s="635" t="s">
        <v>1374</v>
      </c>
      <c r="G25" s="635" t="s">
        <v>1419</v>
      </c>
      <c r="H25" s="635" t="s">
        <v>488</v>
      </c>
      <c r="I25" s="635" t="s">
        <v>1420</v>
      </c>
      <c r="J25" s="635" t="s">
        <v>1421</v>
      </c>
      <c r="K25" s="635" t="s">
        <v>1422</v>
      </c>
      <c r="L25" s="636">
        <v>314.89999999999998</v>
      </c>
      <c r="M25" s="636">
        <v>1259.5999999999999</v>
      </c>
      <c r="N25" s="635">
        <v>4</v>
      </c>
      <c r="O25" s="707">
        <v>1</v>
      </c>
      <c r="P25" s="636">
        <v>629.79999999999995</v>
      </c>
      <c r="Q25" s="660">
        <v>0.5</v>
      </c>
      <c r="R25" s="635">
        <v>2</v>
      </c>
      <c r="S25" s="660">
        <v>0.5</v>
      </c>
      <c r="T25" s="707">
        <v>0.5</v>
      </c>
      <c r="U25" s="685">
        <v>0.5</v>
      </c>
    </row>
    <row r="26" spans="1:21" ht="14.4" customHeight="1" x14ac:dyDescent="0.3">
      <c r="A26" s="634">
        <v>59</v>
      </c>
      <c r="B26" s="635" t="s">
        <v>489</v>
      </c>
      <c r="C26" s="635">
        <v>89301594</v>
      </c>
      <c r="D26" s="705" t="s">
        <v>1444</v>
      </c>
      <c r="E26" s="706" t="s">
        <v>1381</v>
      </c>
      <c r="F26" s="635" t="s">
        <v>1374</v>
      </c>
      <c r="G26" s="635" t="s">
        <v>1423</v>
      </c>
      <c r="H26" s="635" t="s">
        <v>488</v>
      </c>
      <c r="I26" s="635" t="s">
        <v>591</v>
      </c>
      <c r="J26" s="635" t="s">
        <v>592</v>
      </c>
      <c r="K26" s="635" t="s">
        <v>1424</v>
      </c>
      <c r="L26" s="636">
        <v>0</v>
      </c>
      <c r="M26" s="636">
        <v>0</v>
      </c>
      <c r="N26" s="635">
        <v>2</v>
      </c>
      <c r="O26" s="707">
        <v>0.5</v>
      </c>
      <c r="P26" s="636"/>
      <c r="Q26" s="660"/>
      <c r="R26" s="635"/>
      <c r="S26" s="660">
        <v>0</v>
      </c>
      <c r="T26" s="707"/>
      <c r="U26" s="685">
        <v>0</v>
      </c>
    </row>
    <row r="27" spans="1:21" ht="14.4" customHeight="1" x14ac:dyDescent="0.3">
      <c r="A27" s="634">
        <v>59</v>
      </c>
      <c r="B27" s="635" t="s">
        <v>489</v>
      </c>
      <c r="C27" s="635">
        <v>89301594</v>
      </c>
      <c r="D27" s="705" t="s">
        <v>1444</v>
      </c>
      <c r="E27" s="706" t="s">
        <v>1381</v>
      </c>
      <c r="F27" s="635" t="s">
        <v>1374</v>
      </c>
      <c r="G27" s="635" t="s">
        <v>1385</v>
      </c>
      <c r="H27" s="635" t="s">
        <v>994</v>
      </c>
      <c r="I27" s="635" t="s">
        <v>1126</v>
      </c>
      <c r="J27" s="635" t="s">
        <v>1367</v>
      </c>
      <c r="K27" s="635" t="s">
        <v>1006</v>
      </c>
      <c r="L27" s="636">
        <v>31.59</v>
      </c>
      <c r="M27" s="636">
        <v>1516.32</v>
      </c>
      <c r="N27" s="635">
        <v>48</v>
      </c>
      <c r="O27" s="707">
        <v>0.5</v>
      </c>
      <c r="P27" s="636"/>
      <c r="Q27" s="660">
        <v>0</v>
      </c>
      <c r="R27" s="635"/>
      <c r="S27" s="660">
        <v>0</v>
      </c>
      <c r="T27" s="707"/>
      <c r="U27" s="685">
        <v>0</v>
      </c>
    </row>
    <row r="28" spans="1:21" ht="14.4" customHeight="1" x14ac:dyDescent="0.3">
      <c r="A28" s="634">
        <v>59</v>
      </c>
      <c r="B28" s="635" t="s">
        <v>489</v>
      </c>
      <c r="C28" s="635">
        <v>89301594</v>
      </c>
      <c r="D28" s="705" t="s">
        <v>1444</v>
      </c>
      <c r="E28" s="706" t="s">
        <v>1381</v>
      </c>
      <c r="F28" s="635" t="s">
        <v>1374</v>
      </c>
      <c r="G28" s="635" t="s">
        <v>1385</v>
      </c>
      <c r="H28" s="635" t="s">
        <v>994</v>
      </c>
      <c r="I28" s="635" t="s">
        <v>1126</v>
      </c>
      <c r="J28" s="635" t="s">
        <v>1367</v>
      </c>
      <c r="K28" s="635" t="s">
        <v>1006</v>
      </c>
      <c r="L28" s="636">
        <v>32.6</v>
      </c>
      <c r="M28" s="636">
        <v>9388.7999999999993</v>
      </c>
      <c r="N28" s="635">
        <v>288</v>
      </c>
      <c r="O28" s="707">
        <v>2.5</v>
      </c>
      <c r="P28" s="636">
        <v>1564.8000000000002</v>
      </c>
      <c r="Q28" s="660">
        <v>0.16666666666666669</v>
      </c>
      <c r="R28" s="635">
        <v>48</v>
      </c>
      <c r="S28" s="660">
        <v>0.16666666666666666</v>
      </c>
      <c r="T28" s="707">
        <v>0.5</v>
      </c>
      <c r="U28" s="685">
        <v>0.2</v>
      </c>
    </row>
    <row r="29" spans="1:21" ht="14.4" customHeight="1" x14ac:dyDescent="0.3">
      <c r="A29" s="634">
        <v>59</v>
      </c>
      <c r="B29" s="635" t="s">
        <v>489</v>
      </c>
      <c r="C29" s="635">
        <v>89301594</v>
      </c>
      <c r="D29" s="705" t="s">
        <v>1444</v>
      </c>
      <c r="E29" s="706" t="s">
        <v>1381</v>
      </c>
      <c r="F29" s="635" t="s">
        <v>1374</v>
      </c>
      <c r="G29" s="635" t="s">
        <v>1385</v>
      </c>
      <c r="H29" s="635" t="s">
        <v>994</v>
      </c>
      <c r="I29" s="635" t="s">
        <v>1425</v>
      </c>
      <c r="J29" s="635" t="s">
        <v>1426</v>
      </c>
      <c r="K29" s="635" t="s">
        <v>1006</v>
      </c>
      <c r="L29" s="636">
        <v>31.59</v>
      </c>
      <c r="M29" s="636">
        <v>3159</v>
      </c>
      <c r="N29" s="635">
        <v>100</v>
      </c>
      <c r="O29" s="707">
        <v>2</v>
      </c>
      <c r="P29" s="636">
        <v>2843.1</v>
      </c>
      <c r="Q29" s="660">
        <v>0.9</v>
      </c>
      <c r="R29" s="635">
        <v>90</v>
      </c>
      <c r="S29" s="660">
        <v>0.9</v>
      </c>
      <c r="T29" s="707">
        <v>1</v>
      </c>
      <c r="U29" s="685">
        <v>0.5</v>
      </c>
    </row>
    <row r="30" spans="1:21" ht="14.4" customHeight="1" x14ac:dyDescent="0.3">
      <c r="A30" s="634">
        <v>59</v>
      </c>
      <c r="B30" s="635" t="s">
        <v>489</v>
      </c>
      <c r="C30" s="635">
        <v>89301594</v>
      </c>
      <c r="D30" s="705" t="s">
        <v>1444</v>
      </c>
      <c r="E30" s="706" t="s">
        <v>1381</v>
      </c>
      <c r="F30" s="635" t="s">
        <v>1374</v>
      </c>
      <c r="G30" s="635" t="s">
        <v>1385</v>
      </c>
      <c r="H30" s="635" t="s">
        <v>994</v>
      </c>
      <c r="I30" s="635" t="s">
        <v>1425</v>
      </c>
      <c r="J30" s="635" t="s">
        <v>1426</v>
      </c>
      <c r="K30" s="635" t="s">
        <v>1006</v>
      </c>
      <c r="L30" s="636">
        <v>32.380000000000003</v>
      </c>
      <c r="M30" s="636">
        <v>2914.2000000000003</v>
      </c>
      <c r="N30" s="635">
        <v>90</v>
      </c>
      <c r="O30" s="707">
        <v>1</v>
      </c>
      <c r="P30" s="636"/>
      <c r="Q30" s="660">
        <v>0</v>
      </c>
      <c r="R30" s="635"/>
      <c r="S30" s="660">
        <v>0</v>
      </c>
      <c r="T30" s="707"/>
      <c r="U30" s="685">
        <v>0</v>
      </c>
    </row>
    <row r="31" spans="1:21" ht="14.4" customHeight="1" x14ac:dyDescent="0.3">
      <c r="A31" s="634">
        <v>59</v>
      </c>
      <c r="B31" s="635" t="s">
        <v>489</v>
      </c>
      <c r="C31" s="635">
        <v>89301594</v>
      </c>
      <c r="D31" s="705" t="s">
        <v>1444</v>
      </c>
      <c r="E31" s="706" t="s">
        <v>1381</v>
      </c>
      <c r="F31" s="635" t="s">
        <v>1374</v>
      </c>
      <c r="G31" s="635" t="s">
        <v>1385</v>
      </c>
      <c r="H31" s="635" t="s">
        <v>994</v>
      </c>
      <c r="I31" s="635" t="s">
        <v>1106</v>
      </c>
      <c r="J31" s="635" t="s">
        <v>1368</v>
      </c>
      <c r="K31" s="635" t="s">
        <v>1006</v>
      </c>
      <c r="L31" s="636">
        <v>32.380000000000003</v>
      </c>
      <c r="M31" s="636">
        <v>777.12000000000012</v>
      </c>
      <c r="N31" s="635">
        <v>24</v>
      </c>
      <c r="O31" s="707">
        <v>0.5</v>
      </c>
      <c r="P31" s="636">
        <v>777.12000000000012</v>
      </c>
      <c r="Q31" s="660">
        <v>1</v>
      </c>
      <c r="R31" s="635">
        <v>24</v>
      </c>
      <c r="S31" s="660">
        <v>1</v>
      </c>
      <c r="T31" s="707">
        <v>0.5</v>
      </c>
      <c r="U31" s="685">
        <v>1</v>
      </c>
    </row>
    <row r="32" spans="1:21" ht="14.4" customHeight="1" x14ac:dyDescent="0.3">
      <c r="A32" s="634">
        <v>59</v>
      </c>
      <c r="B32" s="635" t="s">
        <v>489</v>
      </c>
      <c r="C32" s="635">
        <v>89301594</v>
      </c>
      <c r="D32" s="705" t="s">
        <v>1444</v>
      </c>
      <c r="E32" s="706" t="s">
        <v>1381</v>
      </c>
      <c r="F32" s="635" t="s">
        <v>1374</v>
      </c>
      <c r="G32" s="635" t="s">
        <v>1385</v>
      </c>
      <c r="H32" s="635" t="s">
        <v>994</v>
      </c>
      <c r="I32" s="635" t="s">
        <v>1427</v>
      </c>
      <c r="J32" s="635" t="s">
        <v>1428</v>
      </c>
      <c r="K32" s="635" t="s">
        <v>1006</v>
      </c>
      <c r="L32" s="636">
        <v>31.59</v>
      </c>
      <c r="M32" s="636">
        <v>5686.2</v>
      </c>
      <c r="N32" s="635">
        <v>180</v>
      </c>
      <c r="O32" s="707">
        <v>1</v>
      </c>
      <c r="P32" s="636"/>
      <c r="Q32" s="660">
        <v>0</v>
      </c>
      <c r="R32" s="635"/>
      <c r="S32" s="660">
        <v>0</v>
      </c>
      <c r="T32" s="707"/>
      <c r="U32" s="685">
        <v>0</v>
      </c>
    </row>
    <row r="33" spans="1:21" ht="14.4" customHeight="1" x14ac:dyDescent="0.3">
      <c r="A33" s="634">
        <v>59</v>
      </c>
      <c r="B33" s="635" t="s">
        <v>489</v>
      </c>
      <c r="C33" s="635">
        <v>89301594</v>
      </c>
      <c r="D33" s="705" t="s">
        <v>1444</v>
      </c>
      <c r="E33" s="706" t="s">
        <v>1381</v>
      </c>
      <c r="F33" s="635" t="s">
        <v>1374</v>
      </c>
      <c r="G33" s="635" t="s">
        <v>1385</v>
      </c>
      <c r="H33" s="635" t="s">
        <v>994</v>
      </c>
      <c r="I33" s="635" t="s">
        <v>1386</v>
      </c>
      <c r="J33" s="635" t="s">
        <v>1387</v>
      </c>
      <c r="K33" s="635" t="s">
        <v>1388</v>
      </c>
      <c r="L33" s="636">
        <v>189.56</v>
      </c>
      <c r="M33" s="636">
        <v>42271.87999999999</v>
      </c>
      <c r="N33" s="635">
        <v>223</v>
      </c>
      <c r="O33" s="707">
        <v>11.5</v>
      </c>
      <c r="P33" s="636">
        <v>26538.399999999994</v>
      </c>
      <c r="Q33" s="660">
        <v>0.62780269058295968</v>
      </c>
      <c r="R33" s="635">
        <v>140</v>
      </c>
      <c r="S33" s="660">
        <v>0.62780269058295968</v>
      </c>
      <c r="T33" s="707">
        <v>7</v>
      </c>
      <c r="U33" s="685">
        <v>0.60869565217391308</v>
      </c>
    </row>
    <row r="34" spans="1:21" ht="14.4" customHeight="1" x14ac:dyDescent="0.3">
      <c r="A34" s="634">
        <v>59</v>
      </c>
      <c r="B34" s="635" t="s">
        <v>489</v>
      </c>
      <c r="C34" s="635">
        <v>89301594</v>
      </c>
      <c r="D34" s="705" t="s">
        <v>1444</v>
      </c>
      <c r="E34" s="706" t="s">
        <v>1381</v>
      </c>
      <c r="F34" s="635" t="s">
        <v>1374</v>
      </c>
      <c r="G34" s="635" t="s">
        <v>1385</v>
      </c>
      <c r="H34" s="635" t="s">
        <v>994</v>
      </c>
      <c r="I34" s="635" t="s">
        <v>1386</v>
      </c>
      <c r="J34" s="635" t="s">
        <v>1387</v>
      </c>
      <c r="K34" s="635" t="s">
        <v>1388</v>
      </c>
      <c r="L34" s="636">
        <v>194.26</v>
      </c>
      <c r="M34" s="636">
        <v>27196.400000000001</v>
      </c>
      <c r="N34" s="635">
        <v>140</v>
      </c>
      <c r="O34" s="707">
        <v>8</v>
      </c>
      <c r="P34" s="636">
        <v>13598.2</v>
      </c>
      <c r="Q34" s="660">
        <v>0.5</v>
      </c>
      <c r="R34" s="635">
        <v>70</v>
      </c>
      <c r="S34" s="660">
        <v>0.5</v>
      </c>
      <c r="T34" s="707">
        <v>4</v>
      </c>
      <c r="U34" s="685">
        <v>0.5</v>
      </c>
    </row>
    <row r="35" spans="1:21" ht="14.4" customHeight="1" x14ac:dyDescent="0.3">
      <c r="A35" s="634">
        <v>59</v>
      </c>
      <c r="B35" s="635" t="s">
        <v>489</v>
      </c>
      <c r="C35" s="635">
        <v>89301594</v>
      </c>
      <c r="D35" s="705" t="s">
        <v>1444</v>
      </c>
      <c r="E35" s="706" t="s">
        <v>1381</v>
      </c>
      <c r="F35" s="635" t="s">
        <v>1374</v>
      </c>
      <c r="G35" s="635" t="s">
        <v>1385</v>
      </c>
      <c r="H35" s="635" t="s">
        <v>994</v>
      </c>
      <c r="I35" s="635" t="s">
        <v>1112</v>
      </c>
      <c r="J35" s="635" t="s">
        <v>1370</v>
      </c>
      <c r="K35" s="635" t="s">
        <v>1006</v>
      </c>
      <c r="L35" s="636">
        <v>21.06</v>
      </c>
      <c r="M35" s="636">
        <v>631.79999999999995</v>
      </c>
      <c r="N35" s="635">
        <v>30</v>
      </c>
      <c r="O35" s="707">
        <v>1</v>
      </c>
      <c r="P35" s="636">
        <v>631.79999999999995</v>
      </c>
      <c r="Q35" s="660">
        <v>1</v>
      </c>
      <c r="R35" s="635">
        <v>30</v>
      </c>
      <c r="S35" s="660">
        <v>1</v>
      </c>
      <c r="T35" s="707">
        <v>1</v>
      </c>
      <c r="U35" s="685">
        <v>1</v>
      </c>
    </row>
    <row r="36" spans="1:21" ht="14.4" customHeight="1" x14ac:dyDescent="0.3">
      <c r="A36" s="634">
        <v>59</v>
      </c>
      <c r="B36" s="635" t="s">
        <v>489</v>
      </c>
      <c r="C36" s="635">
        <v>89301594</v>
      </c>
      <c r="D36" s="705" t="s">
        <v>1444</v>
      </c>
      <c r="E36" s="706" t="s">
        <v>1381</v>
      </c>
      <c r="F36" s="635" t="s">
        <v>1374</v>
      </c>
      <c r="G36" s="635" t="s">
        <v>1385</v>
      </c>
      <c r="H36" s="635" t="s">
        <v>994</v>
      </c>
      <c r="I36" s="635" t="s">
        <v>1429</v>
      </c>
      <c r="J36" s="635" t="s">
        <v>1430</v>
      </c>
      <c r="K36" s="635" t="s">
        <v>1006</v>
      </c>
      <c r="L36" s="636">
        <v>26.33</v>
      </c>
      <c r="M36" s="636">
        <v>3159.6</v>
      </c>
      <c r="N36" s="635">
        <v>120</v>
      </c>
      <c r="O36" s="707">
        <v>1.5</v>
      </c>
      <c r="P36" s="636">
        <v>2369.6999999999998</v>
      </c>
      <c r="Q36" s="660">
        <v>0.75</v>
      </c>
      <c r="R36" s="635">
        <v>90</v>
      </c>
      <c r="S36" s="660">
        <v>0.75</v>
      </c>
      <c r="T36" s="707">
        <v>1</v>
      </c>
      <c r="U36" s="685">
        <v>0.66666666666666663</v>
      </c>
    </row>
    <row r="37" spans="1:21" ht="14.4" customHeight="1" x14ac:dyDescent="0.3">
      <c r="A37" s="634">
        <v>59</v>
      </c>
      <c r="B37" s="635" t="s">
        <v>489</v>
      </c>
      <c r="C37" s="635">
        <v>89301594</v>
      </c>
      <c r="D37" s="705" t="s">
        <v>1444</v>
      </c>
      <c r="E37" s="706" t="s">
        <v>1381</v>
      </c>
      <c r="F37" s="635" t="s">
        <v>1374</v>
      </c>
      <c r="G37" s="635" t="s">
        <v>1385</v>
      </c>
      <c r="H37" s="635" t="s">
        <v>994</v>
      </c>
      <c r="I37" s="635" t="s">
        <v>1431</v>
      </c>
      <c r="J37" s="635" t="s">
        <v>1432</v>
      </c>
      <c r="K37" s="635" t="s">
        <v>1006</v>
      </c>
      <c r="L37" s="636">
        <v>26.33</v>
      </c>
      <c r="M37" s="636">
        <v>1579.8</v>
      </c>
      <c r="N37" s="635">
        <v>60</v>
      </c>
      <c r="O37" s="707">
        <v>1.5</v>
      </c>
      <c r="P37" s="636">
        <v>789.9</v>
      </c>
      <c r="Q37" s="660">
        <v>0.5</v>
      </c>
      <c r="R37" s="635">
        <v>30</v>
      </c>
      <c r="S37" s="660">
        <v>0.5</v>
      </c>
      <c r="T37" s="707">
        <v>1</v>
      </c>
      <c r="U37" s="685">
        <v>0.66666666666666663</v>
      </c>
    </row>
    <row r="38" spans="1:21" ht="14.4" customHeight="1" x14ac:dyDescent="0.3">
      <c r="A38" s="634">
        <v>59</v>
      </c>
      <c r="B38" s="635" t="s">
        <v>489</v>
      </c>
      <c r="C38" s="635">
        <v>89301594</v>
      </c>
      <c r="D38" s="705" t="s">
        <v>1444</v>
      </c>
      <c r="E38" s="706" t="s">
        <v>1381</v>
      </c>
      <c r="F38" s="635" t="s">
        <v>1374</v>
      </c>
      <c r="G38" s="635" t="s">
        <v>1385</v>
      </c>
      <c r="H38" s="635" t="s">
        <v>994</v>
      </c>
      <c r="I38" s="635" t="s">
        <v>1393</v>
      </c>
      <c r="J38" s="635" t="s">
        <v>1394</v>
      </c>
      <c r="K38" s="635" t="s">
        <v>1006</v>
      </c>
      <c r="L38" s="636">
        <v>31.59</v>
      </c>
      <c r="M38" s="636">
        <v>3790.8</v>
      </c>
      <c r="N38" s="635">
        <v>120</v>
      </c>
      <c r="O38" s="707">
        <v>1</v>
      </c>
      <c r="P38" s="636"/>
      <c r="Q38" s="660">
        <v>0</v>
      </c>
      <c r="R38" s="635"/>
      <c r="S38" s="660">
        <v>0</v>
      </c>
      <c r="T38" s="707"/>
      <c r="U38" s="685">
        <v>0</v>
      </c>
    </row>
    <row r="39" spans="1:21" ht="14.4" customHeight="1" x14ac:dyDescent="0.3">
      <c r="A39" s="634">
        <v>59</v>
      </c>
      <c r="B39" s="635" t="s">
        <v>489</v>
      </c>
      <c r="C39" s="635">
        <v>89301594</v>
      </c>
      <c r="D39" s="705" t="s">
        <v>1444</v>
      </c>
      <c r="E39" s="706" t="s">
        <v>1381</v>
      </c>
      <c r="F39" s="635" t="s">
        <v>1374</v>
      </c>
      <c r="G39" s="635" t="s">
        <v>1385</v>
      </c>
      <c r="H39" s="635" t="s">
        <v>994</v>
      </c>
      <c r="I39" s="635" t="s">
        <v>1120</v>
      </c>
      <c r="J39" s="635" t="s">
        <v>1121</v>
      </c>
      <c r="K39" s="635" t="s">
        <v>1119</v>
      </c>
      <c r="L39" s="636">
        <v>105.31</v>
      </c>
      <c r="M39" s="636">
        <v>6318.6</v>
      </c>
      <c r="N39" s="635">
        <v>60</v>
      </c>
      <c r="O39" s="707">
        <v>0.5</v>
      </c>
      <c r="P39" s="636">
        <v>6318.6</v>
      </c>
      <c r="Q39" s="660">
        <v>1</v>
      </c>
      <c r="R39" s="635">
        <v>60</v>
      </c>
      <c r="S39" s="660">
        <v>1</v>
      </c>
      <c r="T39" s="707">
        <v>0.5</v>
      </c>
      <c r="U39" s="685">
        <v>1</v>
      </c>
    </row>
    <row r="40" spans="1:21" ht="14.4" customHeight="1" x14ac:dyDescent="0.3">
      <c r="A40" s="634">
        <v>59</v>
      </c>
      <c r="B40" s="635" t="s">
        <v>489</v>
      </c>
      <c r="C40" s="635">
        <v>89301594</v>
      </c>
      <c r="D40" s="705" t="s">
        <v>1444</v>
      </c>
      <c r="E40" s="706" t="s">
        <v>1381</v>
      </c>
      <c r="F40" s="635" t="s">
        <v>1374</v>
      </c>
      <c r="G40" s="635" t="s">
        <v>1385</v>
      </c>
      <c r="H40" s="635" t="s">
        <v>994</v>
      </c>
      <c r="I40" s="635" t="s">
        <v>1433</v>
      </c>
      <c r="J40" s="635" t="s">
        <v>1121</v>
      </c>
      <c r="K40" s="635" t="s">
        <v>511</v>
      </c>
      <c r="L40" s="636">
        <v>52.66</v>
      </c>
      <c r="M40" s="636">
        <v>6319.2</v>
      </c>
      <c r="N40" s="635">
        <v>120</v>
      </c>
      <c r="O40" s="707">
        <v>1</v>
      </c>
      <c r="P40" s="636"/>
      <c r="Q40" s="660">
        <v>0</v>
      </c>
      <c r="R40" s="635"/>
      <c r="S40" s="660">
        <v>0</v>
      </c>
      <c r="T40" s="707"/>
      <c r="U40" s="685">
        <v>0</v>
      </c>
    </row>
    <row r="41" spans="1:21" ht="14.4" customHeight="1" x14ac:dyDescent="0.3">
      <c r="A41" s="634">
        <v>59</v>
      </c>
      <c r="B41" s="635" t="s">
        <v>489</v>
      </c>
      <c r="C41" s="635">
        <v>89301594</v>
      </c>
      <c r="D41" s="705" t="s">
        <v>1444</v>
      </c>
      <c r="E41" s="706" t="s">
        <v>1381</v>
      </c>
      <c r="F41" s="635" t="s">
        <v>1374</v>
      </c>
      <c r="G41" s="635" t="s">
        <v>1385</v>
      </c>
      <c r="H41" s="635" t="s">
        <v>994</v>
      </c>
      <c r="I41" s="635" t="s">
        <v>1389</v>
      </c>
      <c r="J41" s="635" t="s">
        <v>1390</v>
      </c>
      <c r="K41" s="635" t="s">
        <v>1119</v>
      </c>
      <c r="L41" s="636">
        <v>108.47</v>
      </c>
      <c r="M41" s="636">
        <v>85691.299999999988</v>
      </c>
      <c r="N41" s="635">
        <v>790</v>
      </c>
      <c r="O41" s="707">
        <v>9.5</v>
      </c>
      <c r="P41" s="636">
        <v>66166.7</v>
      </c>
      <c r="Q41" s="660">
        <v>0.77215189873417733</v>
      </c>
      <c r="R41" s="635">
        <v>610</v>
      </c>
      <c r="S41" s="660">
        <v>0.77215189873417722</v>
      </c>
      <c r="T41" s="707">
        <v>7.5</v>
      </c>
      <c r="U41" s="685">
        <v>0.78947368421052633</v>
      </c>
    </row>
    <row r="42" spans="1:21" ht="14.4" customHeight="1" x14ac:dyDescent="0.3">
      <c r="A42" s="634">
        <v>59</v>
      </c>
      <c r="B42" s="635" t="s">
        <v>489</v>
      </c>
      <c r="C42" s="635">
        <v>89301594</v>
      </c>
      <c r="D42" s="705" t="s">
        <v>1444</v>
      </c>
      <c r="E42" s="706" t="s">
        <v>1381</v>
      </c>
      <c r="F42" s="635" t="s">
        <v>1374</v>
      </c>
      <c r="G42" s="635" t="s">
        <v>1385</v>
      </c>
      <c r="H42" s="635" t="s">
        <v>994</v>
      </c>
      <c r="I42" s="635" t="s">
        <v>1434</v>
      </c>
      <c r="J42" s="635" t="s">
        <v>1435</v>
      </c>
      <c r="K42" s="635" t="s">
        <v>1436</v>
      </c>
      <c r="L42" s="636">
        <v>126.28</v>
      </c>
      <c r="M42" s="636">
        <v>7576.8</v>
      </c>
      <c r="N42" s="635">
        <v>60</v>
      </c>
      <c r="O42" s="707">
        <v>1</v>
      </c>
      <c r="P42" s="636"/>
      <c r="Q42" s="660">
        <v>0</v>
      </c>
      <c r="R42" s="635"/>
      <c r="S42" s="660">
        <v>0</v>
      </c>
      <c r="T42" s="707"/>
      <c r="U42" s="685">
        <v>0</v>
      </c>
    </row>
    <row r="43" spans="1:21" ht="14.4" customHeight="1" x14ac:dyDescent="0.3">
      <c r="A43" s="634">
        <v>59</v>
      </c>
      <c r="B43" s="635" t="s">
        <v>489</v>
      </c>
      <c r="C43" s="635">
        <v>89301594</v>
      </c>
      <c r="D43" s="705" t="s">
        <v>1444</v>
      </c>
      <c r="E43" s="706" t="s">
        <v>1381</v>
      </c>
      <c r="F43" s="635" t="s">
        <v>1374</v>
      </c>
      <c r="G43" s="635" t="s">
        <v>1385</v>
      </c>
      <c r="H43" s="635" t="s">
        <v>488</v>
      </c>
      <c r="I43" s="635" t="s">
        <v>1437</v>
      </c>
      <c r="J43" s="635" t="s">
        <v>1438</v>
      </c>
      <c r="K43" s="635" t="s">
        <v>1439</v>
      </c>
      <c r="L43" s="636">
        <v>168.5</v>
      </c>
      <c r="M43" s="636">
        <v>842.5</v>
      </c>
      <c r="N43" s="635">
        <v>5</v>
      </c>
      <c r="O43" s="707">
        <v>1</v>
      </c>
      <c r="P43" s="636"/>
      <c r="Q43" s="660">
        <v>0</v>
      </c>
      <c r="R43" s="635"/>
      <c r="S43" s="660">
        <v>0</v>
      </c>
      <c r="T43" s="707"/>
      <c r="U43" s="685">
        <v>0</v>
      </c>
    </row>
    <row r="44" spans="1:21" ht="14.4" customHeight="1" thickBot="1" x14ac:dyDescent="0.35">
      <c r="A44" s="640">
        <v>59</v>
      </c>
      <c r="B44" s="641" t="s">
        <v>489</v>
      </c>
      <c r="C44" s="641">
        <v>89301594</v>
      </c>
      <c r="D44" s="708" t="s">
        <v>1444</v>
      </c>
      <c r="E44" s="709" t="s">
        <v>1381</v>
      </c>
      <c r="F44" s="641" t="s">
        <v>1374</v>
      </c>
      <c r="G44" s="641" t="s">
        <v>1440</v>
      </c>
      <c r="H44" s="641" t="s">
        <v>994</v>
      </c>
      <c r="I44" s="641" t="s">
        <v>1441</v>
      </c>
      <c r="J44" s="641" t="s">
        <v>1442</v>
      </c>
      <c r="K44" s="641" t="s">
        <v>1443</v>
      </c>
      <c r="L44" s="642">
        <v>140.03</v>
      </c>
      <c r="M44" s="642">
        <v>420.09000000000003</v>
      </c>
      <c r="N44" s="641">
        <v>3</v>
      </c>
      <c r="O44" s="710">
        <v>0.5</v>
      </c>
      <c r="P44" s="642">
        <v>420.09000000000003</v>
      </c>
      <c r="Q44" s="652">
        <v>1</v>
      </c>
      <c r="R44" s="641">
        <v>3</v>
      </c>
      <c r="S44" s="652">
        <v>1</v>
      </c>
      <c r="T44" s="710">
        <v>0.5</v>
      </c>
      <c r="U44" s="68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7" width="8.88671875" style="260" customWidth="1"/>
    <col min="8" max="16384" width="8.88671875" style="260"/>
  </cols>
  <sheetData>
    <row r="1" spans="1:6" ht="37.799999999999997" customHeight="1" thickBot="1" x14ac:dyDescent="0.4">
      <c r="A1" s="495" t="s">
        <v>1446</v>
      </c>
      <c r="B1" s="496"/>
      <c r="C1" s="496"/>
      <c r="D1" s="496"/>
      <c r="E1" s="496"/>
      <c r="F1" s="496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7" t="s">
        <v>165</v>
      </c>
      <c r="C3" s="498"/>
      <c r="D3" s="499" t="s">
        <v>164</v>
      </c>
      <c r="E3" s="498"/>
      <c r="F3" s="105" t="s">
        <v>6</v>
      </c>
    </row>
    <row r="4" spans="1:6" ht="14.4" customHeight="1" thickBot="1" x14ac:dyDescent="0.35">
      <c r="A4" s="711" t="s">
        <v>244</v>
      </c>
      <c r="B4" s="647" t="s">
        <v>17</v>
      </c>
      <c r="C4" s="648" t="s">
        <v>5</v>
      </c>
      <c r="D4" s="647" t="s">
        <v>17</v>
      </c>
      <c r="E4" s="648" t="s">
        <v>5</v>
      </c>
      <c r="F4" s="649" t="s">
        <v>17</v>
      </c>
    </row>
    <row r="5" spans="1:6" ht="14.4" customHeight="1" x14ac:dyDescent="0.3">
      <c r="A5" s="713" t="s">
        <v>1381</v>
      </c>
      <c r="B5" s="235">
        <v>842.5</v>
      </c>
      <c r="C5" s="704">
        <v>4.026468883328989E-3</v>
      </c>
      <c r="D5" s="235">
        <v>208397.91000000003</v>
      </c>
      <c r="E5" s="704">
        <v>0.99597353111667097</v>
      </c>
      <c r="F5" s="712">
        <v>209240.41000000003</v>
      </c>
    </row>
    <row r="6" spans="1:6" ht="14.4" customHeight="1" x14ac:dyDescent="0.3">
      <c r="A6" s="665" t="s">
        <v>1379</v>
      </c>
      <c r="B6" s="638"/>
      <c r="C6" s="660">
        <v>0</v>
      </c>
      <c r="D6" s="638">
        <v>76571.47</v>
      </c>
      <c r="E6" s="660">
        <v>1</v>
      </c>
      <c r="F6" s="639">
        <v>76571.47</v>
      </c>
    </row>
    <row r="7" spans="1:6" ht="14.4" customHeight="1" thickBot="1" x14ac:dyDescent="0.35">
      <c r="A7" s="666" t="s">
        <v>1380</v>
      </c>
      <c r="B7" s="661"/>
      <c r="C7" s="662">
        <v>0</v>
      </c>
      <c r="D7" s="661">
        <v>2843.1000000000004</v>
      </c>
      <c r="E7" s="662">
        <v>1</v>
      </c>
      <c r="F7" s="663">
        <v>2843.1000000000004</v>
      </c>
    </row>
    <row r="8" spans="1:6" ht="14.4" customHeight="1" thickBot="1" x14ac:dyDescent="0.35">
      <c r="A8" s="654" t="s">
        <v>6</v>
      </c>
      <c r="B8" s="655">
        <v>842.5</v>
      </c>
      <c r="C8" s="656">
        <v>2.9187093879343424E-3</v>
      </c>
      <c r="D8" s="655">
        <v>287812.48000000004</v>
      </c>
      <c r="E8" s="656">
        <v>0.99708129061206563</v>
      </c>
      <c r="F8" s="657">
        <v>288654.98000000004</v>
      </c>
    </row>
    <row r="9" spans="1:6" ht="14.4" customHeight="1" thickBot="1" x14ac:dyDescent="0.35"/>
    <row r="10" spans="1:6" ht="14.4" customHeight="1" x14ac:dyDescent="0.3">
      <c r="A10" s="713" t="s">
        <v>1270</v>
      </c>
      <c r="B10" s="235">
        <v>842.5</v>
      </c>
      <c r="C10" s="704">
        <v>2.9229632817872951E-3</v>
      </c>
      <c r="D10" s="235">
        <v>287392.39</v>
      </c>
      <c r="E10" s="704">
        <v>0.99707703671821268</v>
      </c>
      <c r="F10" s="712">
        <v>288234.89</v>
      </c>
    </row>
    <row r="11" spans="1:6" ht="14.4" customHeight="1" x14ac:dyDescent="0.3">
      <c r="A11" s="665" t="s">
        <v>1447</v>
      </c>
      <c r="B11" s="638"/>
      <c r="C11" s="660">
        <v>0</v>
      </c>
      <c r="D11" s="638">
        <v>420.09000000000003</v>
      </c>
      <c r="E11" s="660">
        <v>1</v>
      </c>
      <c r="F11" s="639">
        <v>420.09000000000003</v>
      </c>
    </row>
    <row r="12" spans="1:6" ht="14.4" customHeight="1" thickBot="1" x14ac:dyDescent="0.35">
      <c r="A12" s="666" t="s">
        <v>1272</v>
      </c>
      <c r="B12" s="661">
        <v>0</v>
      </c>
      <c r="C12" s="662"/>
      <c r="D12" s="661"/>
      <c r="E12" s="662"/>
      <c r="F12" s="663">
        <v>0</v>
      </c>
    </row>
    <row r="13" spans="1:6" ht="14.4" customHeight="1" thickBot="1" x14ac:dyDescent="0.35">
      <c r="A13" s="654" t="s">
        <v>6</v>
      </c>
      <c r="B13" s="655">
        <v>842.5</v>
      </c>
      <c r="C13" s="656">
        <v>2.9187093879343424E-3</v>
      </c>
      <c r="D13" s="655">
        <v>287812.48000000004</v>
      </c>
      <c r="E13" s="656">
        <v>0.99708129061206563</v>
      </c>
      <c r="F13" s="657">
        <v>288654.98000000004</v>
      </c>
    </row>
  </sheetData>
  <mergeCells count="3">
    <mergeCell ref="A1:F1"/>
    <mergeCell ref="B3:C3"/>
    <mergeCell ref="D3:E3"/>
  </mergeCells>
  <conditionalFormatting sqref="C5:C1048576">
    <cfRule type="cellIs" dxfId="34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{F90D3A42-5966-44D1-8193-A30EC3DF3C01}</x14:id>
        </ext>
      </extLst>
    </cfRule>
  </conditionalFormatting>
  <conditionalFormatting sqref="F10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{DF4A86FC-74BF-460A-8E47-314433305DCC}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0D3A42-5966-44D1-8193-A30EC3DF3C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DF4A86FC-74BF-460A-8E47-314433305D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60" customWidth="1"/>
    <col min="2" max="2" width="8.88671875" style="260" bestFit="1" customWidth="1"/>
    <col min="3" max="3" width="7" style="260" bestFit="1" customWidth="1"/>
    <col min="4" max="5" width="22.21875" style="260" customWidth="1"/>
    <col min="6" max="6" width="6.6640625" style="343" customWidth="1"/>
    <col min="7" max="7" width="10" style="343" customWidth="1"/>
    <col min="8" max="8" width="6.77734375" style="346" customWidth="1"/>
    <col min="9" max="9" width="6.6640625" style="343" customWidth="1"/>
    <col min="10" max="10" width="10" style="343" customWidth="1"/>
    <col min="11" max="11" width="6.77734375" style="346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6" t="s">
        <v>1449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64"/>
      <c r="M1" s="464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6</v>
      </c>
      <c r="G3" s="47">
        <f>SUBTOTAL(9,G6:G1048576)</f>
        <v>842.5</v>
      </c>
      <c r="H3" s="48">
        <f>IF(M3=0,0,G3/M3)</f>
        <v>2.9187093879343437E-3</v>
      </c>
      <c r="I3" s="47">
        <f>SUBTOTAL(9,I6:I1048576)</f>
        <v>3180</v>
      </c>
      <c r="J3" s="47">
        <f>SUBTOTAL(9,J6:J1048576)</f>
        <v>287812.47999999992</v>
      </c>
      <c r="K3" s="48">
        <f>IF(M3=0,0,J3/M3)</f>
        <v>0.99708129061206563</v>
      </c>
      <c r="L3" s="47">
        <f>SUBTOTAL(9,L6:L1048576)</f>
        <v>3186</v>
      </c>
      <c r="M3" s="49">
        <f>SUBTOTAL(9,M6:M1048576)</f>
        <v>288654.97999999992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165</v>
      </c>
      <c r="G4" s="501"/>
      <c r="H4" s="502"/>
      <c r="I4" s="503" t="s">
        <v>164</v>
      </c>
      <c r="J4" s="501"/>
      <c r="K4" s="502"/>
      <c r="L4" s="504" t="s">
        <v>6</v>
      </c>
      <c r="M4" s="505"/>
    </row>
    <row r="5" spans="1:13" ht="14.4" customHeight="1" thickBot="1" x14ac:dyDescent="0.35">
      <c r="A5" s="711" t="s">
        <v>171</v>
      </c>
      <c r="B5" s="714" t="s">
        <v>167</v>
      </c>
      <c r="C5" s="714" t="s">
        <v>93</v>
      </c>
      <c r="D5" s="714" t="s">
        <v>168</v>
      </c>
      <c r="E5" s="714" t="s">
        <v>169</v>
      </c>
      <c r="F5" s="668" t="s">
        <v>31</v>
      </c>
      <c r="G5" s="668" t="s">
        <v>17</v>
      </c>
      <c r="H5" s="648" t="s">
        <v>170</v>
      </c>
      <c r="I5" s="647" t="s">
        <v>31</v>
      </c>
      <c r="J5" s="668" t="s">
        <v>17</v>
      </c>
      <c r="K5" s="648" t="s">
        <v>170</v>
      </c>
      <c r="L5" s="647" t="s">
        <v>31</v>
      </c>
      <c r="M5" s="669" t="s">
        <v>17</v>
      </c>
    </row>
    <row r="6" spans="1:13" ht="14.4" customHeight="1" x14ac:dyDescent="0.3">
      <c r="A6" s="698" t="s">
        <v>1379</v>
      </c>
      <c r="B6" s="699" t="s">
        <v>1366</v>
      </c>
      <c r="C6" s="699" t="s">
        <v>1106</v>
      </c>
      <c r="D6" s="699" t="s">
        <v>1368</v>
      </c>
      <c r="E6" s="699" t="s">
        <v>1006</v>
      </c>
      <c r="F6" s="235"/>
      <c r="G6" s="235"/>
      <c r="H6" s="704">
        <v>0</v>
      </c>
      <c r="I6" s="235">
        <v>10</v>
      </c>
      <c r="J6" s="235">
        <v>323.8</v>
      </c>
      <c r="K6" s="704">
        <v>1</v>
      </c>
      <c r="L6" s="235">
        <v>10</v>
      </c>
      <c r="M6" s="712">
        <v>323.8</v>
      </c>
    </row>
    <row r="7" spans="1:13" ht="14.4" customHeight="1" x14ac:dyDescent="0.3">
      <c r="A7" s="634" t="s">
        <v>1379</v>
      </c>
      <c r="B7" s="635" t="s">
        <v>1366</v>
      </c>
      <c r="C7" s="635" t="s">
        <v>1386</v>
      </c>
      <c r="D7" s="635" t="s">
        <v>1387</v>
      </c>
      <c r="E7" s="635" t="s">
        <v>1388</v>
      </c>
      <c r="F7" s="638"/>
      <c r="G7" s="638"/>
      <c r="H7" s="660">
        <v>0</v>
      </c>
      <c r="I7" s="638">
        <v>135</v>
      </c>
      <c r="J7" s="638">
        <v>25689.299999999996</v>
      </c>
      <c r="K7" s="660">
        <v>1</v>
      </c>
      <c r="L7" s="638">
        <v>135</v>
      </c>
      <c r="M7" s="639">
        <v>25689.299999999996</v>
      </c>
    </row>
    <row r="8" spans="1:13" ht="14.4" customHeight="1" x14ac:dyDescent="0.3">
      <c r="A8" s="634" t="s">
        <v>1379</v>
      </c>
      <c r="B8" s="635" t="s">
        <v>1366</v>
      </c>
      <c r="C8" s="635" t="s">
        <v>1004</v>
      </c>
      <c r="D8" s="635" t="s">
        <v>1371</v>
      </c>
      <c r="E8" s="635" t="s">
        <v>1006</v>
      </c>
      <c r="F8" s="638"/>
      <c r="G8" s="638"/>
      <c r="H8" s="660">
        <v>0</v>
      </c>
      <c r="I8" s="638">
        <v>15</v>
      </c>
      <c r="J8" s="638">
        <v>394.95</v>
      </c>
      <c r="K8" s="660">
        <v>1</v>
      </c>
      <c r="L8" s="638">
        <v>15</v>
      </c>
      <c r="M8" s="639">
        <v>394.95</v>
      </c>
    </row>
    <row r="9" spans="1:13" ht="14.4" customHeight="1" x14ac:dyDescent="0.3">
      <c r="A9" s="634" t="s">
        <v>1379</v>
      </c>
      <c r="B9" s="635" t="s">
        <v>1366</v>
      </c>
      <c r="C9" s="635" t="s">
        <v>1120</v>
      </c>
      <c r="D9" s="635" t="s">
        <v>1121</v>
      </c>
      <c r="E9" s="635" t="s">
        <v>1119</v>
      </c>
      <c r="F9" s="638"/>
      <c r="G9" s="638"/>
      <c r="H9" s="660">
        <v>0</v>
      </c>
      <c r="I9" s="638">
        <v>396</v>
      </c>
      <c r="J9" s="638">
        <v>41702.759999999995</v>
      </c>
      <c r="K9" s="660">
        <v>1</v>
      </c>
      <c r="L9" s="638">
        <v>396</v>
      </c>
      <c r="M9" s="639">
        <v>41702.759999999995</v>
      </c>
    </row>
    <row r="10" spans="1:13" ht="14.4" customHeight="1" x14ac:dyDescent="0.3">
      <c r="A10" s="634" t="s">
        <v>1379</v>
      </c>
      <c r="B10" s="635" t="s">
        <v>1366</v>
      </c>
      <c r="C10" s="635" t="s">
        <v>1389</v>
      </c>
      <c r="D10" s="635" t="s">
        <v>1390</v>
      </c>
      <c r="E10" s="635" t="s">
        <v>1119</v>
      </c>
      <c r="F10" s="638"/>
      <c r="G10" s="638"/>
      <c r="H10" s="660">
        <v>0</v>
      </c>
      <c r="I10" s="638">
        <v>78</v>
      </c>
      <c r="J10" s="638">
        <v>8460.66</v>
      </c>
      <c r="K10" s="660">
        <v>1</v>
      </c>
      <c r="L10" s="638">
        <v>78</v>
      </c>
      <c r="M10" s="639">
        <v>8460.66</v>
      </c>
    </row>
    <row r="11" spans="1:13" ht="14.4" customHeight="1" x14ac:dyDescent="0.3">
      <c r="A11" s="634" t="s">
        <v>1380</v>
      </c>
      <c r="B11" s="635" t="s">
        <v>1366</v>
      </c>
      <c r="C11" s="635" t="s">
        <v>1391</v>
      </c>
      <c r="D11" s="635" t="s">
        <v>1392</v>
      </c>
      <c r="E11" s="635" t="s">
        <v>1006</v>
      </c>
      <c r="F11" s="638"/>
      <c r="G11" s="638"/>
      <c r="H11" s="660">
        <v>0</v>
      </c>
      <c r="I11" s="638">
        <v>30</v>
      </c>
      <c r="J11" s="638">
        <v>947.7</v>
      </c>
      <c r="K11" s="660">
        <v>1</v>
      </c>
      <c r="L11" s="638">
        <v>30</v>
      </c>
      <c r="M11" s="639">
        <v>947.7</v>
      </c>
    </row>
    <row r="12" spans="1:13" ht="14.4" customHeight="1" x14ac:dyDescent="0.3">
      <c r="A12" s="634" t="s">
        <v>1380</v>
      </c>
      <c r="B12" s="635" t="s">
        <v>1366</v>
      </c>
      <c r="C12" s="635" t="s">
        <v>1393</v>
      </c>
      <c r="D12" s="635" t="s">
        <v>1394</v>
      </c>
      <c r="E12" s="635" t="s">
        <v>1006</v>
      </c>
      <c r="F12" s="638"/>
      <c r="G12" s="638"/>
      <c r="H12" s="660">
        <v>0</v>
      </c>
      <c r="I12" s="638">
        <v>30</v>
      </c>
      <c r="J12" s="638">
        <v>947.7</v>
      </c>
      <c r="K12" s="660">
        <v>1</v>
      </c>
      <c r="L12" s="638">
        <v>30</v>
      </c>
      <c r="M12" s="639">
        <v>947.7</v>
      </c>
    </row>
    <row r="13" spans="1:13" ht="14.4" customHeight="1" x14ac:dyDescent="0.3">
      <c r="A13" s="634" t="s">
        <v>1380</v>
      </c>
      <c r="B13" s="635" t="s">
        <v>1366</v>
      </c>
      <c r="C13" s="635" t="s">
        <v>1395</v>
      </c>
      <c r="D13" s="635" t="s">
        <v>1396</v>
      </c>
      <c r="E13" s="635" t="s">
        <v>1006</v>
      </c>
      <c r="F13" s="638"/>
      <c r="G13" s="638"/>
      <c r="H13" s="660">
        <v>0</v>
      </c>
      <c r="I13" s="638">
        <v>30</v>
      </c>
      <c r="J13" s="638">
        <v>947.7</v>
      </c>
      <c r="K13" s="660">
        <v>1</v>
      </c>
      <c r="L13" s="638">
        <v>30</v>
      </c>
      <c r="M13" s="639">
        <v>947.7</v>
      </c>
    </row>
    <row r="14" spans="1:13" ht="14.4" customHeight="1" x14ac:dyDescent="0.3">
      <c r="A14" s="634" t="s">
        <v>1381</v>
      </c>
      <c r="B14" s="635" t="s">
        <v>1448</v>
      </c>
      <c r="C14" s="635" t="s">
        <v>1441</v>
      </c>
      <c r="D14" s="635" t="s">
        <v>1442</v>
      </c>
      <c r="E14" s="635" t="s">
        <v>1443</v>
      </c>
      <c r="F14" s="638"/>
      <c r="G14" s="638"/>
      <c r="H14" s="660">
        <v>0</v>
      </c>
      <c r="I14" s="638">
        <v>3</v>
      </c>
      <c r="J14" s="638">
        <v>420.09000000000003</v>
      </c>
      <c r="K14" s="660">
        <v>1</v>
      </c>
      <c r="L14" s="638">
        <v>3</v>
      </c>
      <c r="M14" s="639">
        <v>420.09000000000003</v>
      </c>
    </row>
    <row r="15" spans="1:13" ht="14.4" customHeight="1" x14ac:dyDescent="0.3">
      <c r="A15" s="634" t="s">
        <v>1381</v>
      </c>
      <c r="B15" s="635" t="s">
        <v>1340</v>
      </c>
      <c r="C15" s="635" t="s">
        <v>1408</v>
      </c>
      <c r="D15" s="635" t="s">
        <v>1409</v>
      </c>
      <c r="E15" s="635" t="s">
        <v>1410</v>
      </c>
      <c r="F15" s="638">
        <v>1</v>
      </c>
      <c r="G15" s="638">
        <v>0</v>
      </c>
      <c r="H15" s="660"/>
      <c r="I15" s="638"/>
      <c r="J15" s="638"/>
      <c r="K15" s="660"/>
      <c r="L15" s="638">
        <v>1</v>
      </c>
      <c r="M15" s="639">
        <v>0</v>
      </c>
    </row>
    <row r="16" spans="1:13" ht="14.4" customHeight="1" x14ac:dyDescent="0.3">
      <c r="A16" s="634" t="s">
        <v>1381</v>
      </c>
      <c r="B16" s="635" t="s">
        <v>1366</v>
      </c>
      <c r="C16" s="635" t="s">
        <v>1126</v>
      </c>
      <c r="D16" s="635" t="s">
        <v>1367</v>
      </c>
      <c r="E16" s="635" t="s">
        <v>1006</v>
      </c>
      <c r="F16" s="638"/>
      <c r="G16" s="638"/>
      <c r="H16" s="660">
        <v>0</v>
      </c>
      <c r="I16" s="638">
        <v>336</v>
      </c>
      <c r="J16" s="638">
        <v>10905.119999999999</v>
      </c>
      <c r="K16" s="660">
        <v>1</v>
      </c>
      <c r="L16" s="638">
        <v>336</v>
      </c>
      <c r="M16" s="639">
        <v>10905.119999999999</v>
      </c>
    </row>
    <row r="17" spans="1:13" ht="14.4" customHeight="1" x14ac:dyDescent="0.3">
      <c r="A17" s="634" t="s">
        <v>1381</v>
      </c>
      <c r="B17" s="635" t="s">
        <v>1366</v>
      </c>
      <c r="C17" s="635" t="s">
        <v>1425</v>
      </c>
      <c r="D17" s="635" t="s">
        <v>1426</v>
      </c>
      <c r="E17" s="635" t="s">
        <v>1006</v>
      </c>
      <c r="F17" s="638"/>
      <c r="G17" s="638"/>
      <c r="H17" s="660">
        <v>0</v>
      </c>
      <c r="I17" s="638">
        <v>190</v>
      </c>
      <c r="J17" s="638">
        <v>6073.2000000000007</v>
      </c>
      <c r="K17" s="660">
        <v>1</v>
      </c>
      <c r="L17" s="638">
        <v>190</v>
      </c>
      <c r="M17" s="639">
        <v>6073.2000000000007</v>
      </c>
    </row>
    <row r="18" spans="1:13" ht="14.4" customHeight="1" x14ac:dyDescent="0.3">
      <c r="A18" s="634" t="s">
        <v>1381</v>
      </c>
      <c r="B18" s="635" t="s">
        <v>1366</v>
      </c>
      <c r="C18" s="635" t="s">
        <v>1106</v>
      </c>
      <c r="D18" s="635" t="s">
        <v>1368</v>
      </c>
      <c r="E18" s="635" t="s">
        <v>1006</v>
      </c>
      <c r="F18" s="638"/>
      <c r="G18" s="638"/>
      <c r="H18" s="660">
        <v>0</v>
      </c>
      <c r="I18" s="638">
        <v>24</v>
      </c>
      <c r="J18" s="638">
        <v>777.12000000000012</v>
      </c>
      <c r="K18" s="660">
        <v>1</v>
      </c>
      <c r="L18" s="638">
        <v>24</v>
      </c>
      <c r="M18" s="639">
        <v>777.12000000000012</v>
      </c>
    </row>
    <row r="19" spans="1:13" ht="14.4" customHeight="1" x14ac:dyDescent="0.3">
      <c r="A19" s="634" t="s">
        <v>1381</v>
      </c>
      <c r="B19" s="635" t="s">
        <v>1366</v>
      </c>
      <c r="C19" s="635" t="s">
        <v>1427</v>
      </c>
      <c r="D19" s="635" t="s">
        <v>1428</v>
      </c>
      <c r="E19" s="635" t="s">
        <v>1006</v>
      </c>
      <c r="F19" s="638"/>
      <c r="G19" s="638"/>
      <c r="H19" s="660">
        <v>0</v>
      </c>
      <c r="I19" s="638">
        <v>180</v>
      </c>
      <c r="J19" s="638">
        <v>5686.2</v>
      </c>
      <c r="K19" s="660">
        <v>1</v>
      </c>
      <c r="L19" s="638">
        <v>180</v>
      </c>
      <c r="M19" s="639">
        <v>5686.2</v>
      </c>
    </row>
    <row r="20" spans="1:13" ht="14.4" customHeight="1" x14ac:dyDescent="0.3">
      <c r="A20" s="634" t="s">
        <v>1381</v>
      </c>
      <c r="B20" s="635" t="s">
        <v>1366</v>
      </c>
      <c r="C20" s="635" t="s">
        <v>1386</v>
      </c>
      <c r="D20" s="635" t="s">
        <v>1387</v>
      </c>
      <c r="E20" s="635" t="s">
        <v>1388</v>
      </c>
      <c r="F20" s="638"/>
      <c r="G20" s="638"/>
      <c r="H20" s="660">
        <v>0</v>
      </c>
      <c r="I20" s="638">
        <v>363</v>
      </c>
      <c r="J20" s="638">
        <v>69468.28</v>
      </c>
      <c r="K20" s="660">
        <v>1</v>
      </c>
      <c r="L20" s="638">
        <v>363</v>
      </c>
      <c r="M20" s="639">
        <v>69468.28</v>
      </c>
    </row>
    <row r="21" spans="1:13" ht="14.4" customHeight="1" x14ac:dyDescent="0.3">
      <c r="A21" s="634" t="s">
        <v>1381</v>
      </c>
      <c r="B21" s="635" t="s">
        <v>1366</v>
      </c>
      <c r="C21" s="635" t="s">
        <v>1112</v>
      </c>
      <c r="D21" s="635" t="s">
        <v>1370</v>
      </c>
      <c r="E21" s="635" t="s">
        <v>1006</v>
      </c>
      <c r="F21" s="638"/>
      <c r="G21" s="638"/>
      <c r="H21" s="660">
        <v>0</v>
      </c>
      <c r="I21" s="638">
        <v>30</v>
      </c>
      <c r="J21" s="638">
        <v>631.79999999999995</v>
      </c>
      <c r="K21" s="660">
        <v>1</v>
      </c>
      <c r="L21" s="638">
        <v>30</v>
      </c>
      <c r="M21" s="639">
        <v>631.79999999999995</v>
      </c>
    </row>
    <row r="22" spans="1:13" ht="14.4" customHeight="1" x14ac:dyDescent="0.3">
      <c r="A22" s="634" t="s">
        <v>1381</v>
      </c>
      <c r="B22" s="635" t="s">
        <v>1366</v>
      </c>
      <c r="C22" s="635" t="s">
        <v>1429</v>
      </c>
      <c r="D22" s="635" t="s">
        <v>1430</v>
      </c>
      <c r="E22" s="635" t="s">
        <v>1006</v>
      </c>
      <c r="F22" s="638"/>
      <c r="G22" s="638"/>
      <c r="H22" s="660">
        <v>0</v>
      </c>
      <c r="I22" s="638">
        <v>120</v>
      </c>
      <c r="J22" s="638">
        <v>3159.6</v>
      </c>
      <c r="K22" s="660">
        <v>1</v>
      </c>
      <c r="L22" s="638">
        <v>120</v>
      </c>
      <c r="M22" s="639">
        <v>3159.6</v>
      </c>
    </row>
    <row r="23" spans="1:13" ht="14.4" customHeight="1" x14ac:dyDescent="0.3">
      <c r="A23" s="634" t="s">
        <v>1381</v>
      </c>
      <c r="B23" s="635" t="s">
        <v>1366</v>
      </c>
      <c r="C23" s="635" t="s">
        <v>1431</v>
      </c>
      <c r="D23" s="635" t="s">
        <v>1432</v>
      </c>
      <c r="E23" s="635" t="s">
        <v>1006</v>
      </c>
      <c r="F23" s="638"/>
      <c r="G23" s="638"/>
      <c r="H23" s="660">
        <v>0</v>
      </c>
      <c r="I23" s="638">
        <v>60</v>
      </c>
      <c r="J23" s="638">
        <v>1579.8</v>
      </c>
      <c r="K23" s="660">
        <v>1</v>
      </c>
      <c r="L23" s="638">
        <v>60</v>
      </c>
      <c r="M23" s="639">
        <v>1579.8</v>
      </c>
    </row>
    <row r="24" spans="1:13" ht="14.4" customHeight="1" x14ac:dyDescent="0.3">
      <c r="A24" s="634" t="s">
        <v>1381</v>
      </c>
      <c r="B24" s="635" t="s">
        <v>1366</v>
      </c>
      <c r="C24" s="635" t="s">
        <v>1393</v>
      </c>
      <c r="D24" s="635" t="s">
        <v>1394</v>
      </c>
      <c r="E24" s="635" t="s">
        <v>1006</v>
      </c>
      <c r="F24" s="638"/>
      <c r="G24" s="638"/>
      <c r="H24" s="660">
        <v>0</v>
      </c>
      <c r="I24" s="638">
        <v>120</v>
      </c>
      <c r="J24" s="638">
        <v>3790.8</v>
      </c>
      <c r="K24" s="660">
        <v>1</v>
      </c>
      <c r="L24" s="638">
        <v>120</v>
      </c>
      <c r="M24" s="639">
        <v>3790.8</v>
      </c>
    </row>
    <row r="25" spans="1:13" ht="14.4" customHeight="1" x14ac:dyDescent="0.3">
      <c r="A25" s="634" t="s">
        <v>1381</v>
      </c>
      <c r="B25" s="635" t="s">
        <v>1366</v>
      </c>
      <c r="C25" s="635" t="s">
        <v>1120</v>
      </c>
      <c r="D25" s="635" t="s">
        <v>1121</v>
      </c>
      <c r="E25" s="635" t="s">
        <v>1119</v>
      </c>
      <c r="F25" s="638"/>
      <c r="G25" s="638"/>
      <c r="H25" s="660">
        <v>0</v>
      </c>
      <c r="I25" s="638">
        <v>60</v>
      </c>
      <c r="J25" s="638">
        <v>6318.6</v>
      </c>
      <c r="K25" s="660">
        <v>1</v>
      </c>
      <c r="L25" s="638">
        <v>60</v>
      </c>
      <c r="M25" s="639">
        <v>6318.6</v>
      </c>
    </row>
    <row r="26" spans="1:13" ht="14.4" customHeight="1" x14ac:dyDescent="0.3">
      <c r="A26" s="634" t="s">
        <v>1381</v>
      </c>
      <c r="B26" s="635" t="s">
        <v>1366</v>
      </c>
      <c r="C26" s="635" t="s">
        <v>1433</v>
      </c>
      <c r="D26" s="635" t="s">
        <v>1121</v>
      </c>
      <c r="E26" s="635" t="s">
        <v>511</v>
      </c>
      <c r="F26" s="638"/>
      <c r="G26" s="638"/>
      <c r="H26" s="660">
        <v>0</v>
      </c>
      <c r="I26" s="638">
        <v>120</v>
      </c>
      <c r="J26" s="638">
        <v>6319.2</v>
      </c>
      <c r="K26" s="660">
        <v>1</v>
      </c>
      <c r="L26" s="638">
        <v>120</v>
      </c>
      <c r="M26" s="639">
        <v>6319.2</v>
      </c>
    </row>
    <row r="27" spans="1:13" ht="14.4" customHeight="1" x14ac:dyDescent="0.3">
      <c r="A27" s="634" t="s">
        <v>1381</v>
      </c>
      <c r="B27" s="635" t="s">
        <v>1366</v>
      </c>
      <c r="C27" s="635" t="s">
        <v>1389</v>
      </c>
      <c r="D27" s="635" t="s">
        <v>1390</v>
      </c>
      <c r="E27" s="635" t="s">
        <v>1119</v>
      </c>
      <c r="F27" s="638"/>
      <c r="G27" s="638"/>
      <c r="H27" s="660">
        <v>0</v>
      </c>
      <c r="I27" s="638">
        <v>790</v>
      </c>
      <c r="J27" s="638">
        <v>85691.3</v>
      </c>
      <c r="K27" s="660">
        <v>1</v>
      </c>
      <c r="L27" s="638">
        <v>790</v>
      </c>
      <c r="M27" s="639">
        <v>85691.3</v>
      </c>
    </row>
    <row r="28" spans="1:13" ht="14.4" customHeight="1" x14ac:dyDescent="0.3">
      <c r="A28" s="634" t="s">
        <v>1381</v>
      </c>
      <c r="B28" s="635" t="s">
        <v>1366</v>
      </c>
      <c r="C28" s="635" t="s">
        <v>1434</v>
      </c>
      <c r="D28" s="635" t="s">
        <v>1435</v>
      </c>
      <c r="E28" s="635" t="s">
        <v>1436</v>
      </c>
      <c r="F28" s="638"/>
      <c r="G28" s="638"/>
      <c r="H28" s="660">
        <v>0</v>
      </c>
      <c r="I28" s="638">
        <v>60</v>
      </c>
      <c r="J28" s="638">
        <v>7576.8</v>
      </c>
      <c r="K28" s="660">
        <v>1</v>
      </c>
      <c r="L28" s="638">
        <v>60</v>
      </c>
      <c r="M28" s="639">
        <v>7576.8</v>
      </c>
    </row>
    <row r="29" spans="1:13" ht="14.4" customHeight="1" thickBot="1" x14ac:dyDescent="0.35">
      <c r="A29" s="640" t="s">
        <v>1381</v>
      </c>
      <c r="B29" s="641" t="s">
        <v>1366</v>
      </c>
      <c r="C29" s="641" t="s">
        <v>1437</v>
      </c>
      <c r="D29" s="641" t="s">
        <v>1438</v>
      </c>
      <c r="E29" s="641" t="s">
        <v>1439</v>
      </c>
      <c r="F29" s="644">
        <v>5</v>
      </c>
      <c r="G29" s="644">
        <v>842.5</v>
      </c>
      <c r="H29" s="652">
        <v>1</v>
      </c>
      <c r="I29" s="644"/>
      <c r="J29" s="644"/>
      <c r="K29" s="652">
        <v>0</v>
      </c>
      <c r="L29" s="644">
        <v>5</v>
      </c>
      <c r="M29" s="645">
        <v>842.5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33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9" ht="18.600000000000001" customHeight="1" thickBot="1" x14ac:dyDescent="0.4">
      <c r="A1" s="488" t="s">
        <v>182</v>
      </c>
      <c r="B1" s="489"/>
      <c r="C1" s="489"/>
      <c r="D1" s="489"/>
      <c r="E1" s="489"/>
      <c r="F1" s="489"/>
      <c r="G1" s="465"/>
    </row>
    <row r="2" spans="1:9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9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3</v>
      </c>
      <c r="E3" s="211" t="s">
        <v>4</v>
      </c>
      <c r="F3" s="211" t="s">
        <v>5</v>
      </c>
      <c r="G3" s="212" t="s">
        <v>188</v>
      </c>
    </row>
    <row r="4" spans="1:9" ht="14.4" customHeight="1" x14ac:dyDescent="0.3">
      <c r="A4" s="617" t="s">
        <v>487</v>
      </c>
      <c r="B4" s="618" t="s">
        <v>488</v>
      </c>
      <c r="C4" s="619" t="s">
        <v>489</v>
      </c>
      <c r="D4" s="619" t="s">
        <v>488</v>
      </c>
      <c r="E4" s="619" t="s">
        <v>488</v>
      </c>
      <c r="F4" s="620" t="s">
        <v>488</v>
      </c>
      <c r="G4" s="619" t="s">
        <v>488</v>
      </c>
      <c r="H4" s="619" t="s">
        <v>77</v>
      </c>
      <c r="I4"/>
    </row>
    <row r="5" spans="1:9" ht="14.4" customHeight="1" x14ac:dyDescent="0.3">
      <c r="A5" s="617" t="s">
        <v>487</v>
      </c>
      <c r="B5" s="618" t="s">
        <v>1450</v>
      </c>
      <c r="C5" s="619" t="s">
        <v>1451</v>
      </c>
      <c r="D5" s="619">
        <v>84994.358029544004</v>
      </c>
      <c r="E5" s="619">
        <v>47346.68</v>
      </c>
      <c r="F5" s="620">
        <v>0.55705673997257932</v>
      </c>
      <c r="G5" s="619">
        <v>-37647.678029544004</v>
      </c>
      <c r="H5" s="619" t="s">
        <v>2</v>
      </c>
      <c r="I5"/>
    </row>
    <row r="6" spans="1:9" ht="14.4" customHeight="1" x14ac:dyDescent="0.3">
      <c r="A6" s="617" t="s">
        <v>487</v>
      </c>
      <c r="B6" s="618" t="s">
        <v>1452</v>
      </c>
      <c r="C6" s="619" t="s">
        <v>1453</v>
      </c>
      <c r="D6" s="619">
        <v>60053.523285067837</v>
      </c>
      <c r="E6" s="619">
        <v>55104.479999999996</v>
      </c>
      <c r="F6" s="620">
        <v>0.91758945996265284</v>
      </c>
      <c r="G6" s="619">
        <v>-4949.0432850678408</v>
      </c>
      <c r="H6" s="619" t="s">
        <v>2</v>
      </c>
      <c r="I6"/>
    </row>
    <row r="7" spans="1:9" ht="14.4" customHeight="1" x14ac:dyDescent="0.3">
      <c r="A7" s="617" t="s">
        <v>487</v>
      </c>
      <c r="B7" s="618" t="s">
        <v>1454</v>
      </c>
      <c r="C7" s="619" t="s">
        <v>1455</v>
      </c>
      <c r="D7" s="619">
        <v>353979.60333113495</v>
      </c>
      <c r="E7" s="619">
        <v>304077.59999999992</v>
      </c>
      <c r="F7" s="620">
        <v>0.85902576628277216</v>
      </c>
      <c r="G7" s="619">
        <v>-49902.003331135027</v>
      </c>
      <c r="H7" s="619" t="s">
        <v>2</v>
      </c>
      <c r="I7"/>
    </row>
    <row r="8" spans="1:9" ht="14.4" customHeight="1" x14ac:dyDescent="0.3">
      <c r="A8" s="617" t="s">
        <v>487</v>
      </c>
      <c r="B8" s="618" t="s">
        <v>1456</v>
      </c>
      <c r="C8" s="619" t="s">
        <v>1457</v>
      </c>
      <c r="D8" s="619">
        <v>520.51661282332498</v>
      </c>
      <c r="E8" s="619">
        <v>484.5</v>
      </c>
      <c r="F8" s="620">
        <v>0.93080602628998155</v>
      </c>
      <c r="G8" s="619">
        <v>-36.016612823324976</v>
      </c>
      <c r="H8" s="619" t="s">
        <v>2</v>
      </c>
      <c r="I8"/>
    </row>
    <row r="9" spans="1:9" ht="14.4" customHeight="1" x14ac:dyDescent="0.3">
      <c r="A9" s="617" t="s">
        <v>487</v>
      </c>
      <c r="B9" s="618" t="s">
        <v>1458</v>
      </c>
      <c r="C9" s="619" t="s">
        <v>1459</v>
      </c>
      <c r="D9" s="619">
        <v>28432.411397314663</v>
      </c>
      <c r="E9" s="619">
        <v>11375.7</v>
      </c>
      <c r="F9" s="620">
        <v>0.40009620855002098</v>
      </c>
      <c r="G9" s="619">
        <v>-17056.711397314662</v>
      </c>
      <c r="H9" s="619" t="s">
        <v>2</v>
      </c>
      <c r="I9"/>
    </row>
    <row r="10" spans="1:9" ht="14.4" customHeight="1" x14ac:dyDescent="0.3">
      <c r="A10" s="617" t="s">
        <v>487</v>
      </c>
      <c r="B10" s="618" t="s">
        <v>1460</v>
      </c>
      <c r="C10" s="619" t="s">
        <v>1461</v>
      </c>
      <c r="D10" s="619">
        <v>28327.882917804996</v>
      </c>
      <c r="E10" s="619">
        <v>26339.699999999997</v>
      </c>
      <c r="F10" s="620">
        <v>0.92981533693944485</v>
      </c>
      <c r="G10" s="619">
        <v>-1988.1829178049993</v>
      </c>
      <c r="H10" s="619" t="s">
        <v>2</v>
      </c>
      <c r="I10"/>
    </row>
    <row r="11" spans="1:9" ht="14.4" customHeight="1" x14ac:dyDescent="0.3">
      <c r="A11" s="617" t="s">
        <v>487</v>
      </c>
      <c r="B11" s="618" t="s">
        <v>1462</v>
      </c>
      <c r="C11" s="619" t="s">
        <v>1463</v>
      </c>
      <c r="D11" s="619">
        <v>2974.6913309636334</v>
      </c>
      <c r="E11" s="619">
        <v>6216</v>
      </c>
      <c r="F11" s="620">
        <v>2.0896285726513897</v>
      </c>
      <c r="G11" s="619">
        <v>3241.3086690363666</v>
      </c>
      <c r="H11" s="619" t="s">
        <v>2</v>
      </c>
      <c r="I11"/>
    </row>
    <row r="12" spans="1:9" ht="14.4" customHeight="1" x14ac:dyDescent="0.3">
      <c r="A12" s="617" t="s">
        <v>487</v>
      </c>
      <c r="B12" s="618" t="s">
        <v>1464</v>
      </c>
      <c r="C12" s="619" t="s">
        <v>1465</v>
      </c>
      <c r="D12" s="619">
        <v>27806.738511614501</v>
      </c>
      <c r="E12" s="619">
        <v>31863.3</v>
      </c>
      <c r="F12" s="620">
        <v>1.1458841167831002</v>
      </c>
      <c r="G12" s="619">
        <v>4056.5614883854978</v>
      </c>
      <c r="H12" s="619" t="s">
        <v>2</v>
      </c>
      <c r="I12"/>
    </row>
    <row r="13" spans="1:9" ht="14.4" customHeight="1" x14ac:dyDescent="0.3">
      <c r="A13" s="617" t="s">
        <v>487</v>
      </c>
      <c r="B13" s="618" t="s">
        <v>6</v>
      </c>
      <c r="C13" s="619" t="s">
        <v>489</v>
      </c>
      <c r="D13" s="619">
        <v>590545.01916747913</v>
      </c>
      <c r="E13" s="619">
        <v>482807.9599999999</v>
      </c>
      <c r="F13" s="620">
        <v>0.81756334289405819</v>
      </c>
      <c r="G13" s="619">
        <v>-107737.05916747922</v>
      </c>
      <c r="H13" s="619" t="s">
        <v>500</v>
      </c>
      <c r="I13"/>
    </row>
    <row r="15" spans="1:9" ht="14.4" customHeight="1" x14ac:dyDescent="0.3">
      <c r="A15" s="617" t="s">
        <v>487</v>
      </c>
      <c r="B15" s="618" t="s">
        <v>488</v>
      </c>
      <c r="C15" s="619" t="s">
        <v>489</v>
      </c>
      <c r="D15" s="619" t="s">
        <v>488</v>
      </c>
      <c r="E15" s="619" t="s">
        <v>488</v>
      </c>
      <c r="F15" s="620" t="s">
        <v>488</v>
      </c>
      <c r="G15" s="619" t="s">
        <v>488</v>
      </c>
      <c r="H15" s="619" t="s">
        <v>77</v>
      </c>
      <c r="I15"/>
    </row>
    <row r="16" spans="1:9" ht="14.4" customHeight="1" x14ac:dyDescent="0.3">
      <c r="A16" s="617" t="s">
        <v>1466</v>
      </c>
      <c r="B16" s="618" t="s">
        <v>1452</v>
      </c>
      <c r="C16" s="619" t="s">
        <v>1453</v>
      </c>
      <c r="D16" s="619" t="s">
        <v>488</v>
      </c>
      <c r="E16" s="619">
        <v>2687.1800000000003</v>
      </c>
      <c r="F16" s="620" t="s">
        <v>488</v>
      </c>
      <c r="G16" s="619">
        <v>2687.1800000000003</v>
      </c>
      <c r="H16" s="619" t="s">
        <v>2</v>
      </c>
      <c r="I16"/>
    </row>
    <row r="17" spans="1:9" ht="14.4" customHeight="1" x14ac:dyDescent="0.3">
      <c r="A17" s="617" t="s">
        <v>1466</v>
      </c>
      <c r="B17" s="618" t="s">
        <v>1454</v>
      </c>
      <c r="C17" s="619" t="s">
        <v>1455</v>
      </c>
      <c r="D17" s="619" t="s">
        <v>488</v>
      </c>
      <c r="E17" s="619">
        <v>35810.25</v>
      </c>
      <c r="F17" s="620" t="s">
        <v>488</v>
      </c>
      <c r="G17" s="619">
        <v>35810.25</v>
      </c>
      <c r="H17" s="619" t="s">
        <v>2</v>
      </c>
      <c r="I17"/>
    </row>
    <row r="18" spans="1:9" ht="14.4" customHeight="1" x14ac:dyDescent="0.3">
      <c r="A18" s="617" t="s">
        <v>1466</v>
      </c>
      <c r="B18" s="618" t="s">
        <v>1460</v>
      </c>
      <c r="C18" s="619" t="s">
        <v>1461</v>
      </c>
      <c r="D18" s="619" t="s">
        <v>488</v>
      </c>
      <c r="E18" s="619">
        <v>1715.6999999999998</v>
      </c>
      <c r="F18" s="620" t="s">
        <v>488</v>
      </c>
      <c r="G18" s="619">
        <v>1715.6999999999998</v>
      </c>
      <c r="H18" s="619" t="s">
        <v>2</v>
      </c>
      <c r="I18"/>
    </row>
    <row r="19" spans="1:9" ht="14.4" customHeight="1" x14ac:dyDescent="0.3">
      <c r="A19" s="617" t="s">
        <v>1466</v>
      </c>
      <c r="B19" s="618" t="s">
        <v>1462</v>
      </c>
      <c r="C19" s="619" t="s">
        <v>1463</v>
      </c>
      <c r="D19" s="619" t="s">
        <v>488</v>
      </c>
      <c r="E19" s="619">
        <v>3146</v>
      </c>
      <c r="F19" s="620" t="s">
        <v>488</v>
      </c>
      <c r="G19" s="619">
        <v>3146</v>
      </c>
      <c r="H19" s="619" t="s">
        <v>2</v>
      </c>
      <c r="I19"/>
    </row>
    <row r="20" spans="1:9" ht="14.4" customHeight="1" x14ac:dyDescent="0.3">
      <c r="A20" s="617" t="s">
        <v>1466</v>
      </c>
      <c r="B20" s="618" t="s">
        <v>1464</v>
      </c>
      <c r="C20" s="619" t="s">
        <v>1465</v>
      </c>
      <c r="D20" s="619" t="s">
        <v>488</v>
      </c>
      <c r="E20" s="619">
        <v>1875</v>
      </c>
      <c r="F20" s="620" t="s">
        <v>488</v>
      </c>
      <c r="G20" s="619">
        <v>1875</v>
      </c>
      <c r="H20" s="619" t="s">
        <v>2</v>
      </c>
      <c r="I20"/>
    </row>
    <row r="21" spans="1:9" ht="14.4" customHeight="1" x14ac:dyDescent="0.3">
      <c r="A21" s="617" t="s">
        <v>1466</v>
      </c>
      <c r="B21" s="618" t="s">
        <v>6</v>
      </c>
      <c r="C21" s="619" t="s">
        <v>1467</v>
      </c>
      <c r="D21" s="619" t="s">
        <v>488</v>
      </c>
      <c r="E21" s="619">
        <v>45234.13</v>
      </c>
      <c r="F21" s="620" t="s">
        <v>488</v>
      </c>
      <c r="G21" s="619">
        <v>45234.13</v>
      </c>
      <c r="H21" s="619" t="s">
        <v>503</v>
      </c>
      <c r="I21"/>
    </row>
    <row r="22" spans="1:9" ht="14.4" customHeight="1" x14ac:dyDescent="0.3">
      <c r="A22" s="617" t="s">
        <v>488</v>
      </c>
      <c r="B22" s="618" t="s">
        <v>488</v>
      </c>
      <c r="C22" s="619" t="s">
        <v>488</v>
      </c>
      <c r="D22" s="619" t="s">
        <v>488</v>
      </c>
      <c r="E22" s="619" t="s">
        <v>488</v>
      </c>
      <c r="F22" s="620" t="s">
        <v>488</v>
      </c>
      <c r="G22" s="619" t="s">
        <v>488</v>
      </c>
      <c r="H22" s="619" t="s">
        <v>504</v>
      </c>
      <c r="I22"/>
    </row>
    <row r="23" spans="1:9" ht="14.4" customHeight="1" x14ac:dyDescent="0.3">
      <c r="A23" s="617" t="s">
        <v>501</v>
      </c>
      <c r="B23" s="618" t="s">
        <v>1450</v>
      </c>
      <c r="C23" s="619" t="s">
        <v>1451</v>
      </c>
      <c r="D23" s="619">
        <v>84994.358029544004</v>
      </c>
      <c r="E23" s="619">
        <v>47346.68</v>
      </c>
      <c r="F23" s="620">
        <v>0.55705673997257932</v>
      </c>
      <c r="G23" s="619">
        <v>-37647.678029544004</v>
      </c>
      <c r="H23" s="619" t="s">
        <v>2</v>
      </c>
      <c r="I23"/>
    </row>
    <row r="24" spans="1:9" ht="14.4" customHeight="1" x14ac:dyDescent="0.3">
      <c r="A24" s="617" t="s">
        <v>501</v>
      </c>
      <c r="B24" s="618" t="s">
        <v>1452</v>
      </c>
      <c r="C24" s="619" t="s">
        <v>1453</v>
      </c>
      <c r="D24" s="619">
        <v>60053.523285067837</v>
      </c>
      <c r="E24" s="619">
        <v>52417.3</v>
      </c>
      <c r="F24" s="620">
        <v>0.87284304288327141</v>
      </c>
      <c r="G24" s="619">
        <v>-7636.2232850678338</v>
      </c>
      <c r="H24" s="619" t="s">
        <v>2</v>
      </c>
      <c r="I24"/>
    </row>
    <row r="25" spans="1:9" ht="14.4" customHeight="1" x14ac:dyDescent="0.3">
      <c r="A25" s="617" t="s">
        <v>501</v>
      </c>
      <c r="B25" s="618" t="s">
        <v>1454</v>
      </c>
      <c r="C25" s="619" t="s">
        <v>1455</v>
      </c>
      <c r="D25" s="619">
        <v>353979.60333113495</v>
      </c>
      <c r="E25" s="619">
        <v>268267.34999999998</v>
      </c>
      <c r="F25" s="620">
        <v>0.75786103909791014</v>
      </c>
      <c r="G25" s="619">
        <v>-85712.253331134969</v>
      </c>
      <c r="H25" s="619" t="s">
        <v>2</v>
      </c>
      <c r="I25"/>
    </row>
    <row r="26" spans="1:9" ht="14.4" customHeight="1" x14ac:dyDescent="0.3">
      <c r="A26" s="617" t="s">
        <v>501</v>
      </c>
      <c r="B26" s="618" t="s">
        <v>1456</v>
      </c>
      <c r="C26" s="619" t="s">
        <v>1457</v>
      </c>
      <c r="D26" s="619">
        <v>520.51661282332498</v>
      </c>
      <c r="E26" s="619">
        <v>484.5</v>
      </c>
      <c r="F26" s="620">
        <v>0.93080602628998155</v>
      </c>
      <c r="G26" s="619">
        <v>-36.016612823324976</v>
      </c>
      <c r="H26" s="619" t="s">
        <v>2</v>
      </c>
      <c r="I26"/>
    </row>
    <row r="27" spans="1:9" ht="14.4" customHeight="1" x14ac:dyDescent="0.3">
      <c r="A27" s="617" t="s">
        <v>501</v>
      </c>
      <c r="B27" s="618" t="s">
        <v>1458</v>
      </c>
      <c r="C27" s="619" t="s">
        <v>1459</v>
      </c>
      <c r="D27" s="619">
        <v>28432.411397314663</v>
      </c>
      <c r="E27" s="619">
        <v>11375.7</v>
      </c>
      <c r="F27" s="620">
        <v>0.40009620855002098</v>
      </c>
      <c r="G27" s="619">
        <v>-17056.711397314662</v>
      </c>
      <c r="H27" s="619" t="s">
        <v>2</v>
      </c>
      <c r="I27"/>
    </row>
    <row r="28" spans="1:9" ht="14.4" customHeight="1" x14ac:dyDescent="0.3">
      <c r="A28" s="617" t="s">
        <v>501</v>
      </c>
      <c r="B28" s="618" t="s">
        <v>1460</v>
      </c>
      <c r="C28" s="619" t="s">
        <v>1461</v>
      </c>
      <c r="D28" s="619">
        <v>28327.882917804996</v>
      </c>
      <c r="E28" s="619">
        <v>24624</v>
      </c>
      <c r="F28" s="620">
        <v>0.86924956840043333</v>
      </c>
      <c r="G28" s="619">
        <v>-3703.8829178049964</v>
      </c>
      <c r="H28" s="619" t="s">
        <v>2</v>
      </c>
      <c r="I28"/>
    </row>
    <row r="29" spans="1:9" ht="14.4" customHeight="1" x14ac:dyDescent="0.3">
      <c r="A29" s="617" t="s">
        <v>501</v>
      </c>
      <c r="B29" s="618" t="s">
        <v>1462</v>
      </c>
      <c r="C29" s="619" t="s">
        <v>1463</v>
      </c>
      <c r="D29" s="619">
        <v>2974.6913309636334</v>
      </c>
      <c r="E29" s="619">
        <v>3070</v>
      </c>
      <c r="F29" s="620">
        <v>1.0320398516794991</v>
      </c>
      <c r="G29" s="619">
        <v>95.308669036366609</v>
      </c>
      <c r="H29" s="619" t="s">
        <v>2</v>
      </c>
      <c r="I29"/>
    </row>
    <row r="30" spans="1:9" ht="14.4" customHeight="1" x14ac:dyDescent="0.3">
      <c r="A30" s="617" t="s">
        <v>501</v>
      </c>
      <c r="B30" s="618" t="s">
        <v>1464</v>
      </c>
      <c r="C30" s="619" t="s">
        <v>1465</v>
      </c>
      <c r="D30" s="619">
        <v>27806.738511614501</v>
      </c>
      <c r="E30" s="619">
        <v>29988.3</v>
      </c>
      <c r="F30" s="620">
        <v>1.0784544180711553</v>
      </c>
      <c r="G30" s="619">
        <v>2181.5614883854978</v>
      </c>
      <c r="H30" s="619" t="s">
        <v>2</v>
      </c>
      <c r="I30"/>
    </row>
    <row r="31" spans="1:9" ht="14.4" customHeight="1" x14ac:dyDescent="0.3">
      <c r="A31" s="617" t="s">
        <v>501</v>
      </c>
      <c r="B31" s="618" t="s">
        <v>6</v>
      </c>
      <c r="C31" s="619" t="s">
        <v>502</v>
      </c>
      <c r="D31" s="619">
        <v>590545.01916747913</v>
      </c>
      <c r="E31" s="619">
        <v>437573.82999999996</v>
      </c>
      <c r="F31" s="620">
        <v>0.74096608352885562</v>
      </c>
      <c r="G31" s="619">
        <v>-152971.18916747917</v>
      </c>
      <c r="H31" s="619" t="s">
        <v>503</v>
      </c>
      <c r="I31"/>
    </row>
    <row r="32" spans="1:9" ht="14.4" customHeight="1" x14ac:dyDescent="0.3">
      <c r="A32" s="617" t="s">
        <v>488</v>
      </c>
      <c r="B32" s="618" t="s">
        <v>488</v>
      </c>
      <c r="C32" s="619" t="s">
        <v>488</v>
      </c>
      <c r="D32" s="619" t="s">
        <v>488</v>
      </c>
      <c r="E32" s="619" t="s">
        <v>488</v>
      </c>
      <c r="F32" s="620" t="s">
        <v>488</v>
      </c>
      <c r="G32" s="619" t="s">
        <v>488</v>
      </c>
      <c r="H32" s="619" t="s">
        <v>504</v>
      </c>
      <c r="I32"/>
    </row>
    <row r="33" spans="1:9" ht="14.4" customHeight="1" x14ac:dyDescent="0.3">
      <c r="A33" s="617" t="s">
        <v>487</v>
      </c>
      <c r="B33" s="618" t="s">
        <v>6</v>
      </c>
      <c r="C33" s="619" t="s">
        <v>489</v>
      </c>
      <c r="D33" s="619">
        <v>590545.01916747913</v>
      </c>
      <c r="E33" s="619">
        <v>482807.95999999996</v>
      </c>
      <c r="F33" s="620">
        <v>0.8175633428940583</v>
      </c>
      <c r="G33" s="619">
        <v>-107737.05916747916</v>
      </c>
      <c r="H33" s="619" t="s">
        <v>500</v>
      </c>
      <c r="I33"/>
    </row>
  </sheetData>
  <autoFilter ref="A3:G3"/>
  <mergeCells count="1">
    <mergeCell ref="A1:G1"/>
  </mergeCells>
  <conditionalFormatting sqref="F14 F34:F65536">
    <cfRule type="cellIs" dxfId="33" priority="15" stopIfTrue="1" operator="greaterThan">
      <formula>1</formula>
    </cfRule>
  </conditionalFormatting>
  <conditionalFormatting sqref="G4:G13">
    <cfRule type="cellIs" dxfId="32" priority="9" operator="greaterThan">
      <formula>0</formula>
    </cfRule>
  </conditionalFormatting>
  <conditionalFormatting sqref="B4:B13">
    <cfRule type="expression" dxfId="31" priority="12">
      <formula>AND(LEFT(H4,6)&lt;&gt;"mezera",H4&lt;&gt;"")</formula>
    </cfRule>
  </conditionalFormatting>
  <conditionalFormatting sqref="A4:A13">
    <cfRule type="expression" dxfId="30" priority="10">
      <formula>AND(H4&lt;&gt;"",H4&lt;&gt;"mezeraKL")</formula>
    </cfRule>
  </conditionalFormatting>
  <conditionalFormatting sqref="F4:F13">
    <cfRule type="cellIs" dxfId="29" priority="8" operator="greaterThan">
      <formula>1</formula>
    </cfRule>
  </conditionalFormatting>
  <conditionalFormatting sqref="B4:G13">
    <cfRule type="expression" dxfId="28" priority="11">
      <formula>OR($H4="KL",$H4="SumaKL")</formula>
    </cfRule>
    <cfRule type="expression" dxfId="27" priority="13">
      <formula>$H4="SumaNS"</formula>
    </cfRule>
  </conditionalFormatting>
  <conditionalFormatting sqref="A4:G13">
    <cfRule type="expression" dxfId="26" priority="14">
      <formula>$H4&lt;&gt;""</formula>
    </cfRule>
  </conditionalFormatting>
  <conditionalFormatting sqref="G15:G33">
    <cfRule type="cellIs" dxfId="25" priority="1" operator="greaterThan">
      <formula>0</formula>
    </cfRule>
  </conditionalFormatting>
  <conditionalFormatting sqref="F15:F33">
    <cfRule type="cellIs" dxfId="24" priority="2" operator="greaterThan">
      <formula>1</formula>
    </cfRule>
  </conditionalFormatting>
  <conditionalFormatting sqref="B15:B33">
    <cfRule type="expression" dxfId="23" priority="5">
      <formula>AND(LEFT(H15,6)&lt;&gt;"mezera",H15&lt;&gt;"")</formula>
    </cfRule>
  </conditionalFormatting>
  <conditionalFormatting sqref="A15:A33">
    <cfRule type="expression" dxfId="22" priority="3">
      <formula>AND(H15&lt;&gt;"",H15&lt;&gt;"mezeraKL")</formula>
    </cfRule>
  </conditionalFormatting>
  <conditionalFormatting sqref="B15:G33">
    <cfRule type="expression" dxfId="21" priority="4">
      <formula>OR($H15="KL",$H15="SumaKL")</formula>
    </cfRule>
    <cfRule type="expression" dxfId="20" priority="6">
      <formula>$H15="SumaNS"</formula>
    </cfRule>
  </conditionalFormatting>
  <conditionalFormatting sqref="A15:G33">
    <cfRule type="expression" dxfId="19" priority="7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12.44140625" style="345" hidden="1" customWidth="1" outlineLevel="1"/>
    <col min="8" max="8" width="25.77734375" style="345" customWidth="1" collapsed="1"/>
    <col min="9" max="9" width="7.77734375" style="343" customWidth="1"/>
    <col min="10" max="10" width="10" style="343" customWidth="1"/>
    <col min="11" max="11" width="11.109375" style="343" customWidth="1"/>
    <col min="12" max="16384" width="8.88671875" style="260"/>
  </cols>
  <sheetData>
    <row r="1" spans="1:11" ht="18.600000000000001" customHeight="1" thickBot="1" x14ac:dyDescent="0.4">
      <c r="A1" s="494" t="s">
        <v>1812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</row>
    <row r="2" spans="1:11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8"/>
      <c r="J2" s="348"/>
      <c r="K2" s="348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3" t="s">
        <v>163</v>
      </c>
      <c r="I3" s="213">
        <f>IF(J3&lt;&gt;0,K3/J3,0)</f>
        <v>4.1577647646440816</v>
      </c>
      <c r="J3" s="213">
        <f>SUBTOTAL(9,J5:J1048576)</f>
        <v>116122</v>
      </c>
      <c r="K3" s="214">
        <f>SUBTOTAL(9,K5:K1048576)</f>
        <v>482807.96</v>
      </c>
    </row>
    <row r="4" spans="1:11" s="344" customFormat="1" ht="14.4" customHeight="1" thickBot="1" x14ac:dyDescent="0.35">
      <c r="A4" s="715" t="s">
        <v>7</v>
      </c>
      <c r="B4" s="716" t="s">
        <v>8</v>
      </c>
      <c r="C4" s="716" t="s">
        <v>0</v>
      </c>
      <c r="D4" s="716" t="s">
        <v>9</v>
      </c>
      <c r="E4" s="716" t="s">
        <v>10</v>
      </c>
      <c r="F4" s="716" t="s">
        <v>2</v>
      </c>
      <c r="G4" s="716" t="s">
        <v>93</v>
      </c>
      <c r="H4" s="623" t="s">
        <v>14</v>
      </c>
      <c r="I4" s="624" t="s">
        <v>189</v>
      </c>
      <c r="J4" s="624" t="s">
        <v>16</v>
      </c>
      <c r="K4" s="625" t="s">
        <v>206</v>
      </c>
    </row>
    <row r="5" spans="1:11" ht="14.4" customHeight="1" x14ac:dyDescent="0.3">
      <c r="A5" s="698" t="s">
        <v>487</v>
      </c>
      <c r="B5" s="699" t="s">
        <v>489</v>
      </c>
      <c r="C5" s="702" t="s">
        <v>1466</v>
      </c>
      <c r="D5" s="717" t="s">
        <v>1467</v>
      </c>
      <c r="E5" s="702" t="s">
        <v>1452</v>
      </c>
      <c r="F5" s="717" t="s">
        <v>1453</v>
      </c>
      <c r="G5" s="702" t="s">
        <v>1468</v>
      </c>
      <c r="H5" s="702" t="s">
        <v>1469</v>
      </c>
      <c r="I5" s="235">
        <v>42.445</v>
      </c>
      <c r="J5" s="235">
        <v>6</v>
      </c>
      <c r="K5" s="712">
        <v>254.68</v>
      </c>
    </row>
    <row r="6" spans="1:11" ht="14.4" customHeight="1" x14ac:dyDescent="0.3">
      <c r="A6" s="634" t="s">
        <v>487</v>
      </c>
      <c r="B6" s="635" t="s">
        <v>489</v>
      </c>
      <c r="C6" s="636" t="s">
        <v>1466</v>
      </c>
      <c r="D6" s="637" t="s">
        <v>1467</v>
      </c>
      <c r="E6" s="636" t="s">
        <v>1452</v>
      </c>
      <c r="F6" s="637" t="s">
        <v>1453</v>
      </c>
      <c r="G6" s="636" t="s">
        <v>1470</v>
      </c>
      <c r="H6" s="636" t="s">
        <v>1471</v>
      </c>
      <c r="I6" s="638">
        <v>0.6</v>
      </c>
      <c r="J6" s="638">
        <v>450</v>
      </c>
      <c r="K6" s="639">
        <v>270</v>
      </c>
    </row>
    <row r="7" spans="1:11" ht="14.4" customHeight="1" x14ac:dyDescent="0.3">
      <c r="A7" s="634" t="s">
        <v>487</v>
      </c>
      <c r="B7" s="635" t="s">
        <v>489</v>
      </c>
      <c r="C7" s="636" t="s">
        <v>1466</v>
      </c>
      <c r="D7" s="637" t="s">
        <v>1467</v>
      </c>
      <c r="E7" s="636" t="s">
        <v>1452</v>
      </c>
      <c r="F7" s="637" t="s">
        <v>1453</v>
      </c>
      <c r="G7" s="636" t="s">
        <v>1472</v>
      </c>
      <c r="H7" s="636" t="s">
        <v>1473</v>
      </c>
      <c r="I7" s="638">
        <v>2.95</v>
      </c>
      <c r="J7" s="638">
        <v>20</v>
      </c>
      <c r="K7" s="639">
        <v>59</v>
      </c>
    </row>
    <row r="8" spans="1:11" ht="14.4" customHeight="1" x14ac:dyDescent="0.3">
      <c r="A8" s="634" t="s">
        <v>487</v>
      </c>
      <c r="B8" s="635" t="s">
        <v>489</v>
      </c>
      <c r="C8" s="636" t="s">
        <v>1466</v>
      </c>
      <c r="D8" s="637" t="s">
        <v>1467</v>
      </c>
      <c r="E8" s="636" t="s">
        <v>1452</v>
      </c>
      <c r="F8" s="637" t="s">
        <v>1453</v>
      </c>
      <c r="G8" s="636" t="s">
        <v>1474</v>
      </c>
      <c r="H8" s="636" t="s">
        <v>1475</v>
      </c>
      <c r="I8" s="638">
        <v>1.1766666666666665</v>
      </c>
      <c r="J8" s="638">
        <v>720</v>
      </c>
      <c r="K8" s="639">
        <v>848.6</v>
      </c>
    </row>
    <row r="9" spans="1:11" ht="14.4" customHeight="1" x14ac:dyDescent="0.3">
      <c r="A9" s="634" t="s">
        <v>487</v>
      </c>
      <c r="B9" s="635" t="s">
        <v>489</v>
      </c>
      <c r="C9" s="636" t="s">
        <v>1466</v>
      </c>
      <c r="D9" s="637" t="s">
        <v>1467</v>
      </c>
      <c r="E9" s="636" t="s">
        <v>1452</v>
      </c>
      <c r="F9" s="637" t="s">
        <v>1453</v>
      </c>
      <c r="G9" s="636" t="s">
        <v>1476</v>
      </c>
      <c r="H9" s="636" t="s">
        <v>1477</v>
      </c>
      <c r="I9" s="638">
        <v>0.86</v>
      </c>
      <c r="J9" s="638">
        <v>80</v>
      </c>
      <c r="K9" s="639">
        <v>68.8</v>
      </c>
    </row>
    <row r="10" spans="1:11" ht="14.4" customHeight="1" x14ac:dyDescent="0.3">
      <c r="A10" s="634" t="s">
        <v>487</v>
      </c>
      <c r="B10" s="635" t="s">
        <v>489</v>
      </c>
      <c r="C10" s="636" t="s">
        <v>1466</v>
      </c>
      <c r="D10" s="637" t="s">
        <v>1467</v>
      </c>
      <c r="E10" s="636" t="s">
        <v>1452</v>
      </c>
      <c r="F10" s="637" t="s">
        <v>1453</v>
      </c>
      <c r="G10" s="636" t="s">
        <v>1478</v>
      </c>
      <c r="H10" s="636" t="s">
        <v>1479</v>
      </c>
      <c r="I10" s="638">
        <v>1.52</v>
      </c>
      <c r="J10" s="638">
        <v>80</v>
      </c>
      <c r="K10" s="639">
        <v>121.6</v>
      </c>
    </row>
    <row r="11" spans="1:11" ht="14.4" customHeight="1" x14ac:dyDescent="0.3">
      <c r="A11" s="634" t="s">
        <v>487</v>
      </c>
      <c r="B11" s="635" t="s">
        <v>489</v>
      </c>
      <c r="C11" s="636" t="s">
        <v>1466</v>
      </c>
      <c r="D11" s="637" t="s">
        <v>1467</v>
      </c>
      <c r="E11" s="636" t="s">
        <v>1452</v>
      </c>
      <c r="F11" s="637" t="s">
        <v>1453</v>
      </c>
      <c r="G11" s="636" t="s">
        <v>1480</v>
      </c>
      <c r="H11" s="636" t="s">
        <v>1481</v>
      </c>
      <c r="I11" s="638">
        <v>42.58</v>
      </c>
      <c r="J11" s="638">
        <v>25</v>
      </c>
      <c r="K11" s="639">
        <v>1064.5</v>
      </c>
    </row>
    <row r="12" spans="1:11" ht="14.4" customHeight="1" x14ac:dyDescent="0.3">
      <c r="A12" s="634" t="s">
        <v>487</v>
      </c>
      <c r="B12" s="635" t="s">
        <v>489</v>
      </c>
      <c r="C12" s="636" t="s">
        <v>1466</v>
      </c>
      <c r="D12" s="637" t="s">
        <v>1467</v>
      </c>
      <c r="E12" s="636" t="s">
        <v>1454</v>
      </c>
      <c r="F12" s="637" t="s">
        <v>1455</v>
      </c>
      <c r="G12" s="636" t="s">
        <v>1482</v>
      </c>
      <c r="H12" s="636" t="s">
        <v>1483</v>
      </c>
      <c r="I12" s="638">
        <v>3.51</v>
      </c>
      <c r="J12" s="638">
        <v>10</v>
      </c>
      <c r="K12" s="639">
        <v>35.1</v>
      </c>
    </row>
    <row r="13" spans="1:11" ht="14.4" customHeight="1" x14ac:dyDescent="0.3">
      <c r="A13" s="634" t="s">
        <v>487</v>
      </c>
      <c r="B13" s="635" t="s">
        <v>489</v>
      </c>
      <c r="C13" s="636" t="s">
        <v>1466</v>
      </c>
      <c r="D13" s="637" t="s">
        <v>1467</v>
      </c>
      <c r="E13" s="636" t="s">
        <v>1454</v>
      </c>
      <c r="F13" s="637" t="s">
        <v>1455</v>
      </c>
      <c r="G13" s="636" t="s">
        <v>1484</v>
      </c>
      <c r="H13" s="636" t="s">
        <v>1485</v>
      </c>
      <c r="I13" s="638">
        <v>0.93</v>
      </c>
      <c r="J13" s="638">
        <v>570</v>
      </c>
      <c r="K13" s="639">
        <v>530.1</v>
      </c>
    </row>
    <row r="14" spans="1:11" ht="14.4" customHeight="1" x14ac:dyDescent="0.3">
      <c r="A14" s="634" t="s">
        <v>487</v>
      </c>
      <c r="B14" s="635" t="s">
        <v>489</v>
      </c>
      <c r="C14" s="636" t="s">
        <v>1466</v>
      </c>
      <c r="D14" s="637" t="s">
        <v>1467</v>
      </c>
      <c r="E14" s="636" t="s">
        <v>1454</v>
      </c>
      <c r="F14" s="637" t="s">
        <v>1455</v>
      </c>
      <c r="G14" s="636" t="s">
        <v>1486</v>
      </c>
      <c r="H14" s="636" t="s">
        <v>1487</v>
      </c>
      <c r="I14" s="638">
        <v>1.4279999999999997</v>
      </c>
      <c r="J14" s="638">
        <v>250</v>
      </c>
      <c r="K14" s="639">
        <v>359</v>
      </c>
    </row>
    <row r="15" spans="1:11" ht="14.4" customHeight="1" x14ac:dyDescent="0.3">
      <c r="A15" s="634" t="s">
        <v>487</v>
      </c>
      <c r="B15" s="635" t="s">
        <v>489</v>
      </c>
      <c r="C15" s="636" t="s">
        <v>1466</v>
      </c>
      <c r="D15" s="637" t="s">
        <v>1467</v>
      </c>
      <c r="E15" s="636" t="s">
        <v>1454</v>
      </c>
      <c r="F15" s="637" t="s">
        <v>1455</v>
      </c>
      <c r="G15" s="636" t="s">
        <v>1488</v>
      </c>
      <c r="H15" s="636" t="s">
        <v>1489</v>
      </c>
      <c r="I15" s="638">
        <v>5.13</v>
      </c>
      <c r="J15" s="638">
        <v>200</v>
      </c>
      <c r="K15" s="639">
        <v>1026</v>
      </c>
    </row>
    <row r="16" spans="1:11" ht="14.4" customHeight="1" x14ac:dyDescent="0.3">
      <c r="A16" s="634" t="s">
        <v>487</v>
      </c>
      <c r="B16" s="635" t="s">
        <v>489</v>
      </c>
      <c r="C16" s="636" t="s">
        <v>1466</v>
      </c>
      <c r="D16" s="637" t="s">
        <v>1467</v>
      </c>
      <c r="E16" s="636" t="s">
        <v>1454</v>
      </c>
      <c r="F16" s="637" t="s">
        <v>1455</v>
      </c>
      <c r="G16" s="636" t="s">
        <v>1490</v>
      </c>
      <c r="H16" s="636" t="s">
        <v>1491</v>
      </c>
      <c r="I16" s="638">
        <v>7.95</v>
      </c>
      <c r="J16" s="638">
        <v>170</v>
      </c>
      <c r="K16" s="639">
        <v>1351.5</v>
      </c>
    </row>
    <row r="17" spans="1:11" ht="14.4" customHeight="1" x14ac:dyDescent="0.3">
      <c r="A17" s="634" t="s">
        <v>487</v>
      </c>
      <c r="B17" s="635" t="s">
        <v>489</v>
      </c>
      <c r="C17" s="636" t="s">
        <v>1466</v>
      </c>
      <c r="D17" s="637" t="s">
        <v>1467</v>
      </c>
      <c r="E17" s="636" t="s">
        <v>1454</v>
      </c>
      <c r="F17" s="637" t="s">
        <v>1455</v>
      </c>
      <c r="G17" s="636" t="s">
        <v>1492</v>
      </c>
      <c r="H17" s="636" t="s">
        <v>1493</v>
      </c>
      <c r="I17" s="638">
        <v>1.9333333333333333</v>
      </c>
      <c r="J17" s="638">
        <v>200</v>
      </c>
      <c r="K17" s="639">
        <v>386.5</v>
      </c>
    </row>
    <row r="18" spans="1:11" ht="14.4" customHeight="1" x14ac:dyDescent="0.3">
      <c r="A18" s="634" t="s">
        <v>487</v>
      </c>
      <c r="B18" s="635" t="s">
        <v>489</v>
      </c>
      <c r="C18" s="636" t="s">
        <v>1466</v>
      </c>
      <c r="D18" s="637" t="s">
        <v>1467</v>
      </c>
      <c r="E18" s="636" t="s">
        <v>1454</v>
      </c>
      <c r="F18" s="637" t="s">
        <v>1455</v>
      </c>
      <c r="G18" s="636" t="s">
        <v>1494</v>
      </c>
      <c r="H18" s="636" t="s">
        <v>1495</v>
      </c>
      <c r="I18" s="638">
        <v>194.30166666666665</v>
      </c>
      <c r="J18" s="638">
        <v>165</v>
      </c>
      <c r="K18" s="639">
        <v>32059.65</v>
      </c>
    </row>
    <row r="19" spans="1:11" ht="14.4" customHeight="1" x14ac:dyDescent="0.3">
      <c r="A19" s="634" t="s">
        <v>487</v>
      </c>
      <c r="B19" s="635" t="s">
        <v>489</v>
      </c>
      <c r="C19" s="636" t="s">
        <v>1466</v>
      </c>
      <c r="D19" s="637" t="s">
        <v>1467</v>
      </c>
      <c r="E19" s="636" t="s">
        <v>1454</v>
      </c>
      <c r="F19" s="637" t="s">
        <v>1455</v>
      </c>
      <c r="G19" s="636" t="s">
        <v>1496</v>
      </c>
      <c r="H19" s="636" t="s">
        <v>1497</v>
      </c>
      <c r="I19" s="638">
        <v>0.48</v>
      </c>
      <c r="J19" s="638">
        <v>130</v>
      </c>
      <c r="K19" s="639">
        <v>62.4</v>
      </c>
    </row>
    <row r="20" spans="1:11" ht="14.4" customHeight="1" x14ac:dyDescent="0.3">
      <c r="A20" s="634" t="s">
        <v>487</v>
      </c>
      <c r="B20" s="635" t="s">
        <v>489</v>
      </c>
      <c r="C20" s="636" t="s">
        <v>1466</v>
      </c>
      <c r="D20" s="637" t="s">
        <v>1467</v>
      </c>
      <c r="E20" s="636" t="s">
        <v>1460</v>
      </c>
      <c r="F20" s="637" t="s">
        <v>1461</v>
      </c>
      <c r="G20" s="636" t="s">
        <v>1498</v>
      </c>
      <c r="H20" s="636" t="s">
        <v>1499</v>
      </c>
      <c r="I20" s="638">
        <v>8.17</v>
      </c>
      <c r="J20" s="638">
        <v>210</v>
      </c>
      <c r="K20" s="639">
        <v>1715.6999999999998</v>
      </c>
    </row>
    <row r="21" spans="1:11" ht="14.4" customHeight="1" x14ac:dyDescent="0.3">
      <c r="A21" s="634" t="s">
        <v>487</v>
      </c>
      <c r="B21" s="635" t="s">
        <v>489</v>
      </c>
      <c r="C21" s="636" t="s">
        <v>1466</v>
      </c>
      <c r="D21" s="637" t="s">
        <v>1467</v>
      </c>
      <c r="E21" s="636" t="s">
        <v>1462</v>
      </c>
      <c r="F21" s="637" t="s">
        <v>1463</v>
      </c>
      <c r="G21" s="636" t="s">
        <v>1500</v>
      </c>
      <c r="H21" s="636" t="s">
        <v>1501</v>
      </c>
      <c r="I21" s="638">
        <v>31.46</v>
      </c>
      <c r="J21" s="638">
        <v>100</v>
      </c>
      <c r="K21" s="639">
        <v>3146</v>
      </c>
    </row>
    <row r="22" spans="1:11" ht="14.4" customHeight="1" x14ac:dyDescent="0.3">
      <c r="A22" s="634" t="s">
        <v>487</v>
      </c>
      <c r="B22" s="635" t="s">
        <v>489</v>
      </c>
      <c r="C22" s="636" t="s">
        <v>1466</v>
      </c>
      <c r="D22" s="637" t="s">
        <v>1467</v>
      </c>
      <c r="E22" s="636" t="s">
        <v>1464</v>
      </c>
      <c r="F22" s="637" t="s">
        <v>1465</v>
      </c>
      <c r="G22" s="636" t="s">
        <v>1502</v>
      </c>
      <c r="H22" s="636" t="s">
        <v>1503</v>
      </c>
      <c r="I22" s="638">
        <v>7.5</v>
      </c>
      <c r="J22" s="638">
        <v>60</v>
      </c>
      <c r="K22" s="639">
        <v>450</v>
      </c>
    </row>
    <row r="23" spans="1:11" ht="14.4" customHeight="1" x14ac:dyDescent="0.3">
      <c r="A23" s="634" t="s">
        <v>487</v>
      </c>
      <c r="B23" s="635" t="s">
        <v>489</v>
      </c>
      <c r="C23" s="636" t="s">
        <v>1466</v>
      </c>
      <c r="D23" s="637" t="s">
        <v>1467</v>
      </c>
      <c r="E23" s="636" t="s">
        <v>1464</v>
      </c>
      <c r="F23" s="637" t="s">
        <v>1465</v>
      </c>
      <c r="G23" s="636" t="s">
        <v>1504</v>
      </c>
      <c r="H23" s="636" t="s">
        <v>1505</v>
      </c>
      <c r="I23" s="638">
        <v>7.5</v>
      </c>
      <c r="J23" s="638">
        <v>160</v>
      </c>
      <c r="K23" s="639">
        <v>1200</v>
      </c>
    </row>
    <row r="24" spans="1:11" ht="14.4" customHeight="1" x14ac:dyDescent="0.3">
      <c r="A24" s="634" t="s">
        <v>487</v>
      </c>
      <c r="B24" s="635" t="s">
        <v>489</v>
      </c>
      <c r="C24" s="636" t="s">
        <v>1466</v>
      </c>
      <c r="D24" s="637" t="s">
        <v>1467</v>
      </c>
      <c r="E24" s="636" t="s">
        <v>1464</v>
      </c>
      <c r="F24" s="637" t="s">
        <v>1465</v>
      </c>
      <c r="G24" s="636" t="s">
        <v>1506</v>
      </c>
      <c r="H24" s="636" t="s">
        <v>1507</v>
      </c>
      <c r="I24" s="638">
        <v>7.5</v>
      </c>
      <c r="J24" s="638">
        <v>30</v>
      </c>
      <c r="K24" s="639">
        <v>225</v>
      </c>
    </row>
    <row r="25" spans="1:11" ht="14.4" customHeight="1" x14ac:dyDescent="0.3">
      <c r="A25" s="634" t="s">
        <v>487</v>
      </c>
      <c r="B25" s="635" t="s">
        <v>489</v>
      </c>
      <c r="C25" s="636" t="s">
        <v>501</v>
      </c>
      <c r="D25" s="637" t="s">
        <v>502</v>
      </c>
      <c r="E25" s="636" t="s">
        <v>1452</v>
      </c>
      <c r="F25" s="637" t="s">
        <v>1453</v>
      </c>
      <c r="G25" s="636" t="s">
        <v>1508</v>
      </c>
      <c r="H25" s="636" t="s">
        <v>1509</v>
      </c>
      <c r="I25" s="638">
        <v>4.3</v>
      </c>
      <c r="J25" s="638">
        <v>48</v>
      </c>
      <c r="K25" s="639">
        <v>206.4</v>
      </c>
    </row>
    <row r="26" spans="1:11" ht="14.4" customHeight="1" x14ac:dyDescent="0.3">
      <c r="A26" s="634" t="s">
        <v>487</v>
      </c>
      <c r="B26" s="635" t="s">
        <v>489</v>
      </c>
      <c r="C26" s="636" t="s">
        <v>501</v>
      </c>
      <c r="D26" s="637" t="s">
        <v>502</v>
      </c>
      <c r="E26" s="636" t="s">
        <v>1452</v>
      </c>
      <c r="F26" s="637" t="s">
        <v>1453</v>
      </c>
      <c r="G26" s="636" t="s">
        <v>1510</v>
      </c>
      <c r="H26" s="636" t="s">
        <v>1511</v>
      </c>
      <c r="I26" s="638">
        <v>4.54</v>
      </c>
      <c r="J26" s="638">
        <v>100</v>
      </c>
      <c r="K26" s="639">
        <v>454.5</v>
      </c>
    </row>
    <row r="27" spans="1:11" ht="14.4" customHeight="1" x14ac:dyDescent="0.3">
      <c r="A27" s="634" t="s">
        <v>487</v>
      </c>
      <c r="B27" s="635" t="s">
        <v>489</v>
      </c>
      <c r="C27" s="636" t="s">
        <v>501</v>
      </c>
      <c r="D27" s="637" t="s">
        <v>502</v>
      </c>
      <c r="E27" s="636" t="s">
        <v>1452</v>
      </c>
      <c r="F27" s="637" t="s">
        <v>1453</v>
      </c>
      <c r="G27" s="636" t="s">
        <v>1512</v>
      </c>
      <c r="H27" s="636" t="s">
        <v>1513</v>
      </c>
      <c r="I27" s="638">
        <v>82.8</v>
      </c>
      <c r="J27" s="638">
        <v>10</v>
      </c>
      <c r="K27" s="639">
        <v>828</v>
      </c>
    </row>
    <row r="28" spans="1:11" ht="14.4" customHeight="1" x14ac:dyDescent="0.3">
      <c r="A28" s="634" t="s">
        <v>487</v>
      </c>
      <c r="B28" s="635" t="s">
        <v>489</v>
      </c>
      <c r="C28" s="636" t="s">
        <v>501</v>
      </c>
      <c r="D28" s="637" t="s">
        <v>502</v>
      </c>
      <c r="E28" s="636" t="s">
        <v>1452</v>
      </c>
      <c r="F28" s="637" t="s">
        <v>1453</v>
      </c>
      <c r="G28" s="636" t="s">
        <v>1514</v>
      </c>
      <c r="H28" s="636" t="s">
        <v>1515</v>
      </c>
      <c r="I28" s="638">
        <v>2.39</v>
      </c>
      <c r="J28" s="638">
        <v>40</v>
      </c>
      <c r="K28" s="639">
        <v>95.6</v>
      </c>
    </row>
    <row r="29" spans="1:11" ht="14.4" customHeight="1" x14ac:dyDescent="0.3">
      <c r="A29" s="634" t="s">
        <v>487</v>
      </c>
      <c r="B29" s="635" t="s">
        <v>489</v>
      </c>
      <c r="C29" s="636" t="s">
        <v>501</v>
      </c>
      <c r="D29" s="637" t="s">
        <v>502</v>
      </c>
      <c r="E29" s="636" t="s">
        <v>1452</v>
      </c>
      <c r="F29" s="637" t="s">
        <v>1453</v>
      </c>
      <c r="G29" s="636" t="s">
        <v>1516</v>
      </c>
      <c r="H29" s="636" t="s">
        <v>1517</v>
      </c>
      <c r="I29" s="638">
        <v>3.1</v>
      </c>
      <c r="J29" s="638">
        <v>40</v>
      </c>
      <c r="K29" s="639">
        <v>124</v>
      </c>
    </row>
    <row r="30" spans="1:11" ht="14.4" customHeight="1" x14ac:dyDescent="0.3">
      <c r="A30" s="634" t="s">
        <v>487</v>
      </c>
      <c r="B30" s="635" t="s">
        <v>489</v>
      </c>
      <c r="C30" s="636" t="s">
        <v>501</v>
      </c>
      <c r="D30" s="637" t="s">
        <v>502</v>
      </c>
      <c r="E30" s="636" t="s">
        <v>1452</v>
      </c>
      <c r="F30" s="637" t="s">
        <v>1453</v>
      </c>
      <c r="G30" s="636" t="s">
        <v>1518</v>
      </c>
      <c r="H30" s="636" t="s">
        <v>1519</v>
      </c>
      <c r="I30" s="638">
        <v>3.78</v>
      </c>
      <c r="J30" s="638">
        <v>40</v>
      </c>
      <c r="K30" s="639">
        <v>151.19999999999999</v>
      </c>
    </row>
    <row r="31" spans="1:11" ht="14.4" customHeight="1" x14ac:dyDescent="0.3">
      <c r="A31" s="634" t="s">
        <v>487</v>
      </c>
      <c r="B31" s="635" t="s">
        <v>489</v>
      </c>
      <c r="C31" s="636" t="s">
        <v>501</v>
      </c>
      <c r="D31" s="637" t="s">
        <v>502</v>
      </c>
      <c r="E31" s="636" t="s">
        <v>1452</v>
      </c>
      <c r="F31" s="637" t="s">
        <v>1453</v>
      </c>
      <c r="G31" s="636" t="s">
        <v>1520</v>
      </c>
      <c r="H31" s="636" t="s">
        <v>1521</v>
      </c>
      <c r="I31" s="638">
        <v>59.17</v>
      </c>
      <c r="J31" s="638">
        <v>8</v>
      </c>
      <c r="K31" s="639">
        <v>473.35</v>
      </c>
    </row>
    <row r="32" spans="1:11" ht="14.4" customHeight="1" x14ac:dyDescent="0.3">
      <c r="A32" s="634" t="s">
        <v>487</v>
      </c>
      <c r="B32" s="635" t="s">
        <v>489</v>
      </c>
      <c r="C32" s="636" t="s">
        <v>501</v>
      </c>
      <c r="D32" s="637" t="s">
        <v>502</v>
      </c>
      <c r="E32" s="636" t="s">
        <v>1452</v>
      </c>
      <c r="F32" s="637" t="s">
        <v>1453</v>
      </c>
      <c r="G32" s="636" t="s">
        <v>1522</v>
      </c>
      <c r="H32" s="636" t="s">
        <v>1523</v>
      </c>
      <c r="I32" s="638">
        <v>13.96</v>
      </c>
      <c r="J32" s="638">
        <v>30</v>
      </c>
      <c r="K32" s="639">
        <v>418.8</v>
      </c>
    </row>
    <row r="33" spans="1:11" ht="14.4" customHeight="1" x14ac:dyDescent="0.3">
      <c r="A33" s="634" t="s">
        <v>487</v>
      </c>
      <c r="B33" s="635" t="s">
        <v>489</v>
      </c>
      <c r="C33" s="636" t="s">
        <v>501</v>
      </c>
      <c r="D33" s="637" t="s">
        <v>502</v>
      </c>
      <c r="E33" s="636" t="s">
        <v>1452</v>
      </c>
      <c r="F33" s="637" t="s">
        <v>1453</v>
      </c>
      <c r="G33" s="636" t="s">
        <v>1524</v>
      </c>
      <c r="H33" s="636" t="s">
        <v>1525</v>
      </c>
      <c r="I33" s="638">
        <v>12.08</v>
      </c>
      <c r="J33" s="638">
        <v>30</v>
      </c>
      <c r="K33" s="639">
        <v>362.4</v>
      </c>
    </row>
    <row r="34" spans="1:11" ht="14.4" customHeight="1" x14ac:dyDescent="0.3">
      <c r="A34" s="634" t="s">
        <v>487</v>
      </c>
      <c r="B34" s="635" t="s">
        <v>489</v>
      </c>
      <c r="C34" s="636" t="s">
        <v>501</v>
      </c>
      <c r="D34" s="637" t="s">
        <v>502</v>
      </c>
      <c r="E34" s="636" t="s">
        <v>1452</v>
      </c>
      <c r="F34" s="637" t="s">
        <v>1453</v>
      </c>
      <c r="G34" s="636" t="s">
        <v>1526</v>
      </c>
      <c r="H34" s="636" t="s">
        <v>1527</v>
      </c>
      <c r="I34" s="638">
        <v>0.40000000000000008</v>
      </c>
      <c r="J34" s="638">
        <v>6000</v>
      </c>
      <c r="K34" s="639">
        <v>2400</v>
      </c>
    </row>
    <row r="35" spans="1:11" ht="14.4" customHeight="1" x14ac:dyDescent="0.3">
      <c r="A35" s="634" t="s">
        <v>487</v>
      </c>
      <c r="B35" s="635" t="s">
        <v>489</v>
      </c>
      <c r="C35" s="636" t="s">
        <v>501</v>
      </c>
      <c r="D35" s="637" t="s">
        <v>502</v>
      </c>
      <c r="E35" s="636" t="s">
        <v>1452</v>
      </c>
      <c r="F35" s="637" t="s">
        <v>1453</v>
      </c>
      <c r="G35" s="636" t="s">
        <v>1528</v>
      </c>
      <c r="H35" s="636" t="s">
        <v>1529</v>
      </c>
      <c r="I35" s="638">
        <v>27.36</v>
      </c>
      <c r="J35" s="638">
        <v>144</v>
      </c>
      <c r="K35" s="639">
        <v>3939.84</v>
      </c>
    </row>
    <row r="36" spans="1:11" ht="14.4" customHeight="1" x14ac:dyDescent="0.3">
      <c r="A36" s="634" t="s">
        <v>487</v>
      </c>
      <c r="B36" s="635" t="s">
        <v>489</v>
      </c>
      <c r="C36" s="636" t="s">
        <v>501</v>
      </c>
      <c r="D36" s="637" t="s">
        <v>502</v>
      </c>
      <c r="E36" s="636" t="s">
        <v>1452</v>
      </c>
      <c r="F36" s="637" t="s">
        <v>1453</v>
      </c>
      <c r="G36" s="636" t="s">
        <v>1530</v>
      </c>
      <c r="H36" s="636" t="s">
        <v>1531</v>
      </c>
      <c r="I36" s="638">
        <v>39.65</v>
      </c>
      <c r="J36" s="638">
        <v>4</v>
      </c>
      <c r="K36" s="639">
        <v>158.6</v>
      </c>
    </row>
    <row r="37" spans="1:11" ht="14.4" customHeight="1" x14ac:dyDescent="0.3">
      <c r="A37" s="634" t="s">
        <v>487</v>
      </c>
      <c r="B37" s="635" t="s">
        <v>489</v>
      </c>
      <c r="C37" s="636" t="s">
        <v>501</v>
      </c>
      <c r="D37" s="637" t="s">
        <v>502</v>
      </c>
      <c r="E37" s="636" t="s">
        <v>1452</v>
      </c>
      <c r="F37" s="637" t="s">
        <v>1453</v>
      </c>
      <c r="G37" s="636" t="s">
        <v>1532</v>
      </c>
      <c r="H37" s="636" t="s">
        <v>1533</v>
      </c>
      <c r="I37" s="638">
        <v>3.91</v>
      </c>
      <c r="J37" s="638">
        <v>200</v>
      </c>
      <c r="K37" s="639">
        <v>782</v>
      </c>
    </row>
    <row r="38" spans="1:11" ht="14.4" customHeight="1" x14ac:dyDescent="0.3">
      <c r="A38" s="634" t="s">
        <v>487</v>
      </c>
      <c r="B38" s="635" t="s">
        <v>489</v>
      </c>
      <c r="C38" s="636" t="s">
        <v>501</v>
      </c>
      <c r="D38" s="637" t="s">
        <v>502</v>
      </c>
      <c r="E38" s="636" t="s">
        <v>1452</v>
      </c>
      <c r="F38" s="637" t="s">
        <v>1453</v>
      </c>
      <c r="G38" s="636" t="s">
        <v>1534</v>
      </c>
      <c r="H38" s="636" t="s">
        <v>1535</v>
      </c>
      <c r="I38" s="638">
        <v>1.4249999999999998</v>
      </c>
      <c r="J38" s="638">
        <v>400</v>
      </c>
      <c r="K38" s="639">
        <v>570</v>
      </c>
    </row>
    <row r="39" spans="1:11" ht="14.4" customHeight="1" x14ac:dyDescent="0.3">
      <c r="A39" s="634" t="s">
        <v>487</v>
      </c>
      <c r="B39" s="635" t="s">
        <v>489</v>
      </c>
      <c r="C39" s="636" t="s">
        <v>501</v>
      </c>
      <c r="D39" s="637" t="s">
        <v>502</v>
      </c>
      <c r="E39" s="636" t="s">
        <v>1452</v>
      </c>
      <c r="F39" s="637" t="s">
        <v>1453</v>
      </c>
      <c r="G39" s="636" t="s">
        <v>1536</v>
      </c>
      <c r="H39" s="636" t="s">
        <v>1537</v>
      </c>
      <c r="I39" s="638">
        <v>86.38</v>
      </c>
      <c r="J39" s="638">
        <v>20</v>
      </c>
      <c r="K39" s="639">
        <v>1727.54</v>
      </c>
    </row>
    <row r="40" spans="1:11" ht="14.4" customHeight="1" x14ac:dyDescent="0.3">
      <c r="A40" s="634" t="s">
        <v>487</v>
      </c>
      <c r="B40" s="635" t="s">
        <v>489</v>
      </c>
      <c r="C40" s="636" t="s">
        <v>501</v>
      </c>
      <c r="D40" s="637" t="s">
        <v>502</v>
      </c>
      <c r="E40" s="636" t="s">
        <v>1452</v>
      </c>
      <c r="F40" s="637" t="s">
        <v>1453</v>
      </c>
      <c r="G40" s="636" t="s">
        <v>1538</v>
      </c>
      <c r="H40" s="636" t="s">
        <v>1539</v>
      </c>
      <c r="I40" s="638">
        <v>1</v>
      </c>
      <c r="J40" s="638">
        <v>200</v>
      </c>
      <c r="K40" s="639">
        <v>200</v>
      </c>
    </row>
    <row r="41" spans="1:11" ht="14.4" customHeight="1" x14ac:dyDescent="0.3">
      <c r="A41" s="634" t="s">
        <v>487</v>
      </c>
      <c r="B41" s="635" t="s">
        <v>489</v>
      </c>
      <c r="C41" s="636" t="s">
        <v>501</v>
      </c>
      <c r="D41" s="637" t="s">
        <v>502</v>
      </c>
      <c r="E41" s="636" t="s">
        <v>1452</v>
      </c>
      <c r="F41" s="637" t="s">
        <v>1453</v>
      </c>
      <c r="G41" s="636" t="s">
        <v>1540</v>
      </c>
      <c r="H41" s="636" t="s">
        <v>1541</v>
      </c>
      <c r="I41" s="638">
        <v>22.149999999999995</v>
      </c>
      <c r="J41" s="638">
        <v>150</v>
      </c>
      <c r="K41" s="639">
        <v>3322.5</v>
      </c>
    </row>
    <row r="42" spans="1:11" ht="14.4" customHeight="1" x14ac:dyDescent="0.3">
      <c r="A42" s="634" t="s">
        <v>487</v>
      </c>
      <c r="B42" s="635" t="s">
        <v>489</v>
      </c>
      <c r="C42" s="636" t="s">
        <v>501</v>
      </c>
      <c r="D42" s="637" t="s">
        <v>502</v>
      </c>
      <c r="E42" s="636" t="s">
        <v>1452</v>
      </c>
      <c r="F42" s="637" t="s">
        <v>1453</v>
      </c>
      <c r="G42" s="636" t="s">
        <v>1542</v>
      </c>
      <c r="H42" s="636" t="s">
        <v>1543</v>
      </c>
      <c r="I42" s="638">
        <v>30.18</v>
      </c>
      <c r="J42" s="638">
        <v>50</v>
      </c>
      <c r="K42" s="639">
        <v>1509</v>
      </c>
    </row>
    <row r="43" spans="1:11" ht="14.4" customHeight="1" x14ac:dyDescent="0.3">
      <c r="A43" s="634" t="s">
        <v>487</v>
      </c>
      <c r="B43" s="635" t="s">
        <v>489</v>
      </c>
      <c r="C43" s="636" t="s">
        <v>501</v>
      </c>
      <c r="D43" s="637" t="s">
        <v>502</v>
      </c>
      <c r="E43" s="636" t="s">
        <v>1452</v>
      </c>
      <c r="F43" s="637" t="s">
        <v>1453</v>
      </c>
      <c r="G43" s="636" t="s">
        <v>1544</v>
      </c>
      <c r="H43" s="636" t="s">
        <v>1545</v>
      </c>
      <c r="I43" s="638">
        <v>272.43</v>
      </c>
      <c r="J43" s="638">
        <v>6</v>
      </c>
      <c r="K43" s="639">
        <v>1634.6</v>
      </c>
    </row>
    <row r="44" spans="1:11" ht="14.4" customHeight="1" x14ac:dyDescent="0.3">
      <c r="A44" s="634" t="s">
        <v>487</v>
      </c>
      <c r="B44" s="635" t="s">
        <v>489</v>
      </c>
      <c r="C44" s="636" t="s">
        <v>501</v>
      </c>
      <c r="D44" s="637" t="s">
        <v>502</v>
      </c>
      <c r="E44" s="636" t="s">
        <v>1452</v>
      </c>
      <c r="F44" s="637" t="s">
        <v>1453</v>
      </c>
      <c r="G44" s="636" t="s">
        <v>1546</v>
      </c>
      <c r="H44" s="636" t="s">
        <v>1547</v>
      </c>
      <c r="I44" s="638">
        <v>1.25</v>
      </c>
      <c r="J44" s="638">
        <v>1000</v>
      </c>
      <c r="K44" s="639">
        <v>1253.96</v>
      </c>
    </row>
    <row r="45" spans="1:11" ht="14.4" customHeight="1" x14ac:dyDescent="0.3">
      <c r="A45" s="634" t="s">
        <v>487</v>
      </c>
      <c r="B45" s="635" t="s">
        <v>489</v>
      </c>
      <c r="C45" s="636" t="s">
        <v>501</v>
      </c>
      <c r="D45" s="637" t="s">
        <v>502</v>
      </c>
      <c r="E45" s="636" t="s">
        <v>1452</v>
      </c>
      <c r="F45" s="637" t="s">
        <v>1453</v>
      </c>
      <c r="G45" s="636" t="s">
        <v>1548</v>
      </c>
      <c r="H45" s="636" t="s">
        <v>1549</v>
      </c>
      <c r="I45" s="638">
        <v>12.42</v>
      </c>
      <c r="J45" s="638">
        <v>210</v>
      </c>
      <c r="K45" s="639">
        <v>2608.1999999999998</v>
      </c>
    </row>
    <row r="46" spans="1:11" ht="14.4" customHeight="1" x14ac:dyDescent="0.3">
      <c r="A46" s="634" t="s">
        <v>487</v>
      </c>
      <c r="B46" s="635" t="s">
        <v>489</v>
      </c>
      <c r="C46" s="636" t="s">
        <v>501</v>
      </c>
      <c r="D46" s="637" t="s">
        <v>502</v>
      </c>
      <c r="E46" s="636" t="s">
        <v>1452</v>
      </c>
      <c r="F46" s="637" t="s">
        <v>1453</v>
      </c>
      <c r="G46" s="636" t="s">
        <v>1550</v>
      </c>
      <c r="H46" s="636" t="s">
        <v>1551</v>
      </c>
      <c r="I46" s="638">
        <v>1.38</v>
      </c>
      <c r="J46" s="638">
        <v>200</v>
      </c>
      <c r="K46" s="639">
        <v>276</v>
      </c>
    </row>
    <row r="47" spans="1:11" ht="14.4" customHeight="1" x14ac:dyDescent="0.3">
      <c r="A47" s="634" t="s">
        <v>487</v>
      </c>
      <c r="B47" s="635" t="s">
        <v>489</v>
      </c>
      <c r="C47" s="636" t="s">
        <v>501</v>
      </c>
      <c r="D47" s="637" t="s">
        <v>502</v>
      </c>
      <c r="E47" s="636" t="s">
        <v>1452</v>
      </c>
      <c r="F47" s="637" t="s">
        <v>1453</v>
      </c>
      <c r="G47" s="636" t="s">
        <v>1552</v>
      </c>
      <c r="H47" s="636" t="s">
        <v>1553</v>
      </c>
      <c r="I47" s="638">
        <v>3.94</v>
      </c>
      <c r="J47" s="638">
        <v>1000</v>
      </c>
      <c r="K47" s="639">
        <v>3942.3</v>
      </c>
    </row>
    <row r="48" spans="1:11" ht="14.4" customHeight="1" x14ac:dyDescent="0.3">
      <c r="A48" s="634" t="s">
        <v>487</v>
      </c>
      <c r="B48" s="635" t="s">
        <v>489</v>
      </c>
      <c r="C48" s="636" t="s">
        <v>501</v>
      </c>
      <c r="D48" s="637" t="s">
        <v>502</v>
      </c>
      <c r="E48" s="636" t="s">
        <v>1452</v>
      </c>
      <c r="F48" s="637" t="s">
        <v>1453</v>
      </c>
      <c r="G48" s="636" t="s">
        <v>1554</v>
      </c>
      <c r="H48" s="636" t="s">
        <v>1555</v>
      </c>
      <c r="I48" s="638">
        <v>0.44</v>
      </c>
      <c r="J48" s="638">
        <v>3000</v>
      </c>
      <c r="K48" s="639">
        <v>1320</v>
      </c>
    </row>
    <row r="49" spans="1:11" ht="14.4" customHeight="1" x14ac:dyDescent="0.3">
      <c r="A49" s="634" t="s">
        <v>487</v>
      </c>
      <c r="B49" s="635" t="s">
        <v>489</v>
      </c>
      <c r="C49" s="636" t="s">
        <v>501</v>
      </c>
      <c r="D49" s="637" t="s">
        <v>502</v>
      </c>
      <c r="E49" s="636" t="s">
        <v>1452</v>
      </c>
      <c r="F49" s="637" t="s">
        <v>1453</v>
      </c>
      <c r="G49" s="636" t="s">
        <v>1556</v>
      </c>
      <c r="H49" s="636" t="s">
        <v>1557</v>
      </c>
      <c r="I49" s="638">
        <v>450</v>
      </c>
      <c r="J49" s="638">
        <v>2</v>
      </c>
      <c r="K49" s="639">
        <v>899.99</v>
      </c>
    </row>
    <row r="50" spans="1:11" ht="14.4" customHeight="1" x14ac:dyDescent="0.3">
      <c r="A50" s="634" t="s">
        <v>487</v>
      </c>
      <c r="B50" s="635" t="s">
        <v>489</v>
      </c>
      <c r="C50" s="636" t="s">
        <v>501</v>
      </c>
      <c r="D50" s="637" t="s">
        <v>502</v>
      </c>
      <c r="E50" s="636" t="s">
        <v>1452</v>
      </c>
      <c r="F50" s="637" t="s">
        <v>1453</v>
      </c>
      <c r="G50" s="636" t="s">
        <v>1558</v>
      </c>
      <c r="H50" s="636" t="s">
        <v>1559</v>
      </c>
      <c r="I50" s="638">
        <v>8.58</v>
      </c>
      <c r="J50" s="638">
        <v>48</v>
      </c>
      <c r="K50" s="639">
        <v>411.84</v>
      </c>
    </row>
    <row r="51" spans="1:11" ht="14.4" customHeight="1" x14ac:dyDescent="0.3">
      <c r="A51" s="634" t="s">
        <v>487</v>
      </c>
      <c r="B51" s="635" t="s">
        <v>489</v>
      </c>
      <c r="C51" s="636" t="s">
        <v>501</v>
      </c>
      <c r="D51" s="637" t="s">
        <v>502</v>
      </c>
      <c r="E51" s="636" t="s">
        <v>1452</v>
      </c>
      <c r="F51" s="637" t="s">
        <v>1453</v>
      </c>
      <c r="G51" s="636" t="s">
        <v>1560</v>
      </c>
      <c r="H51" s="636" t="s">
        <v>1561</v>
      </c>
      <c r="I51" s="638">
        <v>27.94</v>
      </c>
      <c r="J51" s="638">
        <v>10</v>
      </c>
      <c r="K51" s="639">
        <v>279.39999999999998</v>
      </c>
    </row>
    <row r="52" spans="1:11" ht="14.4" customHeight="1" x14ac:dyDescent="0.3">
      <c r="A52" s="634" t="s">
        <v>487</v>
      </c>
      <c r="B52" s="635" t="s">
        <v>489</v>
      </c>
      <c r="C52" s="636" t="s">
        <v>501</v>
      </c>
      <c r="D52" s="637" t="s">
        <v>502</v>
      </c>
      <c r="E52" s="636" t="s">
        <v>1452</v>
      </c>
      <c r="F52" s="637" t="s">
        <v>1453</v>
      </c>
      <c r="G52" s="636" t="s">
        <v>1562</v>
      </c>
      <c r="H52" s="636" t="s">
        <v>1563</v>
      </c>
      <c r="I52" s="638">
        <v>1.2224999999999999</v>
      </c>
      <c r="J52" s="638">
        <v>6000</v>
      </c>
      <c r="K52" s="639">
        <v>7453.12</v>
      </c>
    </row>
    <row r="53" spans="1:11" ht="14.4" customHeight="1" x14ac:dyDescent="0.3">
      <c r="A53" s="634" t="s">
        <v>487</v>
      </c>
      <c r="B53" s="635" t="s">
        <v>489</v>
      </c>
      <c r="C53" s="636" t="s">
        <v>501</v>
      </c>
      <c r="D53" s="637" t="s">
        <v>502</v>
      </c>
      <c r="E53" s="636" t="s">
        <v>1452</v>
      </c>
      <c r="F53" s="637" t="s">
        <v>1453</v>
      </c>
      <c r="G53" s="636" t="s">
        <v>1564</v>
      </c>
      <c r="H53" s="636" t="s">
        <v>1565</v>
      </c>
      <c r="I53" s="638">
        <v>9.99</v>
      </c>
      <c r="J53" s="638">
        <v>30</v>
      </c>
      <c r="K53" s="639">
        <v>299.58</v>
      </c>
    </row>
    <row r="54" spans="1:11" ht="14.4" customHeight="1" x14ac:dyDescent="0.3">
      <c r="A54" s="634" t="s">
        <v>487</v>
      </c>
      <c r="B54" s="635" t="s">
        <v>489</v>
      </c>
      <c r="C54" s="636" t="s">
        <v>501</v>
      </c>
      <c r="D54" s="637" t="s">
        <v>502</v>
      </c>
      <c r="E54" s="636" t="s">
        <v>1452</v>
      </c>
      <c r="F54" s="637" t="s">
        <v>1453</v>
      </c>
      <c r="G54" s="636" t="s">
        <v>1566</v>
      </c>
      <c r="H54" s="636" t="s">
        <v>1567</v>
      </c>
      <c r="I54" s="638">
        <v>46.125</v>
      </c>
      <c r="J54" s="638">
        <v>5</v>
      </c>
      <c r="K54" s="639">
        <v>230.63</v>
      </c>
    </row>
    <row r="55" spans="1:11" ht="14.4" customHeight="1" x14ac:dyDescent="0.3">
      <c r="A55" s="634" t="s">
        <v>487</v>
      </c>
      <c r="B55" s="635" t="s">
        <v>489</v>
      </c>
      <c r="C55" s="636" t="s">
        <v>501</v>
      </c>
      <c r="D55" s="637" t="s">
        <v>502</v>
      </c>
      <c r="E55" s="636" t="s">
        <v>1452</v>
      </c>
      <c r="F55" s="637" t="s">
        <v>1453</v>
      </c>
      <c r="G55" s="636" t="s">
        <v>1568</v>
      </c>
      <c r="H55" s="636" t="s">
        <v>1569</v>
      </c>
      <c r="I55" s="638">
        <v>105.59</v>
      </c>
      <c r="J55" s="638">
        <v>12</v>
      </c>
      <c r="K55" s="639">
        <v>1267.1199999999999</v>
      </c>
    </row>
    <row r="56" spans="1:11" ht="14.4" customHeight="1" x14ac:dyDescent="0.3">
      <c r="A56" s="634" t="s">
        <v>487</v>
      </c>
      <c r="B56" s="635" t="s">
        <v>489</v>
      </c>
      <c r="C56" s="636" t="s">
        <v>501</v>
      </c>
      <c r="D56" s="637" t="s">
        <v>502</v>
      </c>
      <c r="E56" s="636" t="s">
        <v>1452</v>
      </c>
      <c r="F56" s="637" t="s">
        <v>1453</v>
      </c>
      <c r="G56" s="636" t="s">
        <v>1570</v>
      </c>
      <c r="H56" s="636" t="s">
        <v>1571</v>
      </c>
      <c r="I56" s="638">
        <v>31.049999999999997</v>
      </c>
      <c r="J56" s="638">
        <v>20</v>
      </c>
      <c r="K56" s="639">
        <v>621</v>
      </c>
    </row>
    <row r="57" spans="1:11" ht="14.4" customHeight="1" x14ac:dyDescent="0.3">
      <c r="A57" s="634" t="s">
        <v>487</v>
      </c>
      <c r="B57" s="635" t="s">
        <v>489</v>
      </c>
      <c r="C57" s="636" t="s">
        <v>501</v>
      </c>
      <c r="D57" s="637" t="s">
        <v>502</v>
      </c>
      <c r="E57" s="636" t="s">
        <v>1452</v>
      </c>
      <c r="F57" s="637" t="s">
        <v>1453</v>
      </c>
      <c r="G57" s="636" t="s">
        <v>1572</v>
      </c>
      <c r="H57" s="636" t="s">
        <v>1573</v>
      </c>
      <c r="I57" s="638">
        <v>122.07</v>
      </c>
      <c r="J57" s="638">
        <v>10</v>
      </c>
      <c r="K57" s="639">
        <v>1220.73</v>
      </c>
    </row>
    <row r="58" spans="1:11" ht="14.4" customHeight="1" x14ac:dyDescent="0.3">
      <c r="A58" s="634" t="s">
        <v>487</v>
      </c>
      <c r="B58" s="635" t="s">
        <v>489</v>
      </c>
      <c r="C58" s="636" t="s">
        <v>501</v>
      </c>
      <c r="D58" s="637" t="s">
        <v>502</v>
      </c>
      <c r="E58" s="636" t="s">
        <v>1452</v>
      </c>
      <c r="F58" s="637" t="s">
        <v>1453</v>
      </c>
      <c r="G58" s="636" t="s">
        <v>1574</v>
      </c>
      <c r="H58" s="636" t="s">
        <v>1575</v>
      </c>
      <c r="I58" s="638">
        <v>7.49</v>
      </c>
      <c r="J58" s="638">
        <v>48</v>
      </c>
      <c r="K58" s="639">
        <v>359.52</v>
      </c>
    </row>
    <row r="59" spans="1:11" ht="14.4" customHeight="1" x14ac:dyDescent="0.3">
      <c r="A59" s="634" t="s">
        <v>487</v>
      </c>
      <c r="B59" s="635" t="s">
        <v>489</v>
      </c>
      <c r="C59" s="636" t="s">
        <v>501</v>
      </c>
      <c r="D59" s="637" t="s">
        <v>502</v>
      </c>
      <c r="E59" s="636" t="s">
        <v>1452</v>
      </c>
      <c r="F59" s="637" t="s">
        <v>1453</v>
      </c>
      <c r="G59" s="636" t="s">
        <v>1476</v>
      </c>
      <c r="H59" s="636" t="s">
        <v>1477</v>
      </c>
      <c r="I59" s="638">
        <v>0.85499999999999998</v>
      </c>
      <c r="J59" s="638">
        <v>400</v>
      </c>
      <c r="K59" s="639">
        <v>342</v>
      </c>
    </row>
    <row r="60" spans="1:11" ht="14.4" customHeight="1" x14ac:dyDescent="0.3">
      <c r="A60" s="634" t="s">
        <v>487</v>
      </c>
      <c r="B60" s="635" t="s">
        <v>489</v>
      </c>
      <c r="C60" s="636" t="s">
        <v>501</v>
      </c>
      <c r="D60" s="637" t="s">
        <v>502</v>
      </c>
      <c r="E60" s="636" t="s">
        <v>1452</v>
      </c>
      <c r="F60" s="637" t="s">
        <v>1453</v>
      </c>
      <c r="G60" s="636" t="s">
        <v>1478</v>
      </c>
      <c r="H60" s="636" t="s">
        <v>1479</v>
      </c>
      <c r="I60" s="638">
        <v>1.52</v>
      </c>
      <c r="J60" s="638">
        <v>200</v>
      </c>
      <c r="K60" s="639">
        <v>304</v>
      </c>
    </row>
    <row r="61" spans="1:11" ht="14.4" customHeight="1" x14ac:dyDescent="0.3">
      <c r="A61" s="634" t="s">
        <v>487</v>
      </c>
      <c r="B61" s="635" t="s">
        <v>489</v>
      </c>
      <c r="C61" s="636" t="s">
        <v>501</v>
      </c>
      <c r="D61" s="637" t="s">
        <v>502</v>
      </c>
      <c r="E61" s="636" t="s">
        <v>1452</v>
      </c>
      <c r="F61" s="637" t="s">
        <v>1453</v>
      </c>
      <c r="G61" s="636" t="s">
        <v>1576</v>
      </c>
      <c r="H61" s="636" t="s">
        <v>1577</v>
      </c>
      <c r="I61" s="638">
        <v>3.36</v>
      </c>
      <c r="J61" s="638">
        <v>100</v>
      </c>
      <c r="K61" s="639">
        <v>336</v>
      </c>
    </row>
    <row r="62" spans="1:11" ht="14.4" customHeight="1" x14ac:dyDescent="0.3">
      <c r="A62" s="634" t="s">
        <v>487</v>
      </c>
      <c r="B62" s="635" t="s">
        <v>489</v>
      </c>
      <c r="C62" s="636" t="s">
        <v>501</v>
      </c>
      <c r="D62" s="637" t="s">
        <v>502</v>
      </c>
      <c r="E62" s="636" t="s">
        <v>1452</v>
      </c>
      <c r="F62" s="637" t="s">
        <v>1453</v>
      </c>
      <c r="G62" s="636" t="s">
        <v>1578</v>
      </c>
      <c r="H62" s="636" t="s">
        <v>1579</v>
      </c>
      <c r="I62" s="638">
        <v>1253.2</v>
      </c>
      <c r="J62" s="638">
        <v>5</v>
      </c>
      <c r="K62" s="639">
        <v>6266</v>
      </c>
    </row>
    <row r="63" spans="1:11" ht="14.4" customHeight="1" x14ac:dyDescent="0.3">
      <c r="A63" s="634" t="s">
        <v>487</v>
      </c>
      <c r="B63" s="635" t="s">
        <v>489</v>
      </c>
      <c r="C63" s="636" t="s">
        <v>501</v>
      </c>
      <c r="D63" s="637" t="s">
        <v>502</v>
      </c>
      <c r="E63" s="636" t="s">
        <v>1452</v>
      </c>
      <c r="F63" s="637" t="s">
        <v>1453</v>
      </c>
      <c r="G63" s="636" t="s">
        <v>1580</v>
      </c>
      <c r="H63" s="636" t="s">
        <v>1581</v>
      </c>
      <c r="I63" s="638">
        <v>243.58</v>
      </c>
      <c r="J63" s="638">
        <v>1</v>
      </c>
      <c r="K63" s="639">
        <v>243.58</v>
      </c>
    </row>
    <row r="64" spans="1:11" ht="14.4" customHeight="1" x14ac:dyDescent="0.3">
      <c r="A64" s="634" t="s">
        <v>487</v>
      </c>
      <c r="B64" s="635" t="s">
        <v>489</v>
      </c>
      <c r="C64" s="636" t="s">
        <v>501</v>
      </c>
      <c r="D64" s="637" t="s">
        <v>502</v>
      </c>
      <c r="E64" s="636" t="s">
        <v>1452</v>
      </c>
      <c r="F64" s="637" t="s">
        <v>1453</v>
      </c>
      <c r="G64" s="636" t="s">
        <v>1582</v>
      </c>
      <c r="H64" s="636" t="s">
        <v>1583</v>
      </c>
      <c r="I64" s="638">
        <v>69</v>
      </c>
      <c r="J64" s="638">
        <v>30</v>
      </c>
      <c r="K64" s="639">
        <v>2070</v>
      </c>
    </row>
    <row r="65" spans="1:11" ht="14.4" customHeight="1" x14ac:dyDescent="0.3">
      <c r="A65" s="634" t="s">
        <v>487</v>
      </c>
      <c r="B65" s="635" t="s">
        <v>489</v>
      </c>
      <c r="C65" s="636" t="s">
        <v>501</v>
      </c>
      <c r="D65" s="637" t="s">
        <v>502</v>
      </c>
      <c r="E65" s="636" t="s">
        <v>1452</v>
      </c>
      <c r="F65" s="637" t="s">
        <v>1453</v>
      </c>
      <c r="G65" s="636" t="s">
        <v>1584</v>
      </c>
      <c r="H65" s="636" t="s">
        <v>1585</v>
      </c>
      <c r="I65" s="638">
        <v>5.27</v>
      </c>
      <c r="J65" s="638">
        <v>200</v>
      </c>
      <c r="K65" s="639">
        <v>1054</v>
      </c>
    </row>
    <row r="66" spans="1:11" ht="14.4" customHeight="1" x14ac:dyDescent="0.3">
      <c r="A66" s="634" t="s">
        <v>487</v>
      </c>
      <c r="B66" s="635" t="s">
        <v>489</v>
      </c>
      <c r="C66" s="636" t="s">
        <v>501</v>
      </c>
      <c r="D66" s="637" t="s">
        <v>502</v>
      </c>
      <c r="E66" s="636" t="s">
        <v>1454</v>
      </c>
      <c r="F66" s="637" t="s">
        <v>1455</v>
      </c>
      <c r="G66" s="636" t="s">
        <v>1586</v>
      </c>
      <c r="H66" s="636" t="s">
        <v>1587</v>
      </c>
      <c r="I66" s="638">
        <v>268.62</v>
      </c>
      <c r="J66" s="638">
        <v>60</v>
      </c>
      <c r="K66" s="639">
        <v>16117.2</v>
      </c>
    </row>
    <row r="67" spans="1:11" ht="14.4" customHeight="1" x14ac:dyDescent="0.3">
      <c r="A67" s="634" t="s">
        <v>487</v>
      </c>
      <c r="B67" s="635" t="s">
        <v>489</v>
      </c>
      <c r="C67" s="636" t="s">
        <v>501</v>
      </c>
      <c r="D67" s="637" t="s">
        <v>502</v>
      </c>
      <c r="E67" s="636" t="s">
        <v>1454</v>
      </c>
      <c r="F67" s="637" t="s">
        <v>1455</v>
      </c>
      <c r="G67" s="636" t="s">
        <v>1588</v>
      </c>
      <c r="H67" s="636" t="s">
        <v>1589</v>
      </c>
      <c r="I67" s="638">
        <v>58.38</v>
      </c>
      <c r="J67" s="638">
        <v>50</v>
      </c>
      <c r="K67" s="639">
        <v>2919</v>
      </c>
    </row>
    <row r="68" spans="1:11" ht="14.4" customHeight="1" x14ac:dyDescent="0.3">
      <c r="A68" s="634" t="s">
        <v>487</v>
      </c>
      <c r="B68" s="635" t="s">
        <v>489</v>
      </c>
      <c r="C68" s="636" t="s">
        <v>501</v>
      </c>
      <c r="D68" s="637" t="s">
        <v>502</v>
      </c>
      <c r="E68" s="636" t="s">
        <v>1454</v>
      </c>
      <c r="F68" s="637" t="s">
        <v>1455</v>
      </c>
      <c r="G68" s="636" t="s">
        <v>1590</v>
      </c>
      <c r="H68" s="636" t="s">
        <v>1591</v>
      </c>
      <c r="I68" s="638">
        <v>5.2</v>
      </c>
      <c r="J68" s="638">
        <v>1600</v>
      </c>
      <c r="K68" s="639">
        <v>8320</v>
      </c>
    </row>
    <row r="69" spans="1:11" ht="14.4" customHeight="1" x14ac:dyDescent="0.3">
      <c r="A69" s="634" t="s">
        <v>487</v>
      </c>
      <c r="B69" s="635" t="s">
        <v>489</v>
      </c>
      <c r="C69" s="636" t="s">
        <v>501</v>
      </c>
      <c r="D69" s="637" t="s">
        <v>502</v>
      </c>
      <c r="E69" s="636" t="s">
        <v>1454</v>
      </c>
      <c r="F69" s="637" t="s">
        <v>1455</v>
      </c>
      <c r="G69" s="636" t="s">
        <v>1592</v>
      </c>
      <c r="H69" s="636" t="s">
        <v>1593</v>
      </c>
      <c r="I69" s="638">
        <v>37.51</v>
      </c>
      <c r="J69" s="638">
        <v>200</v>
      </c>
      <c r="K69" s="639">
        <v>7502</v>
      </c>
    </row>
    <row r="70" spans="1:11" ht="14.4" customHeight="1" x14ac:dyDescent="0.3">
      <c r="A70" s="634" t="s">
        <v>487</v>
      </c>
      <c r="B70" s="635" t="s">
        <v>489</v>
      </c>
      <c r="C70" s="636" t="s">
        <v>501</v>
      </c>
      <c r="D70" s="637" t="s">
        <v>502</v>
      </c>
      <c r="E70" s="636" t="s">
        <v>1454</v>
      </c>
      <c r="F70" s="637" t="s">
        <v>1455</v>
      </c>
      <c r="G70" s="636" t="s">
        <v>1594</v>
      </c>
      <c r="H70" s="636" t="s">
        <v>1595</v>
      </c>
      <c r="I70" s="638">
        <v>0.22</v>
      </c>
      <c r="J70" s="638">
        <v>100</v>
      </c>
      <c r="K70" s="639">
        <v>22</v>
      </c>
    </row>
    <row r="71" spans="1:11" ht="14.4" customHeight="1" x14ac:dyDescent="0.3">
      <c r="A71" s="634" t="s">
        <v>487</v>
      </c>
      <c r="B71" s="635" t="s">
        <v>489</v>
      </c>
      <c r="C71" s="636" t="s">
        <v>501</v>
      </c>
      <c r="D71" s="637" t="s">
        <v>502</v>
      </c>
      <c r="E71" s="636" t="s">
        <v>1454</v>
      </c>
      <c r="F71" s="637" t="s">
        <v>1455</v>
      </c>
      <c r="G71" s="636" t="s">
        <v>1596</v>
      </c>
      <c r="H71" s="636" t="s">
        <v>1597</v>
      </c>
      <c r="I71" s="638">
        <v>11.14</v>
      </c>
      <c r="J71" s="638">
        <v>500</v>
      </c>
      <c r="K71" s="639">
        <v>5570</v>
      </c>
    </row>
    <row r="72" spans="1:11" ht="14.4" customHeight="1" x14ac:dyDescent="0.3">
      <c r="A72" s="634" t="s">
        <v>487</v>
      </c>
      <c r="B72" s="635" t="s">
        <v>489</v>
      </c>
      <c r="C72" s="636" t="s">
        <v>501</v>
      </c>
      <c r="D72" s="637" t="s">
        <v>502</v>
      </c>
      <c r="E72" s="636" t="s">
        <v>1454</v>
      </c>
      <c r="F72" s="637" t="s">
        <v>1455</v>
      </c>
      <c r="G72" s="636" t="s">
        <v>1598</v>
      </c>
      <c r="H72" s="636" t="s">
        <v>1599</v>
      </c>
      <c r="I72" s="638">
        <v>16.29</v>
      </c>
      <c r="J72" s="638">
        <v>3</v>
      </c>
      <c r="K72" s="639">
        <v>48.87</v>
      </c>
    </row>
    <row r="73" spans="1:11" ht="14.4" customHeight="1" x14ac:dyDescent="0.3">
      <c r="A73" s="634" t="s">
        <v>487</v>
      </c>
      <c r="B73" s="635" t="s">
        <v>489</v>
      </c>
      <c r="C73" s="636" t="s">
        <v>501</v>
      </c>
      <c r="D73" s="637" t="s">
        <v>502</v>
      </c>
      <c r="E73" s="636" t="s">
        <v>1454</v>
      </c>
      <c r="F73" s="637" t="s">
        <v>1455</v>
      </c>
      <c r="G73" s="636" t="s">
        <v>1600</v>
      </c>
      <c r="H73" s="636" t="s">
        <v>1601</v>
      </c>
      <c r="I73" s="638">
        <v>31.755000000000003</v>
      </c>
      <c r="J73" s="638">
        <v>6</v>
      </c>
      <c r="K73" s="639">
        <v>190.53</v>
      </c>
    </row>
    <row r="74" spans="1:11" ht="14.4" customHeight="1" x14ac:dyDescent="0.3">
      <c r="A74" s="634" t="s">
        <v>487</v>
      </c>
      <c r="B74" s="635" t="s">
        <v>489</v>
      </c>
      <c r="C74" s="636" t="s">
        <v>501</v>
      </c>
      <c r="D74" s="637" t="s">
        <v>502</v>
      </c>
      <c r="E74" s="636" t="s">
        <v>1454</v>
      </c>
      <c r="F74" s="637" t="s">
        <v>1455</v>
      </c>
      <c r="G74" s="636" t="s">
        <v>1484</v>
      </c>
      <c r="H74" s="636" t="s">
        <v>1485</v>
      </c>
      <c r="I74" s="638">
        <v>0.93333333333333324</v>
      </c>
      <c r="J74" s="638">
        <v>4500</v>
      </c>
      <c r="K74" s="639">
        <v>4200</v>
      </c>
    </row>
    <row r="75" spans="1:11" ht="14.4" customHeight="1" x14ac:dyDescent="0.3">
      <c r="A75" s="634" t="s">
        <v>487</v>
      </c>
      <c r="B75" s="635" t="s">
        <v>489</v>
      </c>
      <c r="C75" s="636" t="s">
        <v>501</v>
      </c>
      <c r="D75" s="637" t="s">
        <v>502</v>
      </c>
      <c r="E75" s="636" t="s">
        <v>1454</v>
      </c>
      <c r="F75" s="637" t="s">
        <v>1455</v>
      </c>
      <c r="G75" s="636" t="s">
        <v>1486</v>
      </c>
      <c r="H75" s="636" t="s">
        <v>1487</v>
      </c>
      <c r="I75" s="638">
        <v>1.4350000000000001</v>
      </c>
      <c r="J75" s="638">
        <v>3600</v>
      </c>
      <c r="K75" s="639">
        <v>5168</v>
      </c>
    </row>
    <row r="76" spans="1:11" ht="14.4" customHeight="1" x14ac:dyDescent="0.3">
      <c r="A76" s="634" t="s">
        <v>487</v>
      </c>
      <c r="B76" s="635" t="s">
        <v>489</v>
      </c>
      <c r="C76" s="636" t="s">
        <v>501</v>
      </c>
      <c r="D76" s="637" t="s">
        <v>502</v>
      </c>
      <c r="E76" s="636" t="s">
        <v>1454</v>
      </c>
      <c r="F76" s="637" t="s">
        <v>1455</v>
      </c>
      <c r="G76" s="636" t="s">
        <v>1602</v>
      </c>
      <c r="H76" s="636" t="s">
        <v>1603</v>
      </c>
      <c r="I76" s="638">
        <v>0.42</v>
      </c>
      <c r="J76" s="638">
        <v>3000</v>
      </c>
      <c r="K76" s="639">
        <v>1260</v>
      </c>
    </row>
    <row r="77" spans="1:11" ht="14.4" customHeight="1" x14ac:dyDescent="0.3">
      <c r="A77" s="634" t="s">
        <v>487</v>
      </c>
      <c r="B77" s="635" t="s">
        <v>489</v>
      </c>
      <c r="C77" s="636" t="s">
        <v>501</v>
      </c>
      <c r="D77" s="637" t="s">
        <v>502</v>
      </c>
      <c r="E77" s="636" t="s">
        <v>1454</v>
      </c>
      <c r="F77" s="637" t="s">
        <v>1455</v>
      </c>
      <c r="G77" s="636" t="s">
        <v>1604</v>
      </c>
      <c r="H77" s="636" t="s">
        <v>1605</v>
      </c>
      <c r="I77" s="638">
        <v>0.57999999999999996</v>
      </c>
      <c r="J77" s="638">
        <v>1000</v>
      </c>
      <c r="K77" s="639">
        <v>580</v>
      </c>
    </row>
    <row r="78" spans="1:11" ht="14.4" customHeight="1" x14ac:dyDescent="0.3">
      <c r="A78" s="634" t="s">
        <v>487</v>
      </c>
      <c r="B78" s="635" t="s">
        <v>489</v>
      </c>
      <c r="C78" s="636" t="s">
        <v>501</v>
      </c>
      <c r="D78" s="637" t="s">
        <v>502</v>
      </c>
      <c r="E78" s="636" t="s">
        <v>1454</v>
      </c>
      <c r="F78" s="637" t="s">
        <v>1455</v>
      </c>
      <c r="G78" s="636" t="s">
        <v>1606</v>
      </c>
      <c r="H78" s="636" t="s">
        <v>1607</v>
      </c>
      <c r="I78" s="638">
        <v>3.1333333333333333</v>
      </c>
      <c r="J78" s="638">
        <v>600</v>
      </c>
      <c r="K78" s="639">
        <v>1880</v>
      </c>
    </row>
    <row r="79" spans="1:11" ht="14.4" customHeight="1" x14ac:dyDescent="0.3">
      <c r="A79" s="634" t="s">
        <v>487</v>
      </c>
      <c r="B79" s="635" t="s">
        <v>489</v>
      </c>
      <c r="C79" s="636" t="s">
        <v>501</v>
      </c>
      <c r="D79" s="637" t="s">
        <v>502</v>
      </c>
      <c r="E79" s="636" t="s">
        <v>1454</v>
      </c>
      <c r="F79" s="637" t="s">
        <v>1455</v>
      </c>
      <c r="G79" s="636" t="s">
        <v>1608</v>
      </c>
      <c r="H79" s="636" t="s">
        <v>1609</v>
      </c>
      <c r="I79" s="638">
        <v>6.19</v>
      </c>
      <c r="J79" s="638">
        <v>10</v>
      </c>
      <c r="K79" s="639">
        <v>61.9</v>
      </c>
    </row>
    <row r="80" spans="1:11" ht="14.4" customHeight="1" x14ac:dyDescent="0.3">
      <c r="A80" s="634" t="s">
        <v>487</v>
      </c>
      <c r="B80" s="635" t="s">
        <v>489</v>
      </c>
      <c r="C80" s="636" t="s">
        <v>501</v>
      </c>
      <c r="D80" s="637" t="s">
        <v>502</v>
      </c>
      <c r="E80" s="636" t="s">
        <v>1454</v>
      </c>
      <c r="F80" s="637" t="s">
        <v>1455</v>
      </c>
      <c r="G80" s="636" t="s">
        <v>1610</v>
      </c>
      <c r="H80" s="636" t="s">
        <v>1611</v>
      </c>
      <c r="I80" s="638">
        <v>23.35</v>
      </c>
      <c r="J80" s="638">
        <v>40</v>
      </c>
      <c r="K80" s="639">
        <v>934.12</v>
      </c>
    </row>
    <row r="81" spans="1:11" ht="14.4" customHeight="1" x14ac:dyDescent="0.3">
      <c r="A81" s="634" t="s">
        <v>487</v>
      </c>
      <c r="B81" s="635" t="s">
        <v>489</v>
      </c>
      <c r="C81" s="636" t="s">
        <v>501</v>
      </c>
      <c r="D81" s="637" t="s">
        <v>502</v>
      </c>
      <c r="E81" s="636" t="s">
        <v>1454</v>
      </c>
      <c r="F81" s="637" t="s">
        <v>1455</v>
      </c>
      <c r="G81" s="636" t="s">
        <v>1612</v>
      </c>
      <c r="H81" s="636" t="s">
        <v>1613</v>
      </c>
      <c r="I81" s="638">
        <v>6.3</v>
      </c>
      <c r="J81" s="638">
        <v>10</v>
      </c>
      <c r="K81" s="639">
        <v>63</v>
      </c>
    </row>
    <row r="82" spans="1:11" ht="14.4" customHeight="1" x14ac:dyDescent="0.3">
      <c r="A82" s="634" t="s">
        <v>487</v>
      </c>
      <c r="B82" s="635" t="s">
        <v>489</v>
      </c>
      <c r="C82" s="636" t="s">
        <v>501</v>
      </c>
      <c r="D82" s="637" t="s">
        <v>502</v>
      </c>
      <c r="E82" s="636" t="s">
        <v>1454</v>
      </c>
      <c r="F82" s="637" t="s">
        <v>1455</v>
      </c>
      <c r="G82" s="636" t="s">
        <v>1614</v>
      </c>
      <c r="H82" s="636" t="s">
        <v>1615</v>
      </c>
      <c r="I82" s="638">
        <v>6.29</v>
      </c>
      <c r="J82" s="638">
        <v>10</v>
      </c>
      <c r="K82" s="639">
        <v>62.9</v>
      </c>
    </row>
    <row r="83" spans="1:11" ht="14.4" customHeight="1" x14ac:dyDescent="0.3">
      <c r="A83" s="634" t="s">
        <v>487</v>
      </c>
      <c r="B83" s="635" t="s">
        <v>489</v>
      </c>
      <c r="C83" s="636" t="s">
        <v>501</v>
      </c>
      <c r="D83" s="637" t="s">
        <v>502</v>
      </c>
      <c r="E83" s="636" t="s">
        <v>1454</v>
      </c>
      <c r="F83" s="637" t="s">
        <v>1455</v>
      </c>
      <c r="G83" s="636" t="s">
        <v>1616</v>
      </c>
      <c r="H83" s="636" t="s">
        <v>1617</v>
      </c>
      <c r="I83" s="638">
        <v>6.0449999999999999</v>
      </c>
      <c r="J83" s="638">
        <v>100</v>
      </c>
      <c r="K83" s="639">
        <v>604.5</v>
      </c>
    </row>
    <row r="84" spans="1:11" ht="14.4" customHeight="1" x14ac:dyDescent="0.3">
      <c r="A84" s="634" t="s">
        <v>487</v>
      </c>
      <c r="B84" s="635" t="s">
        <v>489</v>
      </c>
      <c r="C84" s="636" t="s">
        <v>501</v>
      </c>
      <c r="D84" s="637" t="s">
        <v>502</v>
      </c>
      <c r="E84" s="636" t="s">
        <v>1454</v>
      </c>
      <c r="F84" s="637" t="s">
        <v>1455</v>
      </c>
      <c r="G84" s="636" t="s">
        <v>1618</v>
      </c>
      <c r="H84" s="636" t="s">
        <v>1619</v>
      </c>
      <c r="I84" s="638">
        <v>203.76</v>
      </c>
      <c r="J84" s="638">
        <v>30</v>
      </c>
      <c r="K84" s="639">
        <v>6112.8</v>
      </c>
    </row>
    <row r="85" spans="1:11" ht="14.4" customHeight="1" x14ac:dyDescent="0.3">
      <c r="A85" s="634" t="s">
        <v>487</v>
      </c>
      <c r="B85" s="635" t="s">
        <v>489</v>
      </c>
      <c r="C85" s="636" t="s">
        <v>501</v>
      </c>
      <c r="D85" s="637" t="s">
        <v>502</v>
      </c>
      <c r="E85" s="636" t="s">
        <v>1454</v>
      </c>
      <c r="F85" s="637" t="s">
        <v>1455</v>
      </c>
      <c r="G85" s="636" t="s">
        <v>1620</v>
      </c>
      <c r="H85" s="636" t="s">
        <v>1621</v>
      </c>
      <c r="I85" s="638">
        <v>80.572499999999991</v>
      </c>
      <c r="J85" s="638">
        <v>190</v>
      </c>
      <c r="K85" s="639">
        <v>15308.8</v>
      </c>
    </row>
    <row r="86" spans="1:11" ht="14.4" customHeight="1" x14ac:dyDescent="0.3">
      <c r="A86" s="634" t="s">
        <v>487</v>
      </c>
      <c r="B86" s="635" t="s">
        <v>489</v>
      </c>
      <c r="C86" s="636" t="s">
        <v>501</v>
      </c>
      <c r="D86" s="637" t="s">
        <v>502</v>
      </c>
      <c r="E86" s="636" t="s">
        <v>1454</v>
      </c>
      <c r="F86" s="637" t="s">
        <v>1455</v>
      </c>
      <c r="G86" s="636" t="s">
        <v>1622</v>
      </c>
      <c r="H86" s="636" t="s">
        <v>1623</v>
      </c>
      <c r="I86" s="638">
        <v>5.5649999999999995</v>
      </c>
      <c r="J86" s="638">
        <v>400</v>
      </c>
      <c r="K86" s="639">
        <v>2226</v>
      </c>
    </row>
    <row r="87" spans="1:11" ht="14.4" customHeight="1" x14ac:dyDescent="0.3">
      <c r="A87" s="634" t="s">
        <v>487</v>
      </c>
      <c r="B87" s="635" t="s">
        <v>489</v>
      </c>
      <c r="C87" s="636" t="s">
        <v>501</v>
      </c>
      <c r="D87" s="637" t="s">
        <v>502</v>
      </c>
      <c r="E87" s="636" t="s">
        <v>1454</v>
      </c>
      <c r="F87" s="637" t="s">
        <v>1455</v>
      </c>
      <c r="G87" s="636" t="s">
        <v>1624</v>
      </c>
      <c r="H87" s="636" t="s">
        <v>1625</v>
      </c>
      <c r="I87" s="638">
        <v>102.85</v>
      </c>
      <c r="J87" s="638">
        <v>30</v>
      </c>
      <c r="K87" s="639">
        <v>3085.5</v>
      </c>
    </row>
    <row r="88" spans="1:11" ht="14.4" customHeight="1" x14ac:dyDescent="0.3">
      <c r="A88" s="634" t="s">
        <v>487</v>
      </c>
      <c r="B88" s="635" t="s">
        <v>489</v>
      </c>
      <c r="C88" s="636" t="s">
        <v>501</v>
      </c>
      <c r="D88" s="637" t="s">
        <v>502</v>
      </c>
      <c r="E88" s="636" t="s">
        <v>1454</v>
      </c>
      <c r="F88" s="637" t="s">
        <v>1455</v>
      </c>
      <c r="G88" s="636" t="s">
        <v>1626</v>
      </c>
      <c r="H88" s="636" t="s">
        <v>1627</v>
      </c>
      <c r="I88" s="638">
        <v>108.9</v>
      </c>
      <c r="J88" s="638">
        <v>10</v>
      </c>
      <c r="K88" s="639">
        <v>1089</v>
      </c>
    </row>
    <row r="89" spans="1:11" ht="14.4" customHeight="1" x14ac:dyDescent="0.3">
      <c r="A89" s="634" t="s">
        <v>487</v>
      </c>
      <c r="B89" s="635" t="s">
        <v>489</v>
      </c>
      <c r="C89" s="636" t="s">
        <v>501</v>
      </c>
      <c r="D89" s="637" t="s">
        <v>502</v>
      </c>
      <c r="E89" s="636" t="s">
        <v>1454</v>
      </c>
      <c r="F89" s="637" t="s">
        <v>1455</v>
      </c>
      <c r="G89" s="636" t="s">
        <v>1628</v>
      </c>
      <c r="H89" s="636" t="s">
        <v>1629</v>
      </c>
      <c r="I89" s="638">
        <v>22.19</v>
      </c>
      <c r="J89" s="638">
        <v>50</v>
      </c>
      <c r="K89" s="639">
        <v>1109.5</v>
      </c>
    </row>
    <row r="90" spans="1:11" ht="14.4" customHeight="1" x14ac:dyDescent="0.3">
      <c r="A90" s="634" t="s">
        <v>487</v>
      </c>
      <c r="B90" s="635" t="s">
        <v>489</v>
      </c>
      <c r="C90" s="636" t="s">
        <v>501</v>
      </c>
      <c r="D90" s="637" t="s">
        <v>502</v>
      </c>
      <c r="E90" s="636" t="s">
        <v>1454</v>
      </c>
      <c r="F90" s="637" t="s">
        <v>1455</v>
      </c>
      <c r="G90" s="636" t="s">
        <v>1630</v>
      </c>
      <c r="H90" s="636" t="s">
        <v>1631</v>
      </c>
      <c r="I90" s="638">
        <v>8.9600000000000009</v>
      </c>
      <c r="J90" s="638">
        <v>10</v>
      </c>
      <c r="K90" s="639">
        <v>89.6</v>
      </c>
    </row>
    <row r="91" spans="1:11" ht="14.4" customHeight="1" x14ac:dyDescent="0.3">
      <c r="A91" s="634" t="s">
        <v>487</v>
      </c>
      <c r="B91" s="635" t="s">
        <v>489</v>
      </c>
      <c r="C91" s="636" t="s">
        <v>501</v>
      </c>
      <c r="D91" s="637" t="s">
        <v>502</v>
      </c>
      <c r="E91" s="636" t="s">
        <v>1454</v>
      </c>
      <c r="F91" s="637" t="s">
        <v>1455</v>
      </c>
      <c r="G91" s="636" t="s">
        <v>1632</v>
      </c>
      <c r="H91" s="636" t="s">
        <v>1633</v>
      </c>
      <c r="I91" s="638">
        <v>1.8</v>
      </c>
      <c r="J91" s="638">
        <v>10</v>
      </c>
      <c r="K91" s="639">
        <v>18</v>
      </c>
    </row>
    <row r="92" spans="1:11" ht="14.4" customHeight="1" x14ac:dyDescent="0.3">
      <c r="A92" s="634" t="s">
        <v>487</v>
      </c>
      <c r="B92" s="635" t="s">
        <v>489</v>
      </c>
      <c r="C92" s="636" t="s">
        <v>501</v>
      </c>
      <c r="D92" s="637" t="s">
        <v>502</v>
      </c>
      <c r="E92" s="636" t="s">
        <v>1454</v>
      </c>
      <c r="F92" s="637" t="s">
        <v>1455</v>
      </c>
      <c r="G92" s="636" t="s">
        <v>1634</v>
      </c>
      <c r="H92" s="636" t="s">
        <v>1635</v>
      </c>
      <c r="I92" s="638">
        <v>23.473333333333333</v>
      </c>
      <c r="J92" s="638">
        <v>120</v>
      </c>
      <c r="K92" s="639">
        <v>2817</v>
      </c>
    </row>
    <row r="93" spans="1:11" ht="14.4" customHeight="1" x14ac:dyDescent="0.3">
      <c r="A93" s="634" t="s">
        <v>487</v>
      </c>
      <c r="B93" s="635" t="s">
        <v>489</v>
      </c>
      <c r="C93" s="636" t="s">
        <v>501</v>
      </c>
      <c r="D93" s="637" t="s">
        <v>502</v>
      </c>
      <c r="E93" s="636" t="s">
        <v>1454</v>
      </c>
      <c r="F93" s="637" t="s">
        <v>1455</v>
      </c>
      <c r="G93" s="636" t="s">
        <v>1636</v>
      </c>
      <c r="H93" s="636" t="s">
        <v>1637</v>
      </c>
      <c r="I93" s="638">
        <v>1.8</v>
      </c>
      <c r="J93" s="638">
        <v>50</v>
      </c>
      <c r="K93" s="639">
        <v>90</v>
      </c>
    </row>
    <row r="94" spans="1:11" ht="14.4" customHeight="1" x14ac:dyDescent="0.3">
      <c r="A94" s="634" t="s">
        <v>487</v>
      </c>
      <c r="B94" s="635" t="s">
        <v>489</v>
      </c>
      <c r="C94" s="636" t="s">
        <v>501</v>
      </c>
      <c r="D94" s="637" t="s">
        <v>502</v>
      </c>
      <c r="E94" s="636" t="s">
        <v>1454</v>
      </c>
      <c r="F94" s="637" t="s">
        <v>1455</v>
      </c>
      <c r="G94" s="636" t="s">
        <v>1638</v>
      </c>
      <c r="H94" s="636" t="s">
        <v>1639</v>
      </c>
      <c r="I94" s="638">
        <v>1.7733333333333334</v>
      </c>
      <c r="J94" s="638">
        <v>900</v>
      </c>
      <c r="K94" s="639">
        <v>1596</v>
      </c>
    </row>
    <row r="95" spans="1:11" ht="14.4" customHeight="1" x14ac:dyDescent="0.3">
      <c r="A95" s="634" t="s">
        <v>487</v>
      </c>
      <c r="B95" s="635" t="s">
        <v>489</v>
      </c>
      <c r="C95" s="636" t="s">
        <v>501</v>
      </c>
      <c r="D95" s="637" t="s">
        <v>502</v>
      </c>
      <c r="E95" s="636" t="s">
        <v>1454</v>
      </c>
      <c r="F95" s="637" t="s">
        <v>1455</v>
      </c>
      <c r="G95" s="636" t="s">
        <v>1640</v>
      </c>
      <c r="H95" s="636" t="s">
        <v>1641</v>
      </c>
      <c r="I95" s="638">
        <v>1.76</v>
      </c>
      <c r="J95" s="638">
        <v>100</v>
      </c>
      <c r="K95" s="639">
        <v>176</v>
      </c>
    </row>
    <row r="96" spans="1:11" ht="14.4" customHeight="1" x14ac:dyDescent="0.3">
      <c r="A96" s="634" t="s">
        <v>487</v>
      </c>
      <c r="B96" s="635" t="s">
        <v>489</v>
      </c>
      <c r="C96" s="636" t="s">
        <v>501</v>
      </c>
      <c r="D96" s="637" t="s">
        <v>502</v>
      </c>
      <c r="E96" s="636" t="s">
        <v>1454</v>
      </c>
      <c r="F96" s="637" t="s">
        <v>1455</v>
      </c>
      <c r="G96" s="636" t="s">
        <v>1642</v>
      </c>
      <c r="H96" s="636" t="s">
        <v>1643</v>
      </c>
      <c r="I96" s="638">
        <v>2.8049999999999997</v>
      </c>
      <c r="J96" s="638">
        <v>400</v>
      </c>
      <c r="K96" s="639">
        <v>1122</v>
      </c>
    </row>
    <row r="97" spans="1:11" ht="14.4" customHeight="1" x14ac:dyDescent="0.3">
      <c r="A97" s="634" t="s">
        <v>487</v>
      </c>
      <c r="B97" s="635" t="s">
        <v>489</v>
      </c>
      <c r="C97" s="636" t="s">
        <v>501</v>
      </c>
      <c r="D97" s="637" t="s">
        <v>502</v>
      </c>
      <c r="E97" s="636" t="s">
        <v>1454</v>
      </c>
      <c r="F97" s="637" t="s">
        <v>1455</v>
      </c>
      <c r="G97" s="636" t="s">
        <v>1644</v>
      </c>
      <c r="H97" s="636" t="s">
        <v>1645</v>
      </c>
      <c r="I97" s="638">
        <v>1.7650000000000001</v>
      </c>
      <c r="J97" s="638">
        <v>150</v>
      </c>
      <c r="K97" s="639">
        <v>264.5</v>
      </c>
    </row>
    <row r="98" spans="1:11" ht="14.4" customHeight="1" x14ac:dyDescent="0.3">
      <c r="A98" s="634" t="s">
        <v>487</v>
      </c>
      <c r="B98" s="635" t="s">
        <v>489</v>
      </c>
      <c r="C98" s="636" t="s">
        <v>501</v>
      </c>
      <c r="D98" s="637" t="s">
        <v>502</v>
      </c>
      <c r="E98" s="636" t="s">
        <v>1454</v>
      </c>
      <c r="F98" s="637" t="s">
        <v>1455</v>
      </c>
      <c r="G98" s="636" t="s">
        <v>1646</v>
      </c>
      <c r="H98" s="636" t="s">
        <v>1647</v>
      </c>
      <c r="I98" s="638">
        <v>2.4300000000000002</v>
      </c>
      <c r="J98" s="638">
        <v>50</v>
      </c>
      <c r="K98" s="639">
        <v>121.5</v>
      </c>
    </row>
    <row r="99" spans="1:11" ht="14.4" customHeight="1" x14ac:dyDescent="0.3">
      <c r="A99" s="634" t="s">
        <v>487</v>
      </c>
      <c r="B99" s="635" t="s">
        <v>489</v>
      </c>
      <c r="C99" s="636" t="s">
        <v>501</v>
      </c>
      <c r="D99" s="637" t="s">
        <v>502</v>
      </c>
      <c r="E99" s="636" t="s">
        <v>1454</v>
      </c>
      <c r="F99" s="637" t="s">
        <v>1455</v>
      </c>
      <c r="G99" s="636" t="s">
        <v>1648</v>
      </c>
      <c r="H99" s="636" t="s">
        <v>1649</v>
      </c>
      <c r="I99" s="638">
        <v>1.75</v>
      </c>
      <c r="J99" s="638">
        <v>200</v>
      </c>
      <c r="K99" s="639">
        <v>350</v>
      </c>
    </row>
    <row r="100" spans="1:11" ht="14.4" customHeight="1" x14ac:dyDescent="0.3">
      <c r="A100" s="634" t="s">
        <v>487</v>
      </c>
      <c r="B100" s="635" t="s">
        <v>489</v>
      </c>
      <c r="C100" s="636" t="s">
        <v>501</v>
      </c>
      <c r="D100" s="637" t="s">
        <v>502</v>
      </c>
      <c r="E100" s="636" t="s">
        <v>1454</v>
      </c>
      <c r="F100" s="637" t="s">
        <v>1455</v>
      </c>
      <c r="G100" s="636" t="s">
        <v>1650</v>
      </c>
      <c r="H100" s="636" t="s">
        <v>1651</v>
      </c>
      <c r="I100" s="638">
        <v>1.76</v>
      </c>
      <c r="J100" s="638">
        <v>200</v>
      </c>
      <c r="K100" s="639">
        <v>352</v>
      </c>
    </row>
    <row r="101" spans="1:11" ht="14.4" customHeight="1" x14ac:dyDescent="0.3">
      <c r="A101" s="634" t="s">
        <v>487</v>
      </c>
      <c r="B101" s="635" t="s">
        <v>489</v>
      </c>
      <c r="C101" s="636" t="s">
        <v>501</v>
      </c>
      <c r="D101" s="637" t="s">
        <v>502</v>
      </c>
      <c r="E101" s="636" t="s">
        <v>1454</v>
      </c>
      <c r="F101" s="637" t="s">
        <v>1455</v>
      </c>
      <c r="G101" s="636" t="s">
        <v>1652</v>
      </c>
      <c r="H101" s="636" t="s">
        <v>1653</v>
      </c>
      <c r="I101" s="638">
        <v>4.8099999999999996</v>
      </c>
      <c r="J101" s="638">
        <v>1300</v>
      </c>
      <c r="K101" s="639">
        <v>6253</v>
      </c>
    </row>
    <row r="102" spans="1:11" ht="14.4" customHeight="1" x14ac:dyDescent="0.3">
      <c r="A102" s="634" t="s">
        <v>487</v>
      </c>
      <c r="B102" s="635" t="s">
        <v>489</v>
      </c>
      <c r="C102" s="636" t="s">
        <v>501</v>
      </c>
      <c r="D102" s="637" t="s">
        <v>502</v>
      </c>
      <c r="E102" s="636" t="s">
        <v>1454</v>
      </c>
      <c r="F102" s="637" t="s">
        <v>1455</v>
      </c>
      <c r="G102" s="636" t="s">
        <v>1654</v>
      </c>
      <c r="H102" s="636" t="s">
        <v>1655</v>
      </c>
      <c r="I102" s="638">
        <v>1.99</v>
      </c>
      <c r="J102" s="638">
        <v>50</v>
      </c>
      <c r="K102" s="639">
        <v>99.5</v>
      </c>
    </row>
    <row r="103" spans="1:11" ht="14.4" customHeight="1" x14ac:dyDescent="0.3">
      <c r="A103" s="634" t="s">
        <v>487</v>
      </c>
      <c r="B103" s="635" t="s">
        <v>489</v>
      </c>
      <c r="C103" s="636" t="s">
        <v>501</v>
      </c>
      <c r="D103" s="637" t="s">
        <v>502</v>
      </c>
      <c r="E103" s="636" t="s">
        <v>1454</v>
      </c>
      <c r="F103" s="637" t="s">
        <v>1455</v>
      </c>
      <c r="G103" s="636" t="s">
        <v>1656</v>
      </c>
      <c r="H103" s="636" t="s">
        <v>1657</v>
      </c>
      <c r="I103" s="638">
        <v>2.8</v>
      </c>
      <c r="J103" s="638">
        <v>400</v>
      </c>
      <c r="K103" s="639">
        <v>1120</v>
      </c>
    </row>
    <row r="104" spans="1:11" ht="14.4" customHeight="1" x14ac:dyDescent="0.3">
      <c r="A104" s="634" t="s">
        <v>487</v>
      </c>
      <c r="B104" s="635" t="s">
        <v>489</v>
      </c>
      <c r="C104" s="636" t="s">
        <v>501</v>
      </c>
      <c r="D104" s="637" t="s">
        <v>502</v>
      </c>
      <c r="E104" s="636" t="s">
        <v>1454</v>
      </c>
      <c r="F104" s="637" t="s">
        <v>1455</v>
      </c>
      <c r="G104" s="636" t="s">
        <v>1658</v>
      </c>
      <c r="H104" s="636" t="s">
        <v>1659</v>
      </c>
      <c r="I104" s="638">
        <v>2</v>
      </c>
      <c r="J104" s="638">
        <v>200</v>
      </c>
      <c r="K104" s="639">
        <v>400</v>
      </c>
    </row>
    <row r="105" spans="1:11" ht="14.4" customHeight="1" x14ac:dyDescent="0.3">
      <c r="A105" s="634" t="s">
        <v>487</v>
      </c>
      <c r="B105" s="635" t="s">
        <v>489</v>
      </c>
      <c r="C105" s="636" t="s">
        <v>501</v>
      </c>
      <c r="D105" s="637" t="s">
        <v>502</v>
      </c>
      <c r="E105" s="636" t="s">
        <v>1454</v>
      </c>
      <c r="F105" s="637" t="s">
        <v>1455</v>
      </c>
      <c r="G105" s="636" t="s">
        <v>1660</v>
      </c>
      <c r="H105" s="636" t="s">
        <v>1661</v>
      </c>
      <c r="I105" s="638">
        <v>4.24</v>
      </c>
      <c r="J105" s="638">
        <v>50</v>
      </c>
      <c r="K105" s="639">
        <v>212</v>
      </c>
    </row>
    <row r="106" spans="1:11" ht="14.4" customHeight="1" x14ac:dyDescent="0.3">
      <c r="A106" s="634" t="s">
        <v>487</v>
      </c>
      <c r="B106" s="635" t="s">
        <v>489</v>
      </c>
      <c r="C106" s="636" t="s">
        <v>501</v>
      </c>
      <c r="D106" s="637" t="s">
        <v>502</v>
      </c>
      <c r="E106" s="636" t="s">
        <v>1454</v>
      </c>
      <c r="F106" s="637" t="s">
        <v>1455</v>
      </c>
      <c r="G106" s="636" t="s">
        <v>1662</v>
      </c>
      <c r="H106" s="636" t="s">
        <v>1663</v>
      </c>
      <c r="I106" s="638">
        <v>90.99</v>
      </c>
      <c r="J106" s="638">
        <v>200</v>
      </c>
      <c r="K106" s="639">
        <v>18198</v>
      </c>
    </row>
    <row r="107" spans="1:11" ht="14.4" customHeight="1" x14ac:dyDescent="0.3">
      <c r="A107" s="634" t="s">
        <v>487</v>
      </c>
      <c r="B107" s="635" t="s">
        <v>489</v>
      </c>
      <c r="C107" s="636" t="s">
        <v>501</v>
      </c>
      <c r="D107" s="637" t="s">
        <v>502</v>
      </c>
      <c r="E107" s="636" t="s">
        <v>1454</v>
      </c>
      <c r="F107" s="637" t="s">
        <v>1455</v>
      </c>
      <c r="G107" s="636" t="s">
        <v>1664</v>
      </c>
      <c r="H107" s="636" t="s">
        <v>1665</v>
      </c>
      <c r="I107" s="638">
        <v>2.1733333333333333</v>
      </c>
      <c r="J107" s="638">
        <v>500</v>
      </c>
      <c r="K107" s="639">
        <v>1087</v>
      </c>
    </row>
    <row r="108" spans="1:11" ht="14.4" customHeight="1" x14ac:dyDescent="0.3">
      <c r="A108" s="634" t="s">
        <v>487</v>
      </c>
      <c r="B108" s="635" t="s">
        <v>489</v>
      </c>
      <c r="C108" s="636" t="s">
        <v>501</v>
      </c>
      <c r="D108" s="637" t="s">
        <v>502</v>
      </c>
      <c r="E108" s="636" t="s">
        <v>1454</v>
      </c>
      <c r="F108" s="637" t="s">
        <v>1455</v>
      </c>
      <c r="G108" s="636" t="s">
        <v>1666</v>
      </c>
      <c r="H108" s="636" t="s">
        <v>1667</v>
      </c>
      <c r="I108" s="638">
        <v>58.92</v>
      </c>
      <c r="J108" s="638">
        <v>50</v>
      </c>
      <c r="K108" s="639">
        <v>2945.75</v>
      </c>
    </row>
    <row r="109" spans="1:11" ht="14.4" customHeight="1" x14ac:dyDescent="0.3">
      <c r="A109" s="634" t="s">
        <v>487</v>
      </c>
      <c r="B109" s="635" t="s">
        <v>489</v>
      </c>
      <c r="C109" s="636" t="s">
        <v>501</v>
      </c>
      <c r="D109" s="637" t="s">
        <v>502</v>
      </c>
      <c r="E109" s="636" t="s">
        <v>1454</v>
      </c>
      <c r="F109" s="637" t="s">
        <v>1455</v>
      </c>
      <c r="G109" s="636" t="s">
        <v>1668</v>
      </c>
      <c r="H109" s="636" t="s">
        <v>1669</v>
      </c>
      <c r="I109" s="638">
        <v>34.729999999999997</v>
      </c>
      <c r="J109" s="638">
        <v>40</v>
      </c>
      <c r="K109" s="639">
        <v>1389.1</v>
      </c>
    </row>
    <row r="110" spans="1:11" ht="14.4" customHeight="1" x14ac:dyDescent="0.3">
      <c r="A110" s="634" t="s">
        <v>487</v>
      </c>
      <c r="B110" s="635" t="s">
        <v>489</v>
      </c>
      <c r="C110" s="636" t="s">
        <v>501</v>
      </c>
      <c r="D110" s="637" t="s">
        <v>502</v>
      </c>
      <c r="E110" s="636" t="s">
        <v>1454</v>
      </c>
      <c r="F110" s="637" t="s">
        <v>1455</v>
      </c>
      <c r="G110" s="636" t="s">
        <v>1670</v>
      </c>
      <c r="H110" s="636" t="s">
        <v>1671</v>
      </c>
      <c r="I110" s="638">
        <v>29.9</v>
      </c>
      <c r="J110" s="638">
        <v>200</v>
      </c>
      <c r="K110" s="639">
        <v>5980</v>
      </c>
    </row>
    <row r="111" spans="1:11" ht="14.4" customHeight="1" x14ac:dyDescent="0.3">
      <c r="A111" s="634" t="s">
        <v>487</v>
      </c>
      <c r="B111" s="635" t="s">
        <v>489</v>
      </c>
      <c r="C111" s="636" t="s">
        <v>501</v>
      </c>
      <c r="D111" s="637" t="s">
        <v>502</v>
      </c>
      <c r="E111" s="636" t="s">
        <v>1454</v>
      </c>
      <c r="F111" s="637" t="s">
        <v>1455</v>
      </c>
      <c r="G111" s="636" t="s">
        <v>1672</v>
      </c>
      <c r="H111" s="636" t="s">
        <v>1673</v>
      </c>
      <c r="I111" s="638">
        <v>220.22</v>
      </c>
      <c r="J111" s="638">
        <v>20</v>
      </c>
      <c r="K111" s="639">
        <v>4404.3999999999996</v>
      </c>
    </row>
    <row r="112" spans="1:11" ht="14.4" customHeight="1" x14ac:dyDescent="0.3">
      <c r="A112" s="634" t="s">
        <v>487</v>
      </c>
      <c r="B112" s="635" t="s">
        <v>489</v>
      </c>
      <c r="C112" s="636" t="s">
        <v>501</v>
      </c>
      <c r="D112" s="637" t="s">
        <v>502</v>
      </c>
      <c r="E112" s="636" t="s">
        <v>1454</v>
      </c>
      <c r="F112" s="637" t="s">
        <v>1455</v>
      </c>
      <c r="G112" s="636" t="s">
        <v>1674</v>
      </c>
      <c r="H112" s="636" t="s">
        <v>1675</v>
      </c>
      <c r="I112" s="638">
        <v>0.59666666666666668</v>
      </c>
      <c r="J112" s="638">
        <v>6000</v>
      </c>
      <c r="K112" s="639">
        <v>3580</v>
      </c>
    </row>
    <row r="113" spans="1:11" ht="14.4" customHeight="1" x14ac:dyDescent="0.3">
      <c r="A113" s="634" t="s">
        <v>487</v>
      </c>
      <c r="B113" s="635" t="s">
        <v>489</v>
      </c>
      <c r="C113" s="636" t="s">
        <v>501</v>
      </c>
      <c r="D113" s="637" t="s">
        <v>502</v>
      </c>
      <c r="E113" s="636" t="s">
        <v>1454</v>
      </c>
      <c r="F113" s="637" t="s">
        <v>1455</v>
      </c>
      <c r="G113" s="636" t="s">
        <v>1676</v>
      </c>
      <c r="H113" s="636" t="s">
        <v>1677</v>
      </c>
      <c r="I113" s="638">
        <v>1.58</v>
      </c>
      <c r="J113" s="638">
        <v>1000</v>
      </c>
      <c r="K113" s="639">
        <v>1580</v>
      </c>
    </row>
    <row r="114" spans="1:11" ht="14.4" customHeight="1" x14ac:dyDescent="0.3">
      <c r="A114" s="634" t="s">
        <v>487</v>
      </c>
      <c r="B114" s="635" t="s">
        <v>489</v>
      </c>
      <c r="C114" s="636" t="s">
        <v>501</v>
      </c>
      <c r="D114" s="637" t="s">
        <v>502</v>
      </c>
      <c r="E114" s="636" t="s">
        <v>1454</v>
      </c>
      <c r="F114" s="637" t="s">
        <v>1455</v>
      </c>
      <c r="G114" s="636" t="s">
        <v>1678</v>
      </c>
      <c r="H114" s="636" t="s">
        <v>1679</v>
      </c>
      <c r="I114" s="638">
        <v>31.07</v>
      </c>
      <c r="J114" s="638">
        <v>100</v>
      </c>
      <c r="K114" s="639">
        <v>3107.28</v>
      </c>
    </row>
    <row r="115" spans="1:11" ht="14.4" customHeight="1" x14ac:dyDescent="0.3">
      <c r="A115" s="634" t="s">
        <v>487</v>
      </c>
      <c r="B115" s="635" t="s">
        <v>489</v>
      </c>
      <c r="C115" s="636" t="s">
        <v>501</v>
      </c>
      <c r="D115" s="637" t="s">
        <v>502</v>
      </c>
      <c r="E115" s="636" t="s">
        <v>1454</v>
      </c>
      <c r="F115" s="637" t="s">
        <v>1455</v>
      </c>
      <c r="G115" s="636" t="s">
        <v>1680</v>
      </c>
      <c r="H115" s="636" t="s">
        <v>1681</v>
      </c>
      <c r="I115" s="638">
        <v>2.91</v>
      </c>
      <c r="J115" s="638">
        <v>50</v>
      </c>
      <c r="K115" s="639">
        <v>145.5</v>
      </c>
    </row>
    <row r="116" spans="1:11" ht="14.4" customHeight="1" x14ac:dyDescent="0.3">
      <c r="A116" s="634" t="s">
        <v>487</v>
      </c>
      <c r="B116" s="635" t="s">
        <v>489</v>
      </c>
      <c r="C116" s="636" t="s">
        <v>501</v>
      </c>
      <c r="D116" s="637" t="s">
        <v>502</v>
      </c>
      <c r="E116" s="636" t="s">
        <v>1454</v>
      </c>
      <c r="F116" s="637" t="s">
        <v>1455</v>
      </c>
      <c r="G116" s="636" t="s">
        <v>1490</v>
      </c>
      <c r="H116" s="636" t="s">
        <v>1491</v>
      </c>
      <c r="I116" s="638">
        <v>7.95</v>
      </c>
      <c r="J116" s="638">
        <v>400</v>
      </c>
      <c r="K116" s="639">
        <v>3180</v>
      </c>
    </row>
    <row r="117" spans="1:11" ht="14.4" customHeight="1" x14ac:dyDescent="0.3">
      <c r="A117" s="634" t="s">
        <v>487</v>
      </c>
      <c r="B117" s="635" t="s">
        <v>489</v>
      </c>
      <c r="C117" s="636" t="s">
        <v>501</v>
      </c>
      <c r="D117" s="637" t="s">
        <v>502</v>
      </c>
      <c r="E117" s="636" t="s">
        <v>1454</v>
      </c>
      <c r="F117" s="637" t="s">
        <v>1455</v>
      </c>
      <c r="G117" s="636" t="s">
        <v>1682</v>
      </c>
      <c r="H117" s="636" t="s">
        <v>1683</v>
      </c>
      <c r="I117" s="638">
        <v>84.91</v>
      </c>
      <c r="J117" s="638">
        <v>20</v>
      </c>
      <c r="K117" s="639">
        <v>1698.11</v>
      </c>
    </row>
    <row r="118" spans="1:11" ht="14.4" customHeight="1" x14ac:dyDescent="0.3">
      <c r="A118" s="634" t="s">
        <v>487</v>
      </c>
      <c r="B118" s="635" t="s">
        <v>489</v>
      </c>
      <c r="C118" s="636" t="s">
        <v>501</v>
      </c>
      <c r="D118" s="637" t="s">
        <v>502</v>
      </c>
      <c r="E118" s="636" t="s">
        <v>1454</v>
      </c>
      <c r="F118" s="637" t="s">
        <v>1455</v>
      </c>
      <c r="G118" s="636" t="s">
        <v>1684</v>
      </c>
      <c r="H118" s="636" t="s">
        <v>1685</v>
      </c>
      <c r="I118" s="638">
        <v>17.98</v>
      </c>
      <c r="J118" s="638">
        <v>100</v>
      </c>
      <c r="K118" s="639">
        <v>1798</v>
      </c>
    </row>
    <row r="119" spans="1:11" ht="14.4" customHeight="1" x14ac:dyDescent="0.3">
      <c r="A119" s="634" t="s">
        <v>487</v>
      </c>
      <c r="B119" s="635" t="s">
        <v>489</v>
      </c>
      <c r="C119" s="636" t="s">
        <v>501</v>
      </c>
      <c r="D119" s="637" t="s">
        <v>502</v>
      </c>
      <c r="E119" s="636" t="s">
        <v>1454</v>
      </c>
      <c r="F119" s="637" t="s">
        <v>1455</v>
      </c>
      <c r="G119" s="636" t="s">
        <v>1686</v>
      </c>
      <c r="H119" s="636" t="s">
        <v>1687</v>
      </c>
      <c r="I119" s="638">
        <v>17.98</v>
      </c>
      <c r="J119" s="638">
        <v>100</v>
      </c>
      <c r="K119" s="639">
        <v>1798</v>
      </c>
    </row>
    <row r="120" spans="1:11" ht="14.4" customHeight="1" x14ac:dyDescent="0.3">
      <c r="A120" s="634" t="s">
        <v>487</v>
      </c>
      <c r="B120" s="635" t="s">
        <v>489</v>
      </c>
      <c r="C120" s="636" t="s">
        <v>501</v>
      </c>
      <c r="D120" s="637" t="s">
        <v>502</v>
      </c>
      <c r="E120" s="636" t="s">
        <v>1454</v>
      </c>
      <c r="F120" s="637" t="s">
        <v>1455</v>
      </c>
      <c r="G120" s="636" t="s">
        <v>1688</v>
      </c>
      <c r="H120" s="636" t="s">
        <v>1689</v>
      </c>
      <c r="I120" s="638">
        <v>15.01</v>
      </c>
      <c r="J120" s="638">
        <v>100</v>
      </c>
      <c r="K120" s="639">
        <v>1501</v>
      </c>
    </row>
    <row r="121" spans="1:11" ht="14.4" customHeight="1" x14ac:dyDescent="0.3">
      <c r="A121" s="634" t="s">
        <v>487</v>
      </c>
      <c r="B121" s="635" t="s">
        <v>489</v>
      </c>
      <c r="C121" s="636" t="s">
        <v>501</v>
      </c>
      <c r="D121" s="637" t="s">
        <v>502</v>
      </c>
      <c r="E121" s="636" t="s">
        <v>1454</v>
      </c>
      <c r="F121" s="637" t="s">
        <v>1455</v>
      </c>
      <c r="G121" s="636" t="s">
        <v>1690</v>
      </c>
      <c r="H121" s="636" t="s">
        <v>1691</v>
      </c>
      <c r="I121" s="638">
        <v>17.98</v>
      </c>
      <c r="J121" s="638">
        <v>50</v>
      </c>
      <c r="K121" s="639">
        <v>899.03</v>
      </c>
    </row>
    <row r="122" spans="1:11" ht="14.4" customHeight="1" x14ac:dyDescent="0.3">
      <c r="A122" s="634" t="s">
        <v>487</v>
      </c>
      <c r="B122" s="635" t="s">
        <v>489</v>
      </c>
      <c r="C122" s="636" t="s">
        <v>501</v>
      </c>
      <c r="D122" s="637" t="s">
        <v>502</v>
      </c>
      <c r="E122" s="636" t="s">
        <v>1454</v>
      </c>
      <c r="F122" s="637" t="s">
        <v>1455</v>
      </c>
      <c r="G122" s="636" t="s">
        <v>1692</v>
      </c>
      <c r="H122" s="636" t="s">
        <v>1693</v>
      </c>
      <c r="I122" s="638">
        <v>8.9550000000000001</v>
      </c>
      <c r="J122" s="638">
        <v>800</v>
      </c>
      <c r="K122" s="639">
        <v>7164</v>
      </c>
    </row>
    <row r="123" spans="1:11" ht="14.4" customHeight="1" x14ac:dyDescent="0.3">
      <c r="A123" s="634" t="s">
        <v>487</v>
      </c>
      <c r="B123" s="635" t="s">
        <v>489</v>
      </c>
      <c r="C123" s="636" t="s">
        <v>501</v>
      </c>
      <c r="D123" s="637" t="s">
        <v>502</v>
      </c>
      <c r="E123" s="636" t="s">
        <v>1454</v>
      </c>
      <c r="F123" s="637" t="s">
        <v>1455</v>
      </c>
      <c r="G123" s="636" t="s">
        <v>1694</v>
      </c>
      <c r="H123" s="636" t="s">
        <v>1695</v>
      </c>
      <c r="I123" s="638">
        <v>2.84</v>
      </c>
      <c r="J123" s="638">
        <v>100</v>
      </c>
      <c r="K123" s="639">
        <v>284</v>
      </c>
    </row>
    <row r="124" spans="1:11" ht="14.4" customHeight="1" x14ac:dyDescent="0.3">
      <c r="A124" s="634" t="s">
        <v>487</v>
      </c>
      <c r="B124" s="635" t="s">
        <v>489</v>
      </c>
      <c r="C124" s="636" t="s">
        <v>501</v>
      </c>
      <c r="D124" s="637" t="s">
        <v>502</v>
      </c>
      <c r="E124" s="636" t="s">
        <v>1454</v>
      </c>
      <c r="F124" s="637" t="s">
        <v>1455</v>
      </c>
      <c r="G124" s="636" t="s">
        <v>1696</v>
      </c>
      <c r="H124" s="636" t="s">
        <v>1697</v>
      </c>
      <c r="I124" s="638">
        <v>44.53</v>
      </c>
      <c r="J124" s="638">
        <v>30</v>
      </c>
      <c r="K124" s="639">
        <v>1336</v>
      </c>
    </row>
    <row r="125" spans="1:11" ht="14.4" customHeight="1" x14ac:dyDescent="0.3">
      <c r="A125" s="634" t="s">
        <v>487</v>
      </c>
      <c r="B125" s="635" t="s">
        <v>489</v>
      </c>
      <c r="C125" s="636" t="s">
        <v>501</v>
      </c>
      <c r="D125" s="637" t="s">
        <v>502</v>
      </c>
      <c r="E125" s="636" t="s">
        <v>1454</v>
      </c>
      <c r="F125" s="637" t="s">
        <v>1455</v>
      </c>
      <c r="G125" s="636" t="s">
        <v>1492</v>
      </c>
      <c r="H125" s="636" t="s">
        <v>1493</v>
      </c>
      <c r="I125" s="638">
        <v>1.94</v>
      </c>
      <c r="J125" s="638">
        <v>200</v>
      </c>
      <c r="K125" s="639">
        <v>388</v>
      </c>
    </row>
    <row r="126" spans="1:11" ht="14.4" customHeight="1" x14ac:dyDescent="0.3">
      <c r="A126" s="634" t="s">
        <v>487</v>
      </c>
      <c r="B126" s="635" t="s">
        <v>489</v>
      </c>
      <c r="C126" s="636" t="s">
        <v>501</v>
      </c>
      <c r="D126" s="637" t="s">
        <v>502</v>
      </c>
      <c r="E126" s="636" t="s">
        <v>1454</v>
      </c>
      <c r="F126" s="637" t="s">
        <v>1455</v>
      </c>
      <c r="G126" s="636" t="s">
        <v>1698</v>
      </c>
      <c r="H126" s="636" t="s">
        <v>1699</v>
      </c>
      <c r="I126" s="638">
        <v>5.206666666666667</v>
      </c>
      <c r="J126" s="638">
        <v>2040</v>
      </c>
      <c r="K126" s="639">
        <v>10618.2</v>
      </c>
    </row>
    <row r="127" spans="1:11" ht="14.4" customHeight="1" x14ac:dyDescent="0.3">
      <c r="A127" s="634" t="s">
        <v>487</v>
      </c>
      <c r="B127" s="635" t="s">
        <v>489</v>
      </c>
      <c r="C127" s="636" t="s">
        <v>501</v>
      </c>
      <c r="D127" s="637" t="s">
        <v>502</v>
      </c>
      <c r="E127" s="636" t="s">
        <v>1454</v>
      </c>
      <c r="F127" s="637" t="s">
        <v>1455</v>
      </c>
      <c r="G127" s="636" t="s">
        <v>1700</v>
      </c>
      <c r="H127" s="636" t="s">
        <v>1701</v>
      </c>
      <c r="I127" s="638">
        <v>13.2</v>
      </c>
      <c r="J127" s="638">
        <v>10</v>
      </c>
      <c r="K127" s="639">
        <v>132</v>
      </c>
    </row>
    <row r="128" spans="1:11" ht="14.4" customHeight="1" x14ac:dyDescent="0.3">
      <c r="A128" s="634" t="s">
        <v>487</v>
      </c>
      <c r="B128" s="635" t="s">
        <v>489</v>
      </c>
      <c r="C128" s="636" t="s">
        <v>501</v>
      </c>
      <c r="D128" s="637" t="s">
        <v>502</v>
      </c>
      <c r="E128" s="636" t="s">
        <v>1454</v>
      </c>
      <c r="F128" s="637" t="s">
        <v>1455</v>
      </c>
      <c r="G128" s="636" t="s">
        <v>1702</v>
      </c>
      <c r="H128" s="636" t="s">
        <v>1703</v>
      </c>
      <c r="I128" s="638">
        <v>1.55</v>
      </c>
      <c r="J128" s="638">
        <v>600</v>
      </c>
      <c r="K128" s="639">
        <v>930</v>
      </c>
    </row>
    <row r="129" spans="1:11" ht="14.4" customHeight="1" x14ac:dyDescent="0.3">
      <c r="A129" s="634" t="s">
        <v>487</v>
      </c>
      <c r="B129" s="635" t="s">
        <v>489</v>
      </c>
      <c r="C129" s="636" t="s">
        <v>501</v>
      </c>
      <c r="D129" s="637" t="s">
        <v>502</v>
      </c>
      <c r="E129" s="636" t="s">
        <v>1454</v>
      </c>
      <c r="F129" s="637" t="s">
        <v>1455</v>
      </c>
      <c r="G129" s="636" t="s">
        <v>1704</v>
      </c>
      <c r="H129" s="636" t="s">
        <v>1705</v>
      </c>
      <c r="I129" s="638">
        <v>21.24</v>
      </c>
      <c r="J129" s="638">
        <v>30</v>
      </c>
      <c r="K129" s="639">
        <v>637.20000000000005</v>
      </c>
    </row>
    <row r="130" spans="1:11" ht="14.4" customHeight="1" x14ac:dyDescent="0.3">
      <c r="A130" s="634" t="s">
        <v>487</v>
      </c>
      <c r="B130" s="635" t="s">
        <v>489</v>
      </c>
      <c r="C130" s="636" t="s">
        <v>501</v>
      </c>
      <c r="D130" s="637" t="s">
        <v>502</v>
      </c>
      <c r="E130" s="636" t="s">
        <v>1454</v>
      </c>
      <c r="F130" s="637" t="s">
        <v>1455</v>
      </c>
      <c r="G130" s="636" t="s">
        <v>1706</v>
      </c>
      <c r="H130" s="636" t="s">
        <v>1707</v>
      </c>
      <c r="I130" s="638">
        <v>21.23</v>
      </c>
      <c r="J130" s="638">
        <v>20</v>
      </c>
      <c r="K130" s="639">
        <v>424.6</v>
      </c>
    </row>
    <row r="131" spans="1:11" ht="14.4" customHeight="1" x14ac:dyDescent="0.3">
      <c r="A131" s="634" t="s">
        <v>487</v>
      </c>
      <c r="B131" s="635" t="s">
        <v>489</v>
      </c>
      <c r="C131" s="636" t="s">
        <v>501</v>
      </c>
      <c r="D131" s="637" t="s">
        <v>502</v>
      </c>
      <c r="E131" s="636" t="s">
        <v>1454</v>
      </c>
      <c r="F131" s="637" t="s">
        <v>1455</v>
      </c>
      <c r="G131" s="636" t="s">
        <v>1708</v>
      </c>
      <c r="H131" s="636" t="s">
        <v>1709</v>
      </c>
      <c r="I131" s="638">
        <v>9.6449999999999996</v>
      </c>
      <c r="J131" s="638">
        <v>100</v>
      </c>
      <c r="K131" s="639">
        <v>964.5</v>
      </c>
    </row>
    <row r="132" spans="1:11" ht="14.4" customHeight="1" x14ac:dyDescent="0.3">
      <c r="A132" s="634" t="s">
        <v>487</v>
      </c>
      <c r="B132" s="635" t="s">
        <v>489</v>
      </c>
      <c r="C132" s="636" t="s">
        <v>501</v>
      </c>
      <c r="D132" s="637" t="s">
        <v>502</v>
      </c>
      <c r="E132" s="636" t="s">
        <v>1454</v>
      </c>
      <c r="F132" s="637" t="s">
        <v>1455</v>
      </c>
      <c r="G132" s="636" t="s">
        <v>1710</v>
      </c>
      <c r="H132" s="636" t="s">
        <v>1711</v>
      </c>
      <c r="I132" s="638">
        <v>13.19</v>
      </c>
      <c r="J132" s="638">
        <v>10</v>
      </c>
      <c r="K132" s="639">
        <v>131.9</v>
      </c>
    </row>
    <row r="133" spans="1:11" ht="14.4" customHeight="1" x14ac:dyDescent="0.3">
      <c r="A133" s="634" t="s">
        <v>487</v>
      </c>
      <c r="B133" s="635" t="s">
        <v>489</v>
      </c>
      <c r="C133" s="636" t="s">
        <v>501</v>
      </c>
      <c r="D133" s="637" t="s">
        <v>502</v>
      </c>
      <c r="E133" s="636" t="s">
        <v>1454</v>
      </c>
      <c r="F133" s="637" t="s">
        <v>1455</v>
      </c>
      <c r="G133" s="636" t="s">
        <v>1712</v>
      </c>
      <c r="H133" s="636" t="s">
        <v>1713</v>
      </c>
      <c r="I133" s="638">
        <v>6.65</v>
      </c>
      <c r="J133" s="638">
        <v>20</v>
      </c>
      <c r="K133" s="639">
        <v>133</v>
      </c>
    </row>
    <row r="134" spans="1:11" ht="14.4" customHeight="1" x14ac:dyDescent="0.3">
      <c r="A134" s="634" t="s">
        <v>487</v>
      </c>
      <c r="B134" s="635" t="s">
        <v>489</v>
      </c>
      <c r="C134" s="636" t="s">
        <v>501</v>
      </c>
      <c r="D134" s="637" t="s">
        <v>502</v>
      </c>
      <c r="E134" s="636" t="s">
        <v>1454</v>
      </c>
      <c r="F134" s="637" t="s">
        <v>1455</v>
      </c>
      <c r="G134" s="636" t="s">
        <v>1714</v>
      </c>
      <c r="H134" s="636" t="s">
        <v>1715</v>
      </c>
      <c r="I134" s="638">
        <v>6.6550000000000002</v>
      </c>
      <c r="J134" s="638">
        <v>20</v>
      </c>
      <c r="K134" s="639">
        <v>133.1</v>
      </c>
    </row>
    <row r="135" spans="1:11" ht="14.4" customHeight="1" x14ac:dyDescent="0.3">
      <c r="A135" s="634" t="s">
        <v>487</v>
      </c>
      <c r="B135" s="635" t="s">
        <v>489</v>
      </c>
      <c r="C135" s="636" t="s">
        <v>501</v>
      </c>
      <c r="D135" s="637" t="s">
        <v>502</v>
      </c>
      <c r="E135" s="636" t="s">
        <v>1454</v>
      </c>
      <c r="F135" s="637" t="s">
        <v>1455</v>
      </c>
      <c r="G135" s="636" t="s">
        <v>1716</v>
      </c>
      <c r="H135" s="636" t="s">
        <v>1717</v>
      </c>
      <c r="I135" s="638">
        <v>6.66</v>
      </c>
      <c r="J135" s="638">
        <v>20</v>
      </c>
      <c r="K135" s="639">
        <v>133.19999999999999</v>
      </c>
    </row>
    <row r="136" spans="1:11" ht="14.4" customHeight="1" x14ac:dyDescent="0.3">
      <c r="A136" s="634" t="s">
        <v>487</v>
      </c>
      <c r="B136" s="635" t="s">
        <v>489</v>
      </c>
      <c r="C136" s="636" t="s">
        <v>501</v>
      </c>
      <c r="D136" s="637" t="s">
        <v>502</v>
      </c>
      <c r="E136" s="636" t="s">
        <v>1454</v>
      </c>
      <c r="F136" s="637" t="s">
        <v>1455</v>
      </c>
      <c r="G136" s="636" t="s">
        <v>1718</v>
      </c>
      <c r="H136" s="636" t="s">
        <v>1719</v>
      </c>
      <c r="I136" s="638">
        <v>106.14</v>
      </c>
      <c r="J136" s="638">
        <v>50</v>
      </c>
      <c r="K136" s="639">
        <v>5307.06</v>
      </c>
    </row>
    <row r="137" spans="1:11" ht="14.4" customHeight="1" x14ac:dyDescent="0.3">
      <c r="A137" s="634" t="s">
        <v>487</v>
      </c>
      <c r="B137" s="635" t="s">
        <v>489</v>
      </c>
      <c r="C137" s="636" t="s">
        <v>501</v>
      </c>
      <c r="D137" s="637" t="s">
        <v>502</v>
      </c>
      <c r="E137" s="636" t="s">
        <v>1454</v>
      </c>
      <c r="F137" s="637" t="s">
        <v>1455</v>
      </c>
      <c r="G137" s="636" t="s">
        <v>1496</v>
      </c>
      <c r="H137" s="636" t="s">
        <v>1497</v>
      </c>
      <c r="I137" s="638">
        <v>0.47</v>
      </c>
      <c r="J137" s="638">
        <v>1000</v>
      </c>
      <c r="K137" s="639">
        <v>470</v>
      </c>
    </row>
    <row r="138" spans="1:11" ht="14.4" customHeight="1" x14ac:dyDescent="0.3">
      <c r="A138" s="634" t="s">
        <v>487</v>
      </c>
      <c r="B138" s="635" t="s">
        <v>489</v>
      </c>
      <c r="C138" s="636" t="s">
        <v>501</v>
      </c>
      <c r="D138" s="637" t="s">
        <v>502</v>
      </c>
      <c r="E138" s="636" t="s">
        <v>1454</v>
      </c>
      <c r="F138" s="637" t="s">
        <v>1455</v>
      </c>
      <c r="G138" s="636" t="s">
        <v>1720</v>
      </c>
      <c r="H138" s="636" t="s">
        <v>1721</v>
      </c>
      <c r="I138" s="638">
        <v>0.47</v>
      </c>
      <c r="J138" s="638">
        <v>1000</v>
      </c>
      <c r="K138" s="639">
        <v>470</v>
      </c>
    </row>
    <row r="139" spans="1:11" ht="14.4" customHeight="1" x14ac:dyDescent="0.3">
      <c r="A139" s="634" t="s">
        <v>487</v>
      </c>
      <c r="B139" s="635" t="s">
        <v>489</v>
      </c>
      <c r="C139" s="636" t="s">
        <v>501</v>
      </c>
      <c r="D139" s="637" t="s">
        <v>502</v>
      </c>
      <c r="E139" s="636" t="s">
        <v>1454</v>
      </c>
      <c r="F139" s="637" t="s">
        <v>1455</v>
      </c>
      <c r="G139" s="636" t="s">
        <v>1722</v>
      </c>
      <c r="H139" s="636" t="s">
        <v>1723</v>
      </c>
      <c r="I139" s="638">
        <v>2.6025</v>
      </c>
      <c r="J139" s="638">
        <v>700</v>
      </c>
      <c r="K139" s="639">
        <v>1820.5</v>
      </c>
    </row>
    <row r="140" spans="1:11" ht="14.4" customHeight="1" x14ac:dyDescent="0.3">
      <c r="A140" s="634" t="s">
        <v>487</v>
      </c>
      <c r="B140" s="635" t="s">
        <v>489</v>
      </c>
      <c r="C140" s="636" t="s">
        <v>501</v>
      </c>
      <c r="D140" s="637" t="s">
        <v>502</v>
      </c>
      <c r="E140" s="636" t="s">
        <v>1454</v>
      </c>
      <c r="F140" s="637" t="s">
        <v>1455</v>
      </c>
      <c r="G140" s="636" t="s">
        <v>1724</v>
      </c>
      <c r="H140" s="636" t="s">
        <v>1725</v>
      </c>
      <c r="I140" s="638">
        <v>2.6</v>
      </c>
      <c r="J140" s="638">
        <v>1200</v>
      </c>
      <c r="K140" s="639">
        <v>3120</v>
      </c>
    </row>
    <row r="141" spans="1:11" ht="14.4" customHeight="1" x14ac:dyDescent="0.3">
      <c r="A141" s="634" t="s">
        <v>487</v>
      </c>
      <c r="B141" s="635" t="s">
        <v>489</v>
      </c>
      <c r="C141" s="636" t="s">
        <v>501</v>
      </c>
      <c r="D141" s="637" t="s">
        <v>502</v>
      </c>
      <c r="E141" s="636" t="s">
        <v>1454</v>
      </c>
      <c r="F141" s="637" t="s">
        <v>1455</v>
      </c>
      <c r="G141" s="636" t="s">
        <v>1726</v>
      </c>
      <c r="H141" s="636" t="s">
        <v>1727</v>
      </c>
      <c r="I141" s="638">
        <v>2.6</v>
      </c>
      <c r="J141" s="638">
        <v>200</v>
      </c>
      <c r="K141" s="639">
        <v>520</v>
      </c>
    </row>
    <row r="142" spans="1:11" ht="14.4" customHeight="1" x14ac:dyDescent="0.3">
      <c r="A142" s="634" t="s">
        <v>487</v>
      </c>
      <c r="B142" s="635" t="s">
        <v>489</v>
      </c>
      <c r="C142" s="636" t="s">
        <v>501</v>
      </c>
      <c r="D142" s="637" t="s">
        <v>502</v>
      </c>
      <c r="E142" s="636" t="s">
        <v>1454</v>
      </c>
      <c r="F142" s="637" t="s">
        <v>1455</v>
      </c>
      <c r="G142" s="636" t="s">
        <v>1728</v>
      </c>
      <c r="H142" s="636" t="s">
        <v>1729</v>
      </c>
      <c r="I142" s="638">
        <v>2.6</v>
      </c>
      <c r="J142" s="638">
        <v>600</v>
      </c>
      <c r="K142" s="639">
        <v>1560</v>
      </c>
    </row>
    <row r="143" spans="1:11" ht="14.4" customHeight="1" x14ac:dyDescent="0.3">
      <c r="A143" s="634" t="s">
        <v>487</v>
      </c>
      <c r="B143" s="635" t="s">
        <v>489</v>
      </c>
      <c r="C143" s="636" t="s">
        <v>501</v>
      </c>
      <c r="D143" s="637" t="s">
        <v>502</v>
      </c>
      <c r="E143" s="636" t="s">
        <v>1454</v>
      </c>
      <c r="F143" s="637" t="s">
        <v>1455</v>
      </c>
      <c r="G143" s="636" t="s">
        <v>1730</v>
      </c>
      <c r="H143" s="636" t="s">
        <v>1731</v>
      </c>
      <c r="I143" s="638">
        <v>484.04</v>
      </c>
      <c r="J143" s="638">
        <v>10</v>
      </c>
      <c r="K143" s="639">
        <v>4840.3999999999996</v>
      </c>
    </row>
    <row r="144" spans="1:11" ht="14.4" customHeight="1" x14ac:dyDescent="0.3">
      <c r="A144" s="634" t="s">
        <v>487</v>
      </c>
      <c r="B144" s="635" t="s">
        <v>489</v>
      </c>
      <c r="C144" s="636" t="s">
        <v>501</v>
      </c>
      <c r="D144" s="637" t="s">
        <v>502</v>
      </c>
      <c r="E144" s="636" t="s">
        <v>1454</v>
      </c>
      <c r="F144" s="637" t="s">
        <v>1455</v>
      </c>
      <c r="G144" s="636" t="s">
        <v>1732</v>
      </c>
      <c r="H144" s="636" t="s">
        <v>1733</v>
      </c>
      <c r="I144" s="638">
        <v>168.19</v>
      </c>
      <c r="J144" s="638">
        <v>10</v>
      </c>
      <c r="K144" s="639">
        <v>1681.9</v>
      </c>
    </row>
    <row r="145" spans="1:11" ht="14.4" customHeight="1" x14ac:dyDescent="0.3">
      <c r="A145" s="634" t="s">
        <v>487</v>
      </c>
      <c r="B145" s="635" t="s">
        <v>489</v>
      </c>
      <c r="C145" s="636" t="s">
        <v>501</v>
      </c>
      <c r="D145" s="637" t="s">
        <v>502</v>
      </c>
      <c r="E145" s="636" t="s">
        <v>1454</v>
      </c>
      <c r="F145" s="637" t="s">
        <v>1455</v>
      </c>
      <c r="G145" s="636" t="s">
        <v>1734</v>
      </c>
      <c r="H145" s="636" t="s">
        <v>1735</v>
      </c>
      <c r="I145" s="638">
        <v>24.4</v>
      </c>
      <c r="J145" s="638">
        <v>100</v>
      </c>
      <c r="K145" s="639">
        <v>2440.4</v>
      </c>
    </row>
    <row r="146" spans="1:11" ht="14.4" customHeight="1" x14ac:dyDescent="0.3">
      <c r="A146" s="634" t="s">
        <v>487</v>
      </c>
      <c r="B146" s="635" t="s">
        <v>489</v>
      </c>
      <c r="C146" s="636" t="s">
        <v>501</v>
      </c>
      <c r="D146" s="637" t="s">
        <v>502</v>
      </c>
      <c r="E146" s="636" t="s">
        <v>1454</v>
      </c>
      <c r="F146" s="637" t="s">
        <v>1455</v>
      </c>
      <c r="G146" s="636" t="s">
        <v>1736</v>
      </c>
      <c r="H146" s="636" t="s">
        <v>1737</v>
      </c>
      <c r="I146" s="638">
        <v>484.04</v>
      </c>
      <c r="J146" s="638">
        <v>10</v>
      </c>
      <c r="K146" s="639">
        <v>4840.3500000000004</v>
      </c>
    </row>
    <row r="147" spans="1:11" ht="14.4" customHeight="1" x14ac:dyDescent="0.3">
      <c r="A147" s="634" t="s">
        <v>487</v>
      </c>
      <c r="B147" s="635" t="s">
        <v>489</v>
      </c>
      <c r="C147" s="636" t="s">
        <v>501</v>
      </c>
      <c r="D147" s="637" t="s">
        <v>502</v>
      </c>
      <c r="E147" s="636" t="s">
        <v>1454</v>
      </c>
      <c r="F147" s="637" t="s">
        <v>1455</v>
      </c>
      <c r="G147" s="636" t="s">
        <v>1738</v>
      </c>
      <c r="H147" s="636" t="s">
        <v>1739</v>
      </c>
      <c r="I147" s="638">
        <v>484.04</v>
      </c>
      <c r="J147" s="638">
        <v>5</v>
      </c>
      <c r="K147" s="639">
        <v>2420.1999999999998</v>
      </c>
    </row>
    <row r="148" spans="1:11" ht="14.4" customHeight="1" x14ac:dyDescent="0.3">
      <c r="A148" s="634" t="s">
        <v>487</v>
      </c>
      <c r="B148" s="635" t="s">
        <v>489</v>
      </c>
      <c r="C148" s="636" t="s">
        <v>501</v>
      </c>
      <c r="D148" s="637" t="s">
        <v>502</v>
      </c>
      <c r="E148" s="636" t="s">
        <v>1454</v>
      </c>
      <c r="F148" s="637" t="s">
        <v>1455</v>
      </c>
      <c r="G148" s="636" t="s">
        <v>1740</v>
      </c>
      <c r="H148" s="636" t="s">
        <v>1741</v>
      </c>
      <c r="I148" s="638">
        <v>242</v>
      </c>
      <c r="J148" s="638">
        <v>10</v>
      </c>
      <c r="K148" s="639">
        <v>2420</v>
      </c>
    </row>
    <row r="149" spans="1:11" ht="14.4" customHeight="1" x14ac:dyDescent="0.3">
      <c r="A149" s="634" t="s">
        <v>487</v>
      </c>
      <c r="B149" s="635" t="s">
        <v>489</v>
      </c>
      <c r="C149" s="636" t="s">
        <v>501</v>
      </c>
      <c r="D149" s="637" t="s">
        <v>502</v>
      </c>
      <c r="E149" s="636" t="s">
        <v>1454</v>
      </c>
      <c r="F149" s="637" t="s">
        <v>1455</v>
      </c>
      <c r="G149" s="636" t="s">
        <v>1742</v>
      </c>
      <c r="H149" s="636" t="s">
        <v>1743</v>
      </c>
      <c r="I149" s="638">
        <v>91.72</v>
      </c>
      <c r="J149" s="638">
        <v>6</v>
      </c>
      <c r="K149" s="639">
        <v>550.30999999999995</v>
      </c>
    </row>
    <row r="150" spans="1:11" ht="14.4" customHeight="1" x14ac:dyDescent="0.3">
      <c r="A150" s="634" t="s">
        <v>487</v>
      </c>
      <c r="B150" s="635" t="s">
        <v>489</v>
      </c>
      <c r="C150" s="636" t="s">
        <v>501</v>
      </c>
      <c r="D150" s="637" t="s">
        <v>502</v>
      </c>
      <c r="E150" s="636" t="s">
        <v>1454</v>
      </c>
      <c r="F150" s="637" t="s">
        <v>1455</v>
      </c>
      <c r="G150" s="636" t="s">
        <v>1744</v>
      </c>
      <c r="H150" s="636" t="s">
        <v>1745</v>
      </c>
      <c r="I150" s="638">
        <v>68.64</v>
      </c>
      <c r="J150" s="638">
        <v>20</v>
      </c>
      <c r="K150" s="639">
        <v>1372.76</v>
      </c>
    </row>
    <row r="151" spans="1:11" ht="14.4" customHeight="1" x14ac:dyDescent="0.3">
      <c r="A151" s="634" t="s">
        <v>487</v>
      </c>
      <c r="B151" s="635" t="s">
        <v>489</v>
      </c>
      <c r="C151" s="636" t="s">
        <v>501</v>
      </c>
      <c r="D151" s="637" t="s">
        <v>502</v>
      </c>
      <c r="E151" s="636" t="s">
        <v>1454</v>
      </c>
      <c r="F151" s="637" t="s">
        <v>1455</v>
      </c>
      <c r="G151" s="636" t="s">
        <v>1746</v>
      </c>
      <c r="H151" s="636" t="s">
        <v>1747</v>
      </c>
      <c r="I151" s="638">
        <v>172.56</v>
      </c>
      <c r="J151" s="638">
        <v>10</v>
      </c>
      <c r="K151" s="639">
        <v>1725.56</v>
      </c>
    </row>
    <row r="152" spans="1:11" ht="14.4" customHeight="1" x14ac:dyDescent="0.3">
      <c r="A152" s="634" t="s">
        <v>487</v>
      </c>
      <c r="B152" s="635" t="s">
        <v>489</v>
      </c>
      <c r="C152" s="636" t="s">
        <v>501</v>
      </c>
      <c r="D152" s="637" t="s">
        <v>502</v>
      </c>
      <c r="E152" s="636" t="s">
        <v>1454</v>
      </c>
      <c r="F152" s="637" t="s">
        <v>1455</v>
      </c>
      <c r="G152" s="636" t="s">
        <v>1748</v>
      </c>
      <c r="H152" s="636" t="s">
        <v>1749</v>
      </c>
      <c r="I152" s="638">
        <v>271.95999999999998</v>
      </c>
      <c r="J152" s="638">
        <v>5</v>
      </c>
      <c r="K152" s="639">
        <v>1359.8</v>
      </c>
    </row>
    <row r="153" spans="1:11" ht="14.4" customHeight="1" x14ac:dyDescent="0.3">
      <c r="A153" s="634" t="s">
        <v>487</v>
      </c>
      <c r="B153" s="635" t="s">
        <v>489</v>
      </c>
      <c r="C153" s="636" t="s">
        <v>501</v>
      </c>
      <c r="D153" s="637" t="s">
        <v>502</v>
      </c>
      <c r="E153" s="636" t="s">
        <v>1454</v>
      </c>
      <c r="F153" s="637" t="s">
        <v>1455</v>
      </c>
      <c r="G153" s="636" t="s">
        <v>1750</v>
      </c>
      <c r="H153" s="636" t="s">
        <v>1751</v>
      </c>
      <c r="I153" s="638">
        <v>15.76</v>
      </c>
      <c r="J153" s="638">
        <v>100</v>
      </c>
      <c r="K153" s="639">
        <v>1576.33</v>
      </c>
    </row>
    <row r="154" spans="1:11" ht="14.4" customHeight="1" x14ac:dyDescent="0.3">
      <c r="A154" s="634" t="s">
        <v>487</v>
      </c>
      <c r="B154" s="635" t="s">
        <v>489</v>
      </c>
      <c r="C154" s="636" t="s">
        <v>501</v>
      </c>
      <c r="D154" s="637" t="s">
        <v>502</v>
      </c>
      <c r="E154" s="636" t="s">
        <v>1454</v>
      </c>
      <c r="F154" s="637" t="s">
        <v>1455</v>
      </c>
      <c r="G154" s="636" t="s">
        <v>1752</v>
      </c>
      <c r="H154" s="636" t="s">
        <v>1753</v>
      </c>
      <c r="I154" s="638">
        <v>9.1999999999999993</v>
      </c>
      <c r="J154" s="638">
        <v>1500</v>
      </c>
      <c r="K154" s="639">
        <v>13800</v>
      </c>
    </row>
    <row r="155" spans="1:11" ht="14.4" customHeight="1" x14ac:dyDescent="0.3">
      <c r="A155" s="634" t="s">
        <v>487</v>
      </c>
      <c r="B155" s="635" t="s">
        <v>489</v>
      </c>
      <c r="C155" s="636" t="s">
        <v>501</v>
      </c>
      <c r="D155" s="637" t="s">
        <v>502</v>
      </c>
      <c r="E155" s="636" t="s">
        <v>1454</v>
      </c>
      <c r="F155" s="637" t="s">
        <v>1455</v>
      </c>
      <c r="G155" s="636" t="s">
        <v>1754</v>
      </c>
      <c r="H155" s="636" t="s">
        <v>1755</v>
      </c>
      <c r="I155" s="638">
        <v>172.5</v>
      </c>
      <c r="J155" s="638">
        <v>3</v>
      </c>
      <c r="K155" s="639">
        <v>517.5</v>
      </c>
    </row>
    <row r="156" spans="1:11" ht="14.4" customHeight="1" x14ac:dyDescent="0.3">
      <c r="A156" s="634" t="s">
        <v>487</v>
      </c>
      <c r="B156" s="635" t="s">
        <v>489</v>
      </c>
      <c r="C156" s="636" t="s">
        <v>501</v>
      </c>
      <c r="D156" s="637" t="s">
        <v>502</v>
      </c>
      <c r="E156" s="636" t="s">
        <v>1454</v>
      </c>
      <c r="F156" s="637" t="s">
        <v>1455</v>
      </c>
      <c r="G156" s="636" t="s">
        <v>1756</v>
      </c>
      <c r="H156" s="636" t="s">
        <v>1757</v>
      </c>
      <c r="I156" s="638">
        <v>9.68</v>
      </c>
      <c r="J156" s="638">
        <v>800</v>
      </c>
      <c r="K156" s="639">
        <v>7744</v>
      </c>
    </row>
    <row r="157" spans="1:11" ht="14.4" customHeight="1" x14ac:dyDescent="0.3">
      <c r="A157" s="634" t="s">
        <v>487</v>
      </c>
      <c r="B157" s="635" t="s">
        <v>489</v>
      </c>
      <c r="C157" s="636" t="s">
        <v>501</v>
      </c>
      <c r="D157" s="637" t="s">
        <v>502</v>
      </c>
      <c r="E157" s="636" t="s">
        <v>1454</v>
      </c>
      <c r="F157" s="637" t="s">
        <v>1455</v>
      </c>
      <c r="G157" s="636" t="s">
        <v>1758</v>
      </c>
      <c r="H157" s="636" t="s">
        <v>1759</v>
      </c>
      <c r="I157" s="638">
        <v>15.73</v>
      </c>
      <c r="J157" s="638">
        <v>120</v>
      </c>
      <c r="K157" s="639">
        <v>1887.6</v>
      </c>
    </row>
    <row r="158" spans="1:11" ht="14.4" customHeight="1" x14ac:dyDescent="0.3">
      <c r="A158" s="634" t="s">
        <v>487</v>
      </c>
      <c r="B158" s="635" t="s">
        <v>489</v>
      </c>
      <c r="C158" s="636" t="s">
        <v>501</v>
      </c>
      <c r="D158" s="637" t="s">
        <v>502</v>
      </c>
      <c r="E158" s="636" t="s">
        <v>1454</v>
      </c>
      <c r="F158" s="637" t="s">
        <v>1455</v>
      </c>
      <c r="G158" s="636" t="s">
        <v>1760</v>
      </c>
      <c r="H158" s="636" t="s">
        <v>1761</v>
      </c>
      <c r="I158" s="638">
        <v>96.8</v>
      </c>
      <c r="J158" s="638">
        <v>50</v>
      </c>
      <c r="K158" s="639">
        <v>4840</v>
      </c>
    </row>
    <row r="159" spans="1:11" ht="14.4" customHeight="1" x14ac:dyDescent="0.3">
      <c r="A159" s="634" t="s">
        <v>487</v>
      </c>
      <c r="B159" s="635" t="s">
        <v>489</v>
      </c>
      <c r="C159" s="636" t="s">
        <v>501</v>
      </c>
      <c r="D159" s="637" t="s">
        <v>502</v>
      </c>
      <c r="E159" s="636" t="s">
        <v>1454</v>
      </c>
      <c r="F159" s="637" t="s">
        <v>1455</v>
      </c>
      <c r="G159" s="636" t="s">
        <v>1762</v>
      </c>
      <c r="H159" s="636" t="s">
        <v>1763</v>
      </c>
      <c r="I159" s="638">
        <v>24.2</v>
      </c>
      <c r="J159" s="638">
        <v>80</v>
      </c>
      <c r="K159" s="639">
        <v>1936</v>
      </c>
    </row>
    <row r="160" spans="1:11" ht="14.4" customHeight="1" x14ac:dyDescent="0.3">
      <c r="A160" s="634" t="s">
        <v>487</v>
      </c>
      <c r="B160" s="635" t="s">
        <v>489</v>
      </c>
      <c r="C160" s="636" t="s">
        <v>501</v>
      </c>
      <c r="D160" s="637" t="s">
        <v>502</v>
      </c>
      <c r="E160" s="636" t="s">
        <v>1454</v>
      </c>
      <c r="F160" s="637" t="s">
        <v>1455</v>
      </c>
      <c r="G160" s="636" t="s">
        <v>1764</v>
      </c>
      <c r="H160" s="636" t="s">
        <v>1765</v>
      </c>
      <c r="I160" s="638">
        <v>124.63</v>
      </c>
      <c r="J160" s="638">
        <v>50</v>
      </c>
      <c r="K160" s="639">
        <v>6231.5</v>
      </c>
    </row>
    <row r="161" spans="1:11" ht="14.4" customHeight="1" x14ac:dyDescent="0.3">
      <c r="A161" s="634" t="s">
        <v>487</v>
      </c>
      <c r="B161" s="635" t="s">
        <v>489</v>
      </c>
      <c r="C161" s="636" t="s">
        <v>501</v>
      </c>
      <c r="D161" s="637" t="s">
        <v>502</v>
      </c>
      <c r="E161" s="636" t="s">
        <v>1454</v>
      </c>
      <c r="F161" s="637" t="s">
        <v>1455</v>
      </c>
      <c r="G161" s="636" t="s">
        <v>1766</v>
      </c>
      <c r="H161" s="636" t="s">
        <v>1767</v>
      </c>
      <c r="I161" s="638">
        <v>1234.2</v>
      </c>
      <c r="J161" s="638">
        <v>10</v>
      </c>
      <c r="K161" s="639">
        <v>12342</v>
      </c>
    </row>
    <row r="162" spans="1:11" ht="14.4" customHeight="1" x14ac:dyDescent="0.3">
      <c r="A162" s="634" t="s">
        <v>487</v>
      </c>
      <c r="B162" s="635" t="s">
        <v>489</v>
      </c>
      <c r="C162" s="636" t="s">
        <v>501</v>
      </c>
      <c r="D162" s="637" t="s">
        <v>502</v>
      </c>
      <c r="E162" s="636" t="s">
        <v>1454</v>
      </c>
      <c r="F162" s="637" t="s">
        <v>1455</v>
      </c>
      <c r="G162" s="636" t="s">
        <v>1768</v>
      </c>
      <c r="H162" s="636" t="s">
        <v>1769</v>
      </c>
      <c r="I162" s="638">
        <v>172.56</v>
      </c>
      <c r="J162" s="638">
        <v>10</v>
      </c>
      <c r="K162" s="639">
        <v>1725.59</v>
      </c>
    </row>
    <row r="163" spans="1:11" ht="14.4" customHeight="1" x14ac:dyDescent="0.3">
      <c r="A163" s="634" t="s">
        <v>487</v>
      </c>
      <c r="B163" s="635" t="s">
        <v>489</v>
      </c>
      <c r="C163" s="636" t="s">
        <v>501</v>
      </c>
      <c r="D163" s="637" t="s">
        <v>502</v>
      </c>
      <c r="E163" s="636" t="s">
        <v>1454</v>
      </c>
      <c r="F163" s="637" t="s">
        <v>1455</v>
      </c>
      <c r="G163" s="636" t="s">
        <v>1770</v>
      </c>
      <c r="H163" s="636" t="s">
        <v>1771</v>
      </c>
      <c r="I163" s="638">
        <v>50.6</v>
      </c>
      <c r="J163" s="638">
        <v>50</v>
      </c>
      <c r="K163" s="639">
        <v>2530</v>
      </c>
    </row>
    <row r="164" spans="1:11" ht="14.4" customHeight="1" x14ac:dyDescent="0.3">
      <c r="A164" s="634" t="s">
        <v>487</v>
      </c>
      <c r="B164" s="635" t="s">
        <v>489</v>
      </c>
      <c r="C164" s="636" t="s">
        <v>501</v>
      </c>
      <c r="D164" s="637" t="s">
        <v>502</v>
      </c>
      <c r="E164" s="636" t="s">
        <v>1456</v>
      </c>
      <c r="F164" s="637" t="s">
        <v>1457</v>
      </c>
      <c r="G164" s="636" t="s">
        <v>1772</v>
      </c>
      <c r="H164" s="636" t="s">
        <v>1773</v>
      </c>
      <c r="I164" s="638">
        <v>161.5</v>
      </c>
      <c r="J164" s="638">
        <v>3</v>
      </c>
      <c r="K164" s="639">
        <v>484.5</v>
      </c>
    </row>
    <row r="165" spans="1:11" ht="14.4" customHeight="1" x14ac:dyDescent="0.3">
      <c r="A165" s="634" t="s">
        <v>487</v>
      </c>
      <c r="B165" s="635" t="s">
        <v>489</v>
      </c>
      <c r="C165" s="636" t="s">
        <v>501</v>
      </c>
      <c r="D165" s="637" t="s">
        <v>502</v>
      </c>
      <c r="E165" s="636" t="s">
        <v>1458</v>
      </c>
      <c r="F165" s="637" t="s">
        <v>1459</v>
      </c>
      <c r="G165" s="636" t="s">
        <v>1774</v>
      </c>
      <c r="H165" s="636" t="s">
        <v>1775</v>
      </c>
      <c r="I165" s="638">
        <v>568.79</v>
      </c>
      <c r="J165" s="638">
        <v>20</v>
      </c>
      <c r="K165" s="639">
        <v>11375.7</v>
      </c>
    </row>
    <row r="166" spans="1:11" ht="14.4" customHeight="1" x14ac:dyDescent="0.3">
      <c r="A166" s="634" t="s">
        <v>487</v>
      </c>
      <c r="B166" s="635" t="s">
        <v>489</v>
      </c>
      <c r="C166" s="636" t="s">
        <v>501</v>
      </c>
      <c r="D166" s="637" t="s">
        <v>502</v>
      </c>
      <c r="E166" s="636" t="s">
        <v>1460</v>
      </c>
      <c r="F166" s="637" t="s">
        <v>1461</v>
      </c>
      <c r="G166" s="636" t="s">
        <v>1776</v>
      </c>
      <c r="H166" s="636" t="s">
        <v>1777</v>
      </c>
      <c r="I166" s="638">
        <v>2299</v>
      </c>
      <c r="J166" s="638">
        <v>1</v>
      </c>
      <c r="K166" s="639">
        <v>2299</v>
      </c>
    </row>
    <row r="167" spans="1:11" ht="14.4" customHeight="1" x14ac:dyDescent="0.3">
      <c r="A167" s="634" t="s">
        <v>487</v>
      </c>
      <c r="B167" s="635" t="s">
        <v>489</v>
      </c>
      <c r="C167" s="636" t="s">
        <v>501</v>
      </c>
      <c r="D167" s="637" t="s">
        <v>502</v>
      </c>
      <c r="E167" s="636" t="s">
        <v>1460</v>
      </c>
      <c r="F167" s="637" t="s">
        <v>1461</v>
      </c>
      <c r="G167" s="636" t="s">
        <v>1498</v>
      </c>
      <c r="H167" s="636" t="s">
        <v>1499</v>
      </c>
      <c r="I167" s="638">
        <v>8.17</v>
      </c>
      <c r="J167" s="638">
        <v>1800</v>
      </c>
      <c r="K167" s="639">
        <v>14706</v>
      </c>
    </row>
    <row r="168" spans="1:11" ht="14.4" customHeight="1" x14ac:dyDescent="0.3">
      <c r="A168" s="634" t="s">
        <v>487</v>
      </c>
      <c r="B168" s="635" t="s">
        <v>489</v>
      </c>
      <c r="C168" s="636" t="s">
        <v>501</v>
      </c>
      <c r="D168" s="637" t="s">
        <v>502</v>
      </c>
      <c r="E168" s="636" t="s">
        <v>1460</v>
      </c>
      <c r="F168" s="637" t="s">
        <v>1461</v>
      </c>
      <c r="G168" s="636" t="s">
        <v>1778</v>
      </c>
      <c r="H168" s="636" t="s">
        <v>1779</v>
      </c>
      <c r="I168" s="638">
        <v>162.63</v>
      </c>
      <c r="J168" s="638">
        <v>30</v>
      </c>
      <c r="K168" s="639">
        <v>4879</v>
      </c>
    </row>
    <row r="169" spans="1:11" ht="14.4" customHeight="1" x14ac:dyDescent="0.3">
      <c r="A169" s="634" t="s">
        <v>487</v>
      </c>
      <c r="B169" s="635" t="s">
        <v>489</v>
      </c>
      <c r="C169" s="636" t="s">
        <v>501</v>
      </c>
      <c r="D169" s="637" t="s">
        <v>502</v>
      </c>
      <c r="E169" s="636" t="s">
        <v>1460</v>
      </c>
      <c r="F169" s="637" t="s">
        <v>1461</v>
      </c>
      <c r="G169" s="636" t="s">
        <v>1780</v>
      </c>
      <c r="H169" s="636" t="s">
        <v>1781</v>
      </c>
      <c r="I169" s="638">
        <v>6.85</v>
      </c>
      <c r="J169" s="638">
        <v>400</v>
      </c>
      <c r="K169" s="639">
        <v>2740</v>
      </c>
    </row>
    <row r="170" spans="1:11" ht="14.4" customHeight="1" x14ac:dyDescent="0.3">
      <c r="A170" s="634" t="s">
        <v>487</v>
      </c>
      <c r="B170" s="635" t="s">
        <v>489</v>
      </c>
      <c r="C170" s="636" t="s">
        <v>501</v>
      </c>
      <c r="D170" s="637" t="s">
        <v>502</v>
      </c>
      <c r="E170" s="636" t="s">
        <v>1462</v>
      </c>
      <c r="F170" s="637" t="s">
        <v>1463</v>
      </c>
      <c r="G170" s="636" t="s">
        <v>1782</v>
      </c>
      <c r="H170" s="636" t="s">
        <v>1783</v>
      </c>
      <c r="I170" s="638">
        <v>0.31</v>
      </c>
      <c r="J170" s="638">
        <v>1000</v>
      </c>
      <c r="K170" s="639">
        <v>310</v>
      </c>
    </row>
    <row r="171" spans="1:11" ht="14.4" customHeight="1" x14ac:dyDescent="0.3">
      <c r="A171" s="634" t="s">
        <v>487</v>
      </c>
      <c r="B171" s="635" t="s">
        <v>489</v>
      </c>
      <c r="C171" s="636" t="s">
        <v>501</v>
      </c>
      <c r="D171" s="637" t="s">
        <v>502</v>
      </c>
      <c r="E171" s="636" t="s">
        <v>1462</v>
      </c>
      <c r="F171" s="637" t="s">
        <v>1463</v>
      </c>
      <c r="G171" s="636" t="s">
        <v>1784</v>
      </c>
      <c r="H171" s="636" t="s">
        <v>1785</v>
      </c>
      <c r="I171" s="638">
        <v>0.30499999999999999</v>
      </c>
      <c r="J171" s="638">
        <v>2000</v>
      </c>
      <c r="K171" s="639">
        <v>610</v>
      </c>
    </row>
    <row r="172" spans="1:11" ht="14.4" customHeight="1" x14ac:dyDescent="0.3">
      <c r="A172" s="634" t="s">
        <v>487</v>
      </c>
      <c r="B172" s="635" t="s">
        <v>489</v>
      </c>
      <c r="C172" s="636" t="s">
        <v>501</v>
      </c>
      <c r="D172" s="637" t="s">
        <v>502</v>
      </c>
      <c r="E172" s="636" t="s">
        <v>1462</v>
      </c>
      <c r="F172" s="637" t="s">
        <v>1463</v>
      </c>
      <c r="G172" s="636" t="s">
        <v>1786</v>
      </c>
      <c r="H172" s="636" t="s">
        <v>1787</v>
      </c>
      <c r="I172" s="638">
        <v>0.3</v>
      </c>
      <c r="J172" s="638">
        <v>100</v>
      </c>
      <c r="K172" s="639">
        <v>30</v>
      </c>
    </row>
    <row r="173" spans="1:11" ht="14.4" customHeight="1" x14ac:dyDescent="0.3">
      <c r="A173" s="634" t="s">
        <v>487</v>
      </c>
      <c r="B173" s="635" t="s">
        <v>489</v>
      </c>
      <c r="C173" s="636" t="s">
        <v>501</v>
      </c>
      <c r="D173" s="637" t="s">
        <v>502</v>
      </c>
      <c r="E173" s="636" t="s">
        <v>1462</v>
      </c>
      <c r="F173" s="637" t="s">
        <v>1463</v>
      </c>
      <c r="G173" s="636" t="s">
        <v>1788</v>
      </c>
      <c r="H173" s="636" t="s">
        <v>1789</v>
      </c>
      <c r="I173" s="638">
        <v>0.30333333333333329</v>
      </c>
      <c r="J173" s="638">
        <v>7000</v>
      </c>
      <c r="K173" s="639">
        <v>2120</v>
      </c>
    </row>
    <row r="174" spans="1:11" ht="14.4" customHeight="1" x14ac:dyDescent="0.3">
      <c r="A174" s="634" t="s">
        <v>487</v>
      </c>
      <c r="B174" s="635" t="s">
        <v>489</v>
      </c>
      <c r="C174" s="636" t="s">
        <v>501</v>
      </c>
      <c r="D174" s="637" t="s">
        <v>502</v>
      </c>
      <c r="E174" s="636" t="s">
        <v>1464</v>
      </c>
      <c r="F174" s="637" t="s">
        <v>1465</v>
      </c>
      <c r="G174" s="636" t="s">
        <v>1790</v>
      </c>
      <c r="H174" s="636" t="s">
        <v>1791</v>
      </c>
      <c r="I174" s="638">
        <v>0.64</v>
      </c>
      <c r="J174" s="638">
        <v>6000</v>
      </c>
      <c r="K174" s="639">
        <v>3847.8</v>
      </c>
    </row>
    <row r="175" spans="1:11" ht="14.4" customHeight="1" x14ac:dyDescent="0.3">
      <c r="A175" s="634" t="s">
        <v>487</v>
      </c>
      <c r="B175" s="635" t="s">
        <v>489</v>
      </c>
      <c r="C175" s="636" t="s">
        <v>501</v>
      </c>
      <c r="D175" s="637" t="s">
        <v>502</v>
      </c>
      <c r="E175" s="636" t="s">
        <v>1464</v>
      </c>
      <c r="F175" s="637" t="s">
        <v>1465</v>
      </c>
      <c r="G175" s="636" t="s">
        <v>1792</v>
      </c>
      <c r="H175" s="636" t="s">
        <v>1793</v>
      </c>
      <c r="I175" s="638">
        <v>0.74</v>
      </c>
      <c r="J175" s="638">
        <v>1000</v>
      </c>
      <c r="K175" s="639">
        <v>740</v>
      </c>
    </row>
    <row r="176" spans="1:11" ht="14.4" customHeight="1" x14ac:dyDescent="0.3">
      <c r="A176" s="634" t="s">
        <v>487</v>
      </c>
      <c r="B176" s="635" t="s">
        <v>489</v>
      </c>
      <c r="C176" s="636" t="s">
        <v>501</v>
      </c>
      <c r="D176" s="637" t="s">
        <v>502</v>
      </c>
      <c r="E176" s="636" t="s">
        <v>1464</v>
      </c>
      <c r="F176" s="637" t="s">
        <v>1465</v>
      </c>
      <c r="G176" s="636" t="s">
        <v>1504</v>
      </c>
      <c r="H176" s="636" t="s">
        <v>1505</v>
      </c>
      <c r="I176" s="638">
        <v>7.51</v>
      </c>
      <c r="J176" s="638">
        <v>50</v>
      </c>
      <c r="K176" s="639">
        <v>375.5</v>
      </c>
    </row>
    <row r="177" spans="1:11" ht="14.4" customHeight="1" x14ac:dyDescent="0.3">
      <c r="A177" s="634" t="s">
        <v>487</v>
      </c>
      <c r="B177" s="635" t="s">
        <v>489</v>
      </c>
      <c r="C177" s="636" t="s">
        <v>501</v>
      </c>
      <c r="D177" s="637" t="s">
        <v>502</v>
      </c>
      <c r="E177" s="636" t="s">
        <v>1464</v>
      </c>
      <c r="F177" s="637" t="s">
        <v>1465</v>
      </c>
      <c r="G177" s="636" t="s">
        <v>1506</v>
      </c>
      <c r="H177" s="636" t="s">
        <v>1507</v>
      </c>
      <c r="I177" s="638">
        <v>7.5</v>
      </c>
      <c r="J177" s="638">
        <v>50</v>
      </c>
      <c r="K177" s="639">
        <v>375</v>
      </c>
    </row>
    <row r="178" spans="1:11" ht="14.4" customHeight="1" x14ac:dyDescent="0.3">
      <c r="A178" s="634" t="s">
        <v>487</v>
      </c>
      <c r="B178" s="635" t="s">
        <v>489</v>
      </c>
      <c r="C178" s="636" t="s">
        <v>501</v>
      </c>
      <c r="D178" s="637" t="s">
        <v>502</v>
      </c>
      <c r="E178" s="636" t="s">
        <v>1464</v>
      </c>
      <c r="F178" s="637" t="s">
        <v>1465</v>
      </c>
      <c r="G178" s="636" t="s">
        <v>1794</v>
      </c>
      <c r="H178" s="636" t="s">
        <v>1795</v>
      </c>
      <c r="I178" s="638">
        <v>0.77500000000000002</v>
      </c>
      <c r="J178" s="638">
        <v>2000</v>
      </c>
      <c r="K178" s="639">
        <v>1550</v>
      </c>
    </row>
    <row r="179" spans="1:11" ht="14.4" customHeight="1" x14ac:dyDescent="0.3">
      <c r="A179" s="634" t="s">
        <v>487</v>
      </c>
      <c r="B179" s="635" t="s">
        <v>489</v>
      </c>
      <c r="C179" s="636" t="s">
        <v>501</v>
      </c>
      <c r="D179" s="637" t="s">
        <v>502</v>
      </c>
      <c r="E179" s="636" t="s">
        <v>1464</v>
      </c>
      <c r="F179" s="637" t="s">
        <v>1465</v>
      </c>
      <c r="G179" s="636" t="s">
        <v>1796</v>
      </c>
      <c r="H179" s="636" t="s">
        <v>1797</v>
      </c>
      <c r="I179" s="638">
        <v>0.77</v>
      </c>
      <c r="J179" s="638">
        <v>30000</v>
      </c>
      <c r="K179" s="639">
        <v>23100</v>
      </c>
    </row>
    <row r="180" spans="1:11" ht="14.4" customHeight="1" x14ac:dyDescent="0.3">
      <c r="A180" s="634" t="s">
        <v>487</v>
      </c>
      <c r="B180" s="635" t="s">
        <v>489</v>
      </c>
      <c r="C180" s="636" t="s">
        <v>501</v>
      </c>
      <c r="D180" s="637" t="s">
        <v>502</v>
      </c>
      <c r="E180" s="636" t="s">
        <v>1450</v>
      </c>
      <c r="F180" s="637" t="s">
        <v>1451</v>
      </c>
      <c r="G180" s="636" t="s">
        <v>1798</v>
      </c>
      <c r="H180" s="636" t="s">
        <v>1799</v>
      </c>
      <c r="I180" s="638">
        <v>139.44</v>
      </c>
      <c r="J180" s="638">
        <v>20</v>
      </c>
      <c r="K180" s="639">
        <v>2788.8</v>
      </c>
    </row>
    <row r="181" spans="1:11" ht="14.4" customHeight="1" x14ac:dyDescent="0.3">
      <c r="A181" s="634" t="s">
        <v>487</v>
      </c>
      <c r="B181" s="635" t="s">
        <v>489</v>
      </c>
      <c r="C181" s="636" t="s">
        <v>501</v>
      </c>
      <c r="D181" s="637" t="s">
        <v>502</v>
      </c>
      <c r="E181" s="636" t="s">
        <v>1450</v>
      </c>
      <c r="F181" s="637" t="s">
        <v>1451</v>
      </c>
      <c r="G181" s="636" t="s">
        <v>1800</v>
      </c>
      <c r="H181" s="636" t="s">
        <v>1801</v>
      </c>
      <c r="I181" s="638">
        <v>139.435</v>
      </c>
      <c r="J181" s="638">
        <v>20</v>
      </c>
      <c r="K181" s="639">
        <v>2788.6800000000003</v>
      </c>
    </row>
    <row r="182" spans="1:11" ht="14.4" customHeight="1" x14ac:dyDescent="0.3">
      <c r="A182" s="634" t="s">
        <v>487</v>
      </c>
      <c r="B182" s="635" t="s">
        <v>489</v>
      </c>
      <c r="C182" s="636" t="s">
        <v>501</v>
      </c>
      <c r="D182" s="637" t="s">
        <v>502</v>
      </c>
      <c r="E182" s="636" t="s">
        <v>1450</v>
      </c>
      <c r="F182" s="637" t="s">
        <v>1451</v>
      </c>
      <c r="G182" s="636" t="s">
        <v>1802</v>
      </c>
      <c r="H182" s="636" t="s">
        <v>1803</v>
      </c>
      <c r="I182" s="638">
        <v>2746.7</v>
      </c>
      <c r="J182" s="638">
        <v>1</v>
      </c>
      <c r="K182" s="639">
        <v>2746.7</v>
      </c>
    </row>
    <row r="183" spans="1:11" ht="14.4" customHeight="1" x14ac:dyDescent="0.3">
      <c r="A183" s="634" t="s">
        <v>487</v>
      </c>
      <c r="B183" s="635" t="s">
        <v>489</v>
      </c>
      <c r="C183" s="636" t="s">
        <v>501</v>
      </c>
      <c r="D183" s="637" t="s">
        <v>502</v>
      </c>
      <c r="E183" s="636" t="s">
        <v>1450</v>
      </c>
      <c r="F183" s="637" t="s">
        <v>1451</v>
      </c>
      <c r="G183" s="636" t="s">
        <v>1804</v>
      </c>
      <c r="H183" s="636" t="s">
        <v>1805</v>
      </c>
      <c r="I183" s="638">
        <v>6352.5</v>
      </c>
      <c r="J183" s="638">
        <v>3</v>
      </c>
      <c r="K183" s="639">
        <v>19057.5</v>
      </c>
    </row>
    <row r="184" spans="1:11" ht="14.4" customHeight="1" x14ac:dyDescent="0.3">
      <c r="A184" s="634" t="s">
        <v>487</v>
      </c>
      <c r="B184" s="635" t="s">
        <v>489</v>
      </c>
      <c r="C184" s="636" t="s">
        <v>501</v>
      </c>
      <c r="D184" s="637" t="s">
        <v>502</v>
      </c>
      <c r="E184" s="636" t="s">
        <v>1450</v>
      </c>
      <c r="F184" s="637" t="s">
        <v>1451</v>
      </c>
      <c r="G184" s="636" t="s">
        <v>1806</v>
      </c>
      <c r="H184" s="636" t="s">
        <v>1807</v>
      </c>
      <c r="I184" s="638">
        <v>8470</v>
      </c>
      <c r="J184" s="638">
        <v>2</v>
      </c>
      <c r="K184" s="639">
        <v>16940</v>
      </c>
    </row>
    <row r="185" spans="1:11" ht="14.4" customHeight="1" x14ac:dyDescent="0.3">
      <c r="A185" s="634" t="s">
        <v>487</v>
      </c>
      <c r="B185" s="635" t="s">
        <v>489</v>
      </c>
      <c r="C185" s="636" t="s">
        <v>501</v>
      </c>
      <c r="D185" s="637" t="s">
        <v>502</v>
      </c>
      <c r="E185" s="636" t="s">
        <v>1450</v>
      </c>
      <c r="F185" s="637" t="s">
        <v>1451</v>
      </c>
      <c r="G185" s="636" t="s">
        <v>1808</v>
      </c>
      <c r="H185" s="636" t="s">
        <v>1809</v>
      </c>
      <c r="I185" s="638">
        <v>363</v>
      </c>
      <c r="J185" s="638">
        <v>6</v>
      </c>
      <c r="K185" s="639">
        <v>2178</v>
      </c>
    </row>
    <row r="186" spans="1:11" ht="14.4" customHeight="1" thickBot="1" x14ac:dyDescent="0.35">
      <c r="A186" s="640" t="s">
        <v>487</v>
      </c>
      <c r="B186" s="641" t="s">
        <v>489</v>
      </c>
      <c r="C186" s="642" t="s">
        <v>501</v>
      </c>
      <c r="D186" s="643" t="s">
        <v>502</v>
      </c>
      <c r="E186" s="642" t="s">
        <v>1450</v>
      </c>
      <c r="F186" s="643" t="s">
        <v>1451</v>
      </c>
      <c r="G186" s="642" t="s">
        <v>1810</v>
      </c>
      <c r="H186" s="642" t="s">
        <v>1811</v>
      </c>
      <c r="I186" s="644">
        <v>847</v>
      </c>
      <c r="J186" s="644">
        <v>1</v>
      </c>
      <c r="K186" s="645">
        <v>847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4" width="12.21875" customWidth="1"/>
    <col min="5" max="5" width="12.21875" hidden="1" customWidth="1"/>
    <col min="6" max="6" width="12.21875" customWidth="1"/>
    <col min="7" max="8" width="12.21875" hidden="1" customWidth="1"/>
    <col min="9" max="9" width="12.21875" customWidth="1"/>
    <col min="10" max="10" width="12.21875" hidden="1" customWidth="1"/>
    <col min="11" max="11" width="12.21875" customWidth="1"/>
    <col min="12" max="12" width="12.21875" hidden="1" customWidth="1"/>
  </cols>
  <sheetData>
    <row r="1" spans="1:12" ht="18.600000000000001" thickBot="1" x14ac:dyDescent="0.4">
      <c r="A1" s="522" t="s">
        <v>134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</row>
    <row r="2" spans="1:12" ht="15" thickBot="1" x14ac:dyDescent="0.35">
      <c r="A2" s="389" t="s">
        <v>298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2" x14ac:dyDescent="0.3">
      <c r="A3" s="410" t="s">
        <v>292</v>
      </c>
      <c r="B3" s="524" t="s">
        <v>270</v>
      </c>
      <c r="C3" s="391">
        <v>0</v>
      </c>
      <c r="D3" s="392">
        <v>101</v>
      </c>
      <c r="E3" s="413">
        <v>203</v>
      </c>
      <c r="F3" s="392" t="s">
        <v>250</v>
      </c>
      <c r="G3" s="392" t="s">
        <v>251</v>
      </c>
      <c r="H3" s="392" t="s">
        <v>252</v>
      </c>
      <c r="I3" s="392" t="s">
        <v>253</v>
      </c>
      <c r="J3" s="392" t="s">
        <v>254</v>
      </c>
      <c r="K3" s="392">
        <v>930</v>
      </c>
      <c r="L3" s="393">
        <v>940</v>
      </c>
    </row>
    <row r="4" spans="1:12" ht="60.6" outlineLevel="1" thickBot="1" x14ac:dyDescent="0.35">
      <c r="A4" s="411">
        <v>2014</v>
      </c>
      <c r="B4" s="525"/>
      <c r="C4" s="394" t="s">
        <v>271</v>
      </c>
      <c r="D4" s="395" t="s">
        <v>272</v>
      </c>
      <c r="E4" s="414" t="s">
        <v>273</v>
      </c>
      <c r="F4" s="395" t="s">
        <v>274</v>
      </c>
      <c r="G4" s="395" t="s">
        <v>275</v>
      </c>
      <c r="H4" s="395" t="s">
        <v>276</v>
      </c>
      <c r="I4" s="395" t="s">
        <v>277</v>
      </c>
      <c r="J4" s="395" t="s">
        <v>278</v>
      </c>
      <c r="K4" s="395" t="s">
        <v>279</v>
      </c>
      <c r="L4" s="396" t="s">
        <v>280</v>
      </c>
    </row>
    <row r="5" spans="1:12" x14ac:dyDescent="0.3">
      <c r="A5" s="397" t="s">
        <v>281</v>
      </c>
      <c r="B5" s="441"/>
      <c r="C5" s="442"/>
      <c r="D5" s="443"/>
      <c r="E5" s="443"/>
      <c r="F5" s="443"/>
      <c r="G5" s="443"/>
      <c r="H5" s="443"/>
      <c r="I5" s="443"/>
      <c r="J5" s="443"/>
      <c r="K5" s="443"/>
      <c r="L5" s="444"/>
    </row>
    <row r="6" spans="1:12" ht="15" collapsed="1" thickBot="1" x14ac:dyDescent="0.35">
      <c r="A6" s="398" t="s">
        <v>97</v>
      </c>
      <c r="B6" s="445">
        <f xml:space="preserve">
TRUNC(IF($A$4&lt;=12,SUMIFS('ON Data'!D:D,'ON Data'!$B:$B,$A$4,'ON Data'!$C:$C,1),SUMIFS('ON Data'!D:D,'ON Data'!$C:$C,1)/'ON Data'!$B$3),1)</f>
        <v>53.1</v>
      </c>
      <c r="C6" s="446">
        <f xml:space="preserve">
TRUNC(IF($A$4&lt;=12,SUMIFS('ON Data'!E:E,'ON Data'!$B:$B,$A$4,'ON Data'!$C:$C,1),SUMIFS('ON Data'!E:E,'ON Data'!$C:$C,1)/'ON Data'!$B$3),1)</f>
        <v>0</v>
      </c>
      <c r="D6" s="447">
        <f xml:space="preserve">
TRUNC(IF($A$4&lt;=12,SUMIFS('ON Data'!F:F,'ON Data'!$B:$B,$A$4,'ON Data'!$C:$C,1),SUMIFS('ON Data'!F:F,'ON Data'!$C:$C,1)/'ON Data'!$B$3),1)</f>
        <v>7.6</v>
      </c>
      <c r="E6" s="447">
        <f xml:space="preserve">
TRUNC(IF($A$4&lt;=12,SUMIFS('ON Data'!H:H,'ON Data'!$B:$B,$A$4,'ON Data'!$C:$C,1),SUMIFS('ON Data'!H:H,'ON Data'!$C:$C,1)/'ON Data'!$B$3),1)</f>
        <v>0</v>
      </c>
      <c r="F6" s="447">
        <f xml:space="preserve">
TRUNC(IF($A$4&lt;=12,SUMIFS('ON Data'!I:I,'ON Data'!$B:$B,$A$4,'ON Data'!$C:$C,1),SUMIFS('ON Data'!I:I,'ON Data'!$C:$C,1)/'ON Data'!$B$3),1)</f>
        <v>40.5</v>
      </c>
      <c r="G6" s="447">
        <f xml:space="preserve">
TRUNC(IF($A$4&lt;=12,SUMIFS('ON Data'!J:J,'ON Data'!$B:$B,$A$4,'ON Data'!$C:$C,1),SUMIFS('ON Data'!J:J,'ON Data'!$C:$C,1)/'ON Data'!$B$3),1)</f>
        <v>0</v>
      </c>
      <c r="H6" s="447">
        <f xml:space="preserve">
TRUNC(IF($A$4&lt;=12,SUMIFS('ON Data'!K:K,'ON Data'!$B:$B,$A$4,'ON Data'!$C:$C,1),SUMIFS('ON Data'!K:K,'ON Data'!$C:$C,1)/'ON Data'!$B$3),1)</f>
        <v>0</v>
      </c>
      <c r="I6" s="447">
        <f xml:space="preserve">
TRUNC(IF($A$4&lt;=12,SUMIFS('ON Data'!L:L,'ON Data'!$B:$B,$A$4,'ON Data'!$C:$C,1),SUMIFS('ON Data'!L:L,'ON Data'!$C:$C,1)/'ON Data'!$B$3),1)</f>
        <v>4</v>
      </c>
      <c r="J6" s="447">
        <f xml:space="preserve">
TRUNC(IF($A$4&lt;=12,SUMIFS('ON Data'!M:M,'ON Data'!$B:$B,$A$4,'ON Data'!$C:$C,1),SUMIFS('ON Data'!M:M,'ON Data'!$C:$C,1)/'ON Data'!$B$3),1)</f>
        <v>0</v>
      </c>
      <c r="K6" s="447">
        <f xml:space="preserve">
TRUNC(IF($A$4&lt;=12,SUMIFS('ON Data'!N:N,'ON Data'!$B:$B,$A$4,'ON Data'!$C:$C,1),SUMIFS('ON Data'!N:N,'ON Data'!$C:$C,1)/'ON Data'!$B$3),1)</f>
        <v>1</v>
      </c>
      <c r="L6" s="44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398" t="s">
        <v>135</v>
      </c>
      <c r="B7" s="445"/>
      <c r="C7" s="449"/>
      <c r="D7" s="447"/>
      <c r="E7" s="447"/>
      <c r="F7" s="447"/>
      <c r="G7" s="447"/>
      <c r="H7" s="447"/>
      <c r="I7" s="447"/>
      <c r="J7" s="447"/>
      <c r="K7" s="447"/>
      <c r="L7" s="448"/>
    </row>
    <row r="8" spans="1:12" ht="15" hidden="1" outlineLevel="1" thickBot="1" x14ac:dyDescent="0.35">
      <c r="A8" s="398" t="s">
        <v>99</v>
      </c>
      <c r="B8" s="445"/>
      <c r="C8" s="449"/>
      <c r="D8" s="447"/>
      <c r="E8" s="447"/>
      <c r="F8" s="447"/>
      <c r="G8" s="447"/>
      <c r="H8" s="447"/>
      <c r="I8" s="447"/>
      <c r="J8" s="447"/>
      <c r="K8" s="447"/>
      <c r="L8" s="448"/>
    </row>
    <row r="9" spans="1:12" ht="15" hidden="1" outlineLevel="1" thickBot="1" x14ac:dyDescent="0.35">
      <c r="A9" s="399" t="s">
        <v>72</v>
      </c>
      <c r="B9" s="450"/>
      <c r="C9" s="451"/>
      <c r="D9" s="452"/>
      <c r="E9" s="452"/>
      <c r="F9" s="452"/>
      <c r="G9" s="452"/>
      <c r="H9" s="452"/>
      <c r="I9" s="452"/>
      <c r="J9" s="452"/>
      <c r="K9" s="452"/>
      <c r="L9" s="453"/>
    </row>
    <row r="10" spans="1:12" x14ac:dyDescent="0.3">
      <c r="A10" s="400" t="s">
        <v>282</v>
      </c>
      <c r="B10" s="415"/>
      <c r="C10" s="416"/>
      <c r="D10" s="417"/>
      <c r="E10" s="417"/>
      <c r="F10" s="417"/>
      <c r="G10" s="417"/>
      <c r="H10" s="417"/>
      <c r="I10" s="417"/>
      <c r="J10" s="417"/>
      <c r="K10" s="417"/>
      <c r="L10" s="418"/>
    </row>
    <row r="11" spans="1:12" x14ac:dyDescent="0.3">
      <c r="A11" s="401" t="s">
        <v>283</v>
      </c>
      <c r="B11" s="419">
        <f xml:space="preserve">
IF($A$4&lt;=12,SUMIFS('ON Data'!D:D,'ON Data'!$B:$B,$A$4,'ON Data'!$C:$C,2),SUMIFS('ON Data'!D:D,'ON Data'!$C:$C,2))</f>
        <v>14677.130000000001</v>
      </c>
      <c r="C11" s="420">
        <f xml:space="preserve">
IF($A$4&lt;=12,SUMIFS('ON Data'!E:E,'ON Data'!$B:$B,$A$4,'ON Data'!$C:$C,2),SUMIFS('ON Data'!E:E,'ON Data'!$C:$C,2))</f>
        <v>0</v>
      </c>
      <c r="D11" s="421">
        <f xml:space="preserve">
IF($A$4&lt;=12,SUMIFS('ON Data'!F:F,'ON Data'!$B:$B,$A$4,'ON Data'!$C:$C,2),SUMIFS('ON Data'!F:F,'ON Data'!$C:$C,2))</f>
        <v>2329</v>
      </c>
      <c r="E11" s="421">
        <f xml:space="preserve">
IF($A$4&lt;=12,SUMIFS('ON Data'!H:H,'ON Data'!$B:$B,$A$4,'ON Data'!$C:$C,2),SUMIFS('ON Data'!H:H,'ON Data'!$C:$C,2))</f>
        <v>0</v>
      </c>
      <c r="F11" s="421">
        <f xml:space="preserve">
IF($A$4&lt;=12,SUMIFS('ON Data'!I:I,'ON Data'!$B:$B,$A$4,'ON Data'!$C:$C,2),SUMIFS('ON Data'!I:I,'ON Data'!$C:$C,2))</f>
        <v>10780.130000000001</v>
      </c>
      <c r="G11" s="421">
        <f xml:space="preserve">
IF($A$4&lt;=12,SUMIFS('ON Data'!J:J,'ON Data'!$B:$B,$A$4,'ON Data'!$C:$C,2),SUMIFS('ON Data'!J:J,'ON Data'!$C:$C,2))</f>
        <v>0</v>
      </c>
      <c r="H11" s="421">
        <f xml:space="preserve">
IF($A$4&lt;=12,SUMIFS('ON Data'!K:K,'ON Data'!$B:$B,$A$4,'ON Data'!$C:$C,2),SUMIFS('ON Data'!K:K,'ON Data'!$C:$C,2))</f>
        <v>0</v>
      </c>
      <c r="I11" s="421">
        <f xml:space="preserve">
IF($A$4&lt;=12,SUMIFS('ON Data'!L:L,'ON Data'!$B:$B,$A$4,'ON Data'!$C:$C,2),SUMIFS('ON Data'!L:L,'ON Data'!$C:$C,2))</f>
        <v>1240</v>
      </c>
      <c r="J11" s="421">
        <f xml:space="preserve">
IF($A$4&lt;=12,SUMIFS('ON Data'!M:M,'ON Data'!$B:$B,$A$4,'ON Data'!$C:$C,2),SUMIFS('ON Data'!M:M,'ON Data'!$C:$C,2))</f>
        <v>0</v>
      </c>
      <c r="K11" s="421">
        <f xml:space="preserve">
IF($A$4&lt;=12,SUMIFS('ON Data'!N:N,'ON Data'!$B:$B,$A$4,'ON Data'!$C:$C,2),SUMIFS('ON Data'!N:N,'ON Data'!$C:$C,2))</f>
        <v>328</v>
      </c>
      <c r="L11" s="422">
        <f xml:space="preserve">
IF($A$4&lt;=12,SUMIFS('ON Data'!O:O,'ON Data'!$B:$B,$A$4,'ON Data'!$C:$C,2),SUMIFS('ON Data'!O:O,'ON Data'!$C:$C,2))</f>
        <v>0</v>
      </c>
    </row>
    <row r="12" spans="1:12" x14ac:dyDescent="0.3">
      <c r="A12" s="401" t="s">
        <v>284</v>
      </c>
      <c r="B12" s="419">
        <f xml:space="preserve">
IF($A$4&lt;=12,SUMIFS('ON Data'!D:D,'ON Data'!$B:$B,$A$4,'ON Data'!$C:$C,3),SUMIFS('ON Data'!D:D,'ON Data'!$C:$C,3))</f>
        <v>301</v>
      </c>
      <c r="C12" s="420">
        <f xml:space="preserve">
IF($A$4&lt;=12,SUMIFS('ON Data'!E:E,'ON Data'!$B:$B,$A$4,'ON Data'!$C:$C,3),SUMIFS('ON Data'!E:E,'ON Data'!$C:$C,3))</f>
        <v>0</v>
      </c>
      <c r="D12" s="421">
        <f xml:space="preserve">
IF($A$4&lt;=12,SUMIFS('ON Data'!F:F,'ON Data'!$B:$B,$A$4,'ON Data'!$C:$C,3),SUMIFS('ON Data'!F:F,'ON Data'!$C:$C,3))</f>
        <v>15</v>
      </c>
      <c r="E12" s="421">
        <f xml:space="preserve">
IF($A$4&lt;=12,SUMIFS('ON Data'!H:H,'ON Data'!$B:$B,$A$4,'ON Data'!$C:$C,3),SUMIFS('ON Data'!H:H,'ON Data'!$C:$C,3))</f>
        <v>0</v>
      </c>
      <c r="F12" s="421">
        <f xml:space="preserve">
IF($A$4&lt;=12,SUMIFS('ON Data'!I:I,'ON Data'!$B:$B,$A$4,'ON Data'!$C:$C,3),SUMIFS('ON Data'!I:I,'ON Data'!$C:$C,3))</f>
        <v>286</v>
      </c>
      <c r="G12" s="421">
        <f xml:space="preserve">
IF($A$4&lt;=12,SUMIFS('ON Data'!J:J,'ON Data'!$B:$B,$A$4,'ON Data'!$C:$C,3),SUMIFS('ON Data'!J:J,'ON Data'!$C:$C,3))</f>
        <v>0</v>
      </c>
      <c r="H12" s="421">
        <f xml:space="preserve">
IF($A$4&lt;=12,SUMIFS('ON Data'!K:K,'ON Data'!$B:$B,$A$4,'ON Data'!$C:$C,3),SUMIFS('ON Data'!K:K,'ON Data'!$C:$C,3))</f>
        <v>0</v>
      </c>
      <c r="I12" s="421">
        <f xml:space="preserve">
IF($A$4&lt;=12,SUMIFS('ON Data'!L:L,'ON Data'!$B:$B,$A$4,'ON Data'!$C:$C,3),SUMIFS('ON Data'!L:L,'ON Data'!$C:$C,3))</f>
        <v>0</v>
      </c>
      <c r="J12" s="421">
        <f xml:space="preserve">
IF($A$4&lt;=12,SUMIFS('ON Data'!M:M,'ON Data'!$B:$B,$A$4,'ON Data'!$C:$C,3),SUMIFS('ON Data'!M:M,'ON Data'!$C:$C,3))</f>
        <v>0</v>
      </c>
      <c r="K12" s="421">
        <f xml:space="preserve">
IF($A$4&lt;=12,SUMIFS('ON Data'!N:N,'ON Data'!$B:$B,$A$4,'ON Data'!$C:$C,3),SUMIFS('ON Data'!N:N,'ON Data'!$C:$C,3))</f>
        <v>0</v>
      </c>
      <c r="L12" s="422">
        <f xml:space="preserve">
IF($A$4&lt;=12,SUMIFS('ON Data'!O:O,'ON Data'!$B:$B,$A$4,'ON Data'!$C:$C,3),SUMIFS('ON Data'!O:O,'ON Data'!$C:$C,3))</f>
        <v>0</v>
      </c>
    </row>
    <row r="13" spans="1:12" x14ac:dyDescent="0.3">
      <c r="A13" s="401" t="s">
        <v>293</v>
      </c>
      <c r="B13" s="419">
        <f xml:space="preserve">
IF($A$4&lt;=12,SUMIFS('ON Data'!D:D,'ON Data'!$B:$B,$A$4,'ON Data'!$C:$C,4),SUMIFS('ON Data'!D:D,'ON Data'!$C:$C,4))</f>
        <v>905</v>
      </c>
      <c r="C13" s="420">
        <f xml:space="preserve">
IF($A$4&lt;=12,SUMIFS('ON Data'!E:E,'ON Data'!$B:$B,$A$4,'ON Data'!$C:$C,4),SUMIFS('ON Data'!E:E,'ON Data'!$C:$C,4))</f>
        <v>0</v>
      </c>
      <c r="D13" s="421">
        <f xml:space="preserve">
IF($A$4&lt;=12,SUMIFS('ON Data'!F:F,'ON Data'!$B:$B,$A$4,'ON Data'!$C:$C,4),SUMIFS('ON Data'!F:F,'ON Data'!$C:$C,4))</f>
        <v>213</v>
      </c>
      <c r="E13" s="421">
        <f xml:space="preserve">
IF($A$4&lt;=12,SUMIFS('ON Data'!H:H,'ON Data'!$B:$B,$A$4,'ON Data'!$C:$C,4),SUMIFS('ON Data'!H:H,'ON Data'!$C:$C,4))</f>
        <v>0</v>
      </c>
      <c r="F13" s="421">
        <f xml:space="preserve">
IF($A$4&lt;=12,SUMIFS('ON Data'!I:I,'ON Data'!$B:$B,$A$4,'ON Data'!$C:$C,4),SUMIFS('ON Data'!I:I,'ON Data'!$C:$C,4))</f>
        <v>667</v>
      </c>
      <c r="G13" s="421">
        <f xml:space="preserve">
IF($A$4&lt;=12,SUMIFS('ON Data'!J:J,'ON Data'!$B:$B,$A$4,'ON Data'!$C:$C,4),SUMIFS('ON Data'!J:J,'ON Data'!$C:$C,4))</f>
        <v>0</v>
      </c>
      <c r="H13" s="421">
        <f xml:space="preserve">
IF($A$4&lt;=12,SUMIFS('ON Data'!K:K,'ON Data'!$B:$B,$A$4,'ON Data'!$C:$C,4),SUMIFS('ON Data'!K:K,'ON Data'!$C:$C,4))</f>
        <v>0</v>
      </c>
      <c r="I13" s="421">
        <f xml:space="preserve">
IF($A$4&lt;=12,SUMIFS('ON Data'!L:L,'ON Data'!$B:$B,$A$4,'ON Data'!$C:$C,4),SUMIFS('ON Data'!L:L,'ON Data'!$C:$C,4))</f>
        <v>25</v>
      </c>
      <c r="J13" s="421">
        <f xml:space="preserve">
IF($A$4&lt;=12,SUMIFS('ON Data'!M:M,'ON Data'!$B:$B,$A$4,'ON Data'!$C:$C,4),SUMIFS('ON Data'!M:M,'ON Data'!$C:$C,4))</f>
        <v>0</v>
      </c>
      <c r="K13" s="421">
        <f xml:space="preserve">
IF($A$4&lt;=12,SUMIFS('ON Data'!N:N,'ON Data'!$B:$B,$A$4,'ON Data'!$C:$C,4),SUMIFS('ON Data'!N:N,'ON Data'!$C:$C,4))</f>
        <v>0</v>
      </c>
      <c r="L13" s="42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402" t="s">
        <v>285</v>
      </c>
      <c r="B14" s="423">
        <f xml:space="preserve">
IF($A$4&lt;=12,SUMIFS('ON Data'!D:D,'ON Data'!$B:$B,$A$4,'ON Data'!$C:$C,5),SUMIFS('ON Data'!D:D,'ON Data'!$C:$C,5))</f>
        <v>56</v>
      </c>
      <c r="C14" s="424">
        <f xml:space="preserve">
IF($A$4&lt;=12,SUMIFS('ON Data'!E:E,'ON Data'!$B:$B,$A$4,'ON Data'!$C:$C,5),SUMIFS('ON Data'!E:E,'ON Data'!$C:$C,5))</f>
        <v>56</v>
      </c>
      <c r="D14" s="425">
        <f xml:space="preserve">
IF($A$4&lt;=12,SUMIFS('ON Data'!F:F,'ON Data'!$B:$B,$A$4,'ON Data'!$C:$C,5),SUMIFS('ON Data'!F:F,'ON Data'!$C:$C,5))</f>
        <v>0</v>
      </c>
      <c r="E14" s="425">
        <f xml:space="preserve">
IF($A$4&lt;=12,SUMIFS('ON Data'!H:H,'ON Data'!$B:$B,$A$4,'ON Data'!$C:$C,5),SUMIFS('ON Data'!H:H,'ON Data'!$C:$C,5))</f>
        <v>0</v>
      </c>
      <c r="F14" s="425">
        <f xml:space="preserve">
IF($A$4&lt;=12,SUMIFS('ON Data'!I:I,'ON Data'!$B:$B,$A$4,'ON Data'!$C:$C,5),SUMIFS('ON Data'!I:I,'ON Data'!$C:$C,5))</f>
        <v>0</v>
      </c>
      <c r="G14" s="425">
        <f xml:space="preserve">
IF($A$4&lt;=12,SUMIFS('ON Data'!J:J,'ON Data'!$B:$B,$A$4,'ON Data'!$C:$C,5),SUMIFS('ON Data'!J:J,'ON Data'!$C:$C,5))</f>
        <v>0</v>
      </c>
      <c r="H14" s="425">
        <f xml:space="preserve">
IF($A$4&lt;=12,SUMIFS('ON Data'!K:K,'ON Data'!$B:$B,$A$4,'ON Data'!$C:$C,5),SUMIFS('ON Data'!K:K,'ON Data'!$C:$C,5))</f>
        <v>0</v>
      </c>
      <c r="I14" s="425">
        <f xml:space="preserve">
IF($A$4&lt;=12,SUMIFS('ON Data'!L:L,'ON Data'!$B:$B,$A$4,'ON Data'!$C:$C,5),SUMIFS('ON Data'!L:L,'ON Data'!$C:$C,5))</f>
        <v>0</v>
      </c>
      <c r="J14" s="425">
        <f xml:space="preserve">
IF($A$4&lt;=12,SUMIFS('ON Data'!M:M,'ON Data'!$B:$B,$A$4,'ON Data'!$C:$C,5),SUMIFS('ON Data'!M:M,'ON Data'!$C:$C,5))</f>
        <v>0</v>
      </c>
      <c r="K14" s="425">
        <f xml:space="preserve">
IF($A$4&lt;=12,SUMIFS('ON Data'!N:N,'ON Data'!$B:$B,$A$4,'ON Data'!$C:$C,5),SUMIFS('ON Data'!N:N,'ON Data'!$C:$C,5))</f>
        <v>0</v>
      </c>
      <c r="L14" s="426">
        <f xml:space="preserve">
IF($A$4&lt;=12,SUMIFS('ON Data'!O:O,'ON Data'!$B:$B,$A$4,'ON Data'!$C:$C,5),SUMIFS('ON Data'!O:O,'ON Data'!$C:$C,5))</f>
        <v>0</v>
      </c>
    </row>
    <row r="15" spans="1:12" x14ac:dyDescent="0.3">
      <c r="A15" s="295" t="s">
        <v>297</v>
      </c>
      <c r="B15" s="427"/>
      <c r="C15" s="428"/>
      <c r="D15" s="429"/>
      <c r="E15" s="429"/>
      <c r="F15" s="429"/>
      <c r="G15" s="429"/>
      <c r="H15" s="429"/>
      <c r="I15" s="429"/>
      <c r="J15" s="429"/>
      <c r="K15" s="429"/>
      <c r="L15" s="430"/>
    </row>
    <row r="16" spans="1:12" x14ac:dyDescent="0.3">
      <c r="A16" s="403" t="s">
        <v>286</v>
      </c>
      <c r="B16" s="419">
        <f xml:space="preserve">
IF($A$4&lt;=12,SUMIFS('ON Data'!D:D,'ON Data'!$B:$B,$A$4,'ON Data'!$C:$C,7),SUMIFS('ON Data'!D:D,'ON Data'!$C:$C,7))</f>
        <v>0</v>
      </c>
      <c r="C16" s="420">
        <f xml:space="preserve">
IF($A$4&lt;=12,SUMIFS('ON Data'!E:E,'ON Data'!$B:$B,$A$4,'ON Data'!$C:$C,7),SUMIFS('ON Data'!E:E,'ON Data'!$C:$C,7))</f>
        <v>0</v>
      </c>
      <c r="D16" s="421">
        <f xml:space="preserve">
IF($A$4&lt;=12,SUMIFS('ON Data'!F:F,'ON Data'!$B:$B,$A$4,'ON Data'!$C:$C,7),SUMIFS('ON Data'!F:F,'ON Data'!$C:$C,7))</f>
        <v>0</v>
      </c>
      <c r="E16" s="421">
        <f xml:space="preserve">
IF($A$4&lt;=12,SUMIFS('ON Data'!H:H,'ON Data'!$B:$B,$A$4,'ON Data'!$C:$C,7),SUMIFS('ON Data'!H:H,'ON Data'!$C:$C,7))</f>
        <v>0</v>
      </c>
      <c r="F16" s="421">
        <f xml:space="preserve">
IF($A$4&lt;=12,SUMIFS('ON Data'!I:I,'ON Data'!$B:$B,$A$4,'ON Data'!$C:$C,7),SUMIFS('ON Data'!I:I,'ON Data'!$C:$C,7))</f>
        <v>0</v>
      </c>
      <c r="G16" s="421">
        <f xml:space="preserve">
IF($A$4&lt;=12,SUMIFS('ON Data'!J:J,'ON Data'!$B:$B,$A$4,'ON Data'!$C:$C,7),SUMIFS('ON Data'!J:J,'ON Data'!$C:$C,7))</f>
        <v>0</v>
      </c>
      <c r="H16" s="421">
        <f xml:space="preserve">
IF($A$4&lt;=12,SUMIFS('ON Data'!K:K,'ON Data'!$B:$B,$A$4,'ON Data'!$C:$C,7),SUMIFS('ON Data'!K:K,'ON Data'!$C:$C,7))</f>
        <v>0</v>
      </c>
      <c r="I16" s="421">
        <f xml:space="preserve">
IF($A$4&lt;=12,SUMIFS('ON Data'!L:L,'ON Data'!$B:$B,$A$4,'ON Data'!$C:$C,7),SUMIFS('ON Data'!L:L,'ON Data'!$C:$C,7))</f>
        <v>0</v>
      </c>
      <c r="J16" s="421">
        <f xml:space="preserve">
IF($A$4&lt;=12,SUMIFS('ON Data'!M:M,'ON Data'!$B:$B,$A$4,'ON Data'!$C:$C,7),SUMIFS('ON Data'!M:M,'ON Data'!$C:$C,7))</f>
        <v>0</v>
      </c>
      <c r="K16" s="421">
        <f xml:space="preserve">
IF($A$4&lt;=12,SUMIFS('ON Data'!N:N,'ON Data'!$B:$B,$A$4,'ON Data'!$C:$C,7),SUMIFS('ON Data'!N:N,'ON Data'!$C:$C,7))</f>
        <v>0</v>
      </c>
      <c r="L16" s="422">
        <f xml:space="preserve">
IF($A$4&lt;=12,SUMIFS('ON Data'!O:O,'ON Data'!$B:$B,$A$4,'ON Data'!$C:$C,7),SUMIFS('ON Data'!O:O,'ON Data'!$C:$C,7))</f>
        <v>0</v>
      </c>
    </row>
    <row r="17" spans="1:12" x14ac:dyDescent="0.3">
      <c r="A17" s="403" t="s">
        <v>287</v>
      </c>
      <c r="B17" s="419">
        <f xml:space="preserve">
IF($A$4&lt;=12,SUMIFS('ON Data'!D:D,'ON Data'!$B:$B,$A$4,'ON Data'!$C:$C,8),SUMIFS('ON Data'!D:D,'ON Data'!$C:$C,8))</f>
        <v>0</v>
      </c>
      <c r="C17" s="420">
        <f xml:space="preserve">
IF($A$4&lt;=12,SUMIFS('ON Data'!E:E,'ON Data'!$B:$B,$A$4,'ON Data'!$C:$C,8),SUMIFS('ON Data'!E:E,'ON Data'!$C:$C,8))</f>
        <v>0</v>
      </c>
      <c r="D17" s="421">
        <f xml:space="preserve">
IF($A$4&lt;=12,SUMIFS('ON Data'!F:F,'ON Data'!$B:$B,$A$4,'ON Data'!$C:$C,8),SUMIFS('ON Data'!F:F,'ON Data'!$C:$C,8))</f>
        <v>0</v>
      </c>
      <c r="E17" s="421">
        <f xml:space="preserve">
IF($A$4&lt;=12,SUMIFS('ON Data'!H:H,'ON Data'!$B:$B,$A$4,'ON Data'!$C:$C,8),SUMIFS('ON Data'!H:H,'ON Data'!$C:$C,8))</f>
        <v>0</v>
      </c>
      <c r="F17" s="421">
        <f xml:space="preserve">
IF($A$4&lt;=12,SUMIFS('ON Data'!I:I,'ON Data'!$B:$B,$A$4,'ON Data'!$C:$C,8),SUMIFS('ON Data'!I:I,'ON Data'!$C:$C,8))</f>
        <v>0</v>
      </c>
      <c r="G17" s="421">
        <f xml:space="preserve">
IF($A$4&lt;=12,SUMIFS('ON Data'!J:J,'ON Data'!$B:$B,$A$4,'ON Data'!$C:$C,8),SUMIFS('ON Data'!J:J,'ON Data'!$C:$C,8))</f>
        <v>0</v>
      </c>
      <c r="H17" s="421">
        <f xml:space="preserve">
IF($A$4&lt;=12,SUMIFS('ON Data'!K:K,'ON Data'!$B:$B,$A$4,'ON Data'!$C:$C,8),SUMIFS('ON Data'!K:K,'ON Data'!$C:$C,8))</f>
        <v>0</v>
      </c>
      <c r="I17" s="421">
        <f xml:space="preserve">
IF($A$4&lt;=12,SUMIFS('ON Data'!L:L,'ON Data'!$B:$B,$A$4,'ON Data'!$C:$C,8),SUMIFS('ON Data'!L:L,'ON Data'!$C:$C,8))</f>
        <v>0</v>
      </c>
      <c r="J17" s="421">
        <f xml:space="preserve">
IF($A$4&lt;=12,SUMIFS('ON Data'!M:M,'ON Data'!$B:$B,$A$4,'ON Data'!$C:$C,8),SUMIFS('ON Data'!M:M,'ON Data'!$C:$C,8))</f>
        <v>0</v>
      </c>
      <c r="K17" s="421">
        <f xml:space="preserve">
IF($A$4&lt;=12,SUMIFS('ON Data'!N:N,'ON Data'!$B:$B,$A$4,'ON Data'!$C:$C,8),SUMIFS('ON Data'!N:N,'ON Data'!$C:$C,8))</f>
        <v>0</v>
      </c>
      <c r="L17" s="422">
        <f xml:space="preserve">
IF($A$4&lt;=12,SUMIFS('ON Data'!O:O,'ON Data'!$B:$B,$A$4,'ON Data'!$C:$C,8),SUMIFS('ON Data'!O:O,'ON Data'!$C:$C,8))</f>
        <v>0</v>
      </c>
    </row>
    <row r="18" spans="1:12" x14ac:dyDescent="0.3">
      <c r="A18" s="403" t="s">
        <v>288</v>
      </c>
      <c r="B18" s="419">
        <f xml:space="preserve">
B19-B16-B17</f>
        <v>7408</v>
      </c>
      <c r="C18" s="420">
        <f t="shared" ref="C18:L18" si="0" xml:space="preserve">
C19-C16-C17</f>
        <v>0</v>
      </c>
      <c r="D18" s="421">
        <f t="shared" si="0"/>
        <v>0</v>
      </c>
      <c r="E18" s="421">
        <f t="shared" si="0"/>
        <v>0</v>
      </c>
      <c r="F18" s="421">
        <f t="shared" si="0"/>
        <v>7408</v>
      </c>
      <c r="G18" s="421">
        <f t="shared" si="0"/>
        <v>0</v>
      </c>
      <c r="H18" s="421">
        <f t="shared" si="0"/>
        <v>0</v>
      </c>
      <c r="I18" s="421">
        <f t="shared" si="0"/>
        <v>0</v>
      </c>
      <c r="J18" s="421">
        <f t="shared" si="0"/>
        <v>0</v>
      </c>
      <c r="K18" s="421">
        <f t="shared" si="0"/>
        <v>0</v>
      </c>
      <c r="L18" s="422">
        <f t="shared" si="0"/>
        <v>0</v>
      </c>
    </row>
    <row r="19" spans="1:12" ht="15" thickBot="1" x14ac:dyDescent="0.35">
      <c r="A19" s="404" t="s">
        <v>289</v>
      </c>
      <c r="B19" s="431">
        <f xml:space="preserve">
IF($A$4&lt;=12,SUMIFS('ON Data'!D:D,'ON Data'!$B:$B,$A$4,'ON Data'!$C:$C,9),SUMIFS('ON Data'!D:D,'ON Data'!$C:$C,9))</f>
        <v>7408</v>
      </c>
      <c r="C19" s="432">
        <f xml:space="preserve">
IF($A$4&lt;=12,SUMIFS('ON Data'!E:E,'ON Data'!$B:$B,$A$4,'ON Data'!$C:$C,9),SUMIFS('ON Data'!E:E,'ON Data'!$C:$C,9))</f>
        <v>0</v>
      </c>
      <c r="D19" s="433">
        <f xml:space="preserve">
IF($A$4&lt;=12,SUMIFS('ON Data'!F:F,'ON Data'!$B:$B,$A$4,'ON Data'!$C:$C,9),SUMIFS('ON Data'!F:F,'ON Data'!$C:$C,9))</f>
        <v>0</v>
      </c>
      <c r="E19" s="433">
        <f xml:space="preserve">
IF($A$4&lt;=12,SUMIFS('ON Data'!H:H,'ON Data'!$B:$B,$A$4,'ON Data'!$C:$C,9),SUMIFS('ON Data'!H:H,'ON Data'!$C:$C,9))</f>
        <v>0</v>
      </c>
      <c r="F19" s="433">
        <f xml:space="preserve">
IF($A$4&lt;=12,SUMIFS('ON Data'!I:I,'ON Data'!$B:$B,$A$4,'ON Data'!$C:$C,9),SUMIFS('ON Data'!I:I,'ON Data'!$C:$C,9))</f>
        <v>7408</v>
      </c>
      <c r="G19" s="433">
        <f xml:space="preserve">
IF($A$4&lt;=12,SUMIFS('ON Data'!J:J,'ON Data'!$B:$B,$A$4,'ON Data'!$C:$C,9),SUMIFS('ON Data'!J:J,'ON Data'!$C:$C,9))</f>
        <v>0</v>
      </c>
      <c r="H19" s="433">
        <f xml:space="preserve">
IF($A$4&lt;=12,SUMIFS('ON Data'!K:K,'ON Data'!$B:$B,$A$4,'ON Data'!$C:$C,9),SUMIFS('ON Data'!K:K,'ON Data'!$C:$C,9))</f>
        <v>0</v>
      </c>
      <c r="I19" s="433">
        <f xml:space="preserve">
IF($A$4&lt;=12,SUMIFS('ON Data'!L:L,'ON Data'!$B:$B,$A$4,'ON Data'!$C:$C,9),SUMIFS('ON Data'!L:L,'ON Data'!$C:$C,9))</f>
        <v>0</v>
      </c>
      <c r="J19" s="433">
        <f xml:space="preserve">
IF($A$4&lt;=12,SUMIFS('ON Data'!M:M,'ON Data'!$B:$B,$A$4,'ON Data'!$C:$C,9),SUMIFS('ON Data'!M:M,'ON Data'!$C:$C,9))</f>
        <v>0</v>
      </c>
      <c r="K19" s="433">
        <f xml:space="preserve">
IF($A$4&lt;=12,SUMIFS('ON Data'!N:N,'ON Data'!$B:$B,$A$4,'ON Data'!$C:$C,9),SUMIFS('ON Data'!N:N,'ON Data'!$C:$C,9))</f>
        <v>0</v>
      </c>
      <c r="L19" s="43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405" t="s">
        <v>97</v>
      </c>
      <c r="B20" s="435">
        <f xml:space="preserve">
IF($A$4&lt;=12,SUMIFS('ON Data'!D:D,'ON Data'!$B:$B,$A$4,'ON Data'!$C:$C,6),SUMIFS('ON Data'!D:D,'ON Data'!$C:$C,6))</f>
        <v>3769166</v>
      </c>
      <c r="C20" s="436">
        <f xml:space="preserve">
IF($A$4&lt;=12,SUMIFS('ON Data'!E:E,'ON Data'!$B:$B,$A$4,'ON Data'!$C:$C,6),SUMIFS('ON Data'!E:E,'ON Data'!$C:$C,6))</f>
        <v>20700</v>
      </c>
      <c r="D20" s="437">
        <f xml:space="preserve">
IF($A$4&lt;=12,SUMIFS('ON Data'!F:F,'ON Data'!$B:$B,$A$4,'ON Data'!$C:$C,6),SUMIFS('ON Data'!F:F,'ON Data'!$C:$C,6))</f>
        <v>1056605</v>
      </c>
      <c r="E20" s="437">
        <f xml:space="preserve">
IF($A$4&lt;=12,SUMIFS('ON Data'!H:H,'ON Data'!$B:$B,$A$4,'ON Data'!$C:$C,6),SUMIFS('ON Data'!H:H,'ON Data'!$C:$C,6))</f>
        <v>0</v>
      </c>
      <c r="F20" s="437">
        <f xml:space="preserve">
IF($A$4&lt;=12,SUMIFS('ON Data'!I:I,'ON Data'!$B:$B,$A$4,'ON Data'!$C:$C,6),SUMIFS('ON Data'!I:I,'ON Data'!$C:$C,6))</f>
        <v>2489130</v>
      </c>
      <c r="G20" s="437">
        <f xml:space="preserve">
IF($A$4&lt;=12,SUMIFS('ON Data'!J:J,'ON Data'!$B:$B,$A$4,'ON Data'!$C:$C,6),SUMIFS('ON Data'!J:J,'ON Data'!$C:$C,6))</f>
        <v>0</v>
      </c>
      <c r="H20" s="437">
        <f xml:space="preserve">
IF($A$4&lt;=12,SUMIFS('ON Data'!K:K,'ON Data'!$B:$B,$A$4,'ON Data'!$C:$C,6),SUMIFS('ON Data'!K:K,'ON Data'!$C:$C,6))</f>
        <v>0</v>
      </c>
      <c r="I20" s="437">
        <f xml:space="preserve">
IF($A$4&lt;=12,SUMIFS('ON Data'!L:L,'ON Data'!$B:$B,$A$4,'ON Data'!$C:$C,6),SUMIFS('ON Data'!L:L,'ON Data'!$C:$C,6))</f>
        <v>157168</v>
      </c>
      <c r="J20" s="437">
        <f xml:space="preserve">
IF($A$4&lt;=12,SUMIFS('ON Data'!M:M,'ON Data'!$B:$B,$A$4,'ON Data'!$C:$C,6),SUMIFS('ON Data'!M:M,'ON Data'!$C:$C,6))</f>
        <v>0</v>
      </c>
      <c r="K20" s="437">
        <f xml:space="preserve">
IF($A$4&lt;=12,SUMIFS('ON Data'!N:N,'ON Data'!$B:$B,$A$4,'ON Data'!$C:$C,6),SUMIFS('ON Data'!N:N,'ON Data'!$C:$C,6))</f>
        <v>45563</v>
      </c>
      <c r="L20" s="43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398" t="s">
        <v>135</v>
      </c>
      <c r="B21" s="419"/>
      <c r="C21" s="420"/>
      <c r="D21" s="421"/>
      <c r="E21" s="421"/>
      <c r="F21" s="421"/>
      <c r="G21" s="421"/>
      <c r="H21" s="421"/>
      <c r="I21" s="421"/>
      <c r="J21" s="421"/>
      <c r="K21" s="421"/>
      <c r="L21" s="422"/>
    </row>
    <row r="22" spans="1:12" ht="15" hidden="1" outlineLevel="1" thickBot="1" x14ac:dyDescent="0.35">
      <c r="A22" s="398" t="s">
        <v>99</v>
      </c>
      <c r="B22" s="419"/>
      <c r="C22" s="420"/>
      <c r="D22" s="421"/>
      <c r="E22" s="421"/>
      <c r="F22" s="421"/>
      <c r="G22" s="421"/>
      <c r="H22" s="421"/>
      <c r="I22" s="421"/>
      <c r="J22" s="421"/>
      <c r="K22" s="421"/>
      <c r="L22" s="422"/>
    </row>
    <row r="23" spans="1:12" ht="15" hidden="1" outlineLevel="1" thickBot="1" x14ac:dyDescent="0.35">
      <c r="A23" s="406" t="s">
        <v>72</v>
      </c>
      <c r="B23" s="423"/>
      <c r="C23" s="424"/>
      <c r="D23" s="425"/>
      <c r="E23" s="425"/>
      <c r="F23" s="425"/>
      <c r="G23" s="425"/>
      <c r="H23" s="425"/>
      <c r="I23" s="425"/>
      <c r="J23" s="425"/>
      <c r="K23" s="425"/>
      <c r="L23" s="426"/>
    </row>
    <row r="24" spans="1:12" x14ac:dyDescent="0.3">
      <c r="A24" s="400" t="s">
        <v>290</v>
      </c>
      <c r="B24" s="415"/>
      <c r="C24" s="416"/>
      <c r="D24" s="718" t="s">
        <v>272</v>
      </c>
      <c r="E24" s="527" t="s">
        <v>291</v>
      </c>
      <c r="F24" s="527"/>
      <c r="G24" s="527"/>
      <c r="H24" s="527"/>
      <c r="I24" s="417"/>
      <c r="J24" s="417"/>
      <c r="K24" s="417"/>
      <c r="L24" s="418"/>
    </row>
    <row r="25" spans="1:12" ht="15" collapsed="1" thickBot="1" x14ac:dyDescent="0.35">
      <c r="A25" s="401" t="s">
        <v>97</v>
      </c>
      <c r="B25" s="419">
        <f>SUM(D25:H25)</f>
        <v>0</v>
      </c>
      <c r="C25" s="439">
        <v>0</v>
      </c>
      <c r="D25" s="459">
        <v>0</v>
      </c>
      <c r="E25" s="526">
        <v>0</v>
      </c>
      <c r="F25" s="526"/>
      <c r="G25" s="526"/>
      <c r="H25" s="526"/>
      <c r="I25" s="421">
        <v>0</v>
      </c>
      <c r="J25" s="421">
        <v>0</v>
      </c>
      <c r="K25" s="421">
        <v>0</v>
      </c>
      <c r="L25" s="422">
        <v>0</v>
      </c>
    </row>
    <row r="26" spans="1:12" ht="14.4" hidden="1" customHeight="1" outlineLevel="1" x14ac:dyDescent="0.35">
      <c r="A26" s="407" t="s">
        <v>135</v>
      </c>
      <c r="B26" s="431">
        <f t="shared" ref="B26:B28" si="1">SUM(D26:H26)</f>
        <v>0</v>
      </c>
      <c r="C26" s="439">
        <v>0</v>
      </c>
      <c r="D26" s="459">
        <v>0</v>
      </c>
      <c r="E26" s="526">
        <v>0</v>
      </c>
      <c r="F26" s="526"/>
      <c r="G26" s="526"/>
      <c r="H26" s="526"/>
      <c r="I26" s="421">
        <v>0</v>
      </c>
      <c r="J26" s="421">
        <v>0</v>
      </c>
      <c r="K26" s="421">
        <v>0</v>
      </c>
      <c r="L26" s="422">
        <v>0</v>
      </c>
    </row>
    <row r="27" spans="1:12" ht="14.4" hidden="1" customHeight="1" outlineLevel="1" x14ac:dyDescent="0.35">
      <c r="A27" s="407" t="s">
        <v>99</v>
      </c>
      <c r="B27" s="431">
        <f t="shared" si="1"/>
        <v>0</v>
      </c>
      <c r="C27" s="439">
        <v>0</v>
      </c>
      <c r="D27" s="459">
        <v>0</v>
      </c>
      <c r="E27" s="526">
        <v>0</v>
      </c>
      <c r="F27" s="526"/>
      <c r="G27" s="526"/>
      <c r="H27" s="526"/>
      <c r="I27" s="421">
        <v>0</v>
      </c>
      <c r="J27" s="421">
        <v>0</v>
      </c>
      <c r="K27" s="421">
        <v>0</v>
      </c>
      <c r="L27" s="422">
        <v>0</v>
      </c>
    </row>
    <row r="28" spans="1:12" ht="15" hidden="1" customHeight="1" outlineLevel="1" thickBot="1" x14ac:dyDescent="0.35">
      <c r="A28" s="407" t="s">
        <v>72</v>
      </c>
      <c r="B28" s="431">
        <f t="shared" si="1"/>
        <v>0</v>
      </c>
      <c r="C28" s="440">
        <v>0</v>
      </c>
      <c r="D28" s="458">
        <v>0</v>
      </c>
      <c r="E28" s="521">
        <v>0</v>
      </c>
      <c r="F28" s="521"/>
      <c r="G28" s="521"/>
      <c r="H28" s="521"/>
      <c r="I28" s="425">
        <v>0</v>
      </c>
      <c r="J28" s="425">
        <v>0</v>
      </c>
      <c r="K28" s="425">
        <v>0</v>
      </c>
      <c r="L28" s="426">
        <v>0</v>
      </c>
    </row>
    <row r="29" spans="1:12" x14ac:dyDescent="0.3">
      <c r="A29" s="408"/>
      <c r="B29" s="408"/>
      <c r="C29" s="409"/>
      <c r="D29" s="408"/>
      <c r="E29" s="409"/>
      <c r="F29" s="408"/>
      <c r="G29" s="408"/>
      <c r="H29" s="408"/>
      <c r="I29" s="408"/>
      <c r="J29" s="408"/>
      <c r="K29" s="408"/>
      <c r="L29" s="408"/>
    </row>
    <row r="30" spans="1:12" x14ac:dyDescent="0.3">
      <c r="A30" s="232" t="s">
        <v>207</v>
      </c>
      <c r="B30" s="260"/>
      <c r="C30" s="260"/>
      <c r="D30" s="260"/>
      <c r="E30" s="260"/>
      <c r="F30" s="260"/>
      <c r="G30" s="260"/>
      <c r="H30" s="283"/>
      <c r="I30" s="283"/>
      <c r="J30" s="283"/>
      <c r="K30" s="283"/>
      <c r="L30" s="283"/>
    </row>
    <row r="31" spans="1:12" ht="14.4" customHeight="1" x14ac:dyDescent="0.3">
      <c r="A31" s="456" t="s">
        <v>296</v>
      </c>
      <c r="B31" s="457"/>
      <c r="C31" s="457"/>
      <c r="D31" s="457"/>
      <c r="E31" s="457"/>
      <c r="F31" s="457"/>
      <c r="G31" s="45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7"/>
  <sheetViews>
    <sheetView showGridLines="0" showRowColHeaders="0" workbookViewId="0"/>
  </sheetViews>
  <sheetFormatPr defaultRowHeight="14.4" x14ac:dyDescent="0.3"/>
  <cols>
    <col min="1" max="16384" width="8.88671875" style="385"/>
  </cols>
  <sheetData>
    <row r="1" spans="1:18" x14ac:dyDescent="0.3">
      <c r="A1" s="385" t="s">
        <v>1813</v>
      </c>
    </row>
    <row r="2" spans="1:18" x14ac:dyDescent="0.3">
      <c r="A2" s="389" t="s">
        <v>298</v>
      </c>
    </row>
    <row r="3" spans="1:18" x14ac:dyDescent="0.3">
      <c r="B3" s="386">
        <f>MAX(B5:B1048576)</f>
        <v>2</v>
      </c>
      <c r="D3" s="386">
        <f t="shared" ref="D3:G3" si="0">SUM(D5:D1048576)</f>
        <v>3792619.33</v>
      </c>
      <c r="E3" s="386">
        <f t="shared" si="0"/>
        <v>20756</v>
      </c>
      <c r="F3" s="386">
        <f t="shared" si="0"/>
        <v>1059177.2</v>
      </c>
      <c r="G3" s="386">
        <f t="shared" si="0"/>
        <v>0</v>
      </c>
      <c r="H3" s="386">
        <f t="shared" ref="H3:O3" si="1">SUM(H5:H1048576)</f>
        <v>0</v>
      </c>
      <c r="I3" s="386">
        <f t="shared" si="1"/>
        <v>2508352.13</v>
      </c>
      <c r="J3" s="386">
        <f t="shared" si="1"/>
        <v>0</v>
      </c>
      <c r="K3" s="386">
        <f t="shared" si="1"/>
        <v>0</v>
      </c>
      <c r="L3" s="386">
        <f t="shared" si="1"/>
        <v>158441</v>
      </c>
      <c r="M3" s="386">
        <f t="shared" si="1"/>
        <v>0</v>
      </c>
      <c r="N3" s="386">
        <f t="shared" si="1"/>
        <v>45893</v>
      </c>
      <c r="O3" s="386">
        <f t="shared" si="1"/>
        <v>0</v>
      </c>
      <c r="Q3" s="385" t="s">
        <v>257</v>
      </c>
      <c r="R3" s="412">
        <v>2014</v>
      </c>
    </row>
    <row r="4" spans="1:18" x14ac:dyDescent="0.3">
      <c r="A4" s="387" t="s">
        <v>8</v>
      </c>
      <c r="B4" s="388" t="s">
        <v>71</v>
      </c>
      <c r="C4" s="388" t="s">
        <v>245</v>
      </c>
      <c r="D4" s="388" t="s">
        <v>6</v>
      </c>
      <c r="E4" s="388" t="s">
        <v>246</v>
      </c>
      <c r="F4" s="388" t="s">
        <v>247</v>
      </c>
      <c r="G4" s="388" t="s">
        <v>248</v>
      </c>
      <c r="H4" s="388" t="s">
        <v>249</v>
      </c>
      <c r="I4" s="388" t="s">
        <v>250</v>
      </c>
      <c r="J4" s="388" t="s">
        <v>251</v>
      </c>
      <c r="K4" s="388" t="s">
        <v>252</v>
      </c>
      <c r="L4" s="388" t="s">
        <v>253</v>
      </c>
      <c r="M4" s="388" t="s">
        <v>254</v>
      </c>
      <c r="N4" s="388" t="s">
        <v>255</v>
      </c>
      <c r="O4" s="388" t="s">
        <v>256</v>
      </c>
      <c r="Q4" s="385" t="s">
        <v>258</v>
      </c>
      <c r="R4" s="412">
        <v>1</v>
      </c>
    </row>
    <row r="5" spans="1:18" x14ac:dyDescent="0.3">
      <c r="A5" s="385">
        <v>59</v>
      </c>
      <c r="B5" s="385">
        <v>1</v>
      </c>
      <c r="C5" s="385">
        <v>1</v>
      </c>
      <c r="D5" s="385">
        <v>53.1</v>
      </c>
      <c r="E5" s="385">
        <v>0</v>
      </c>
      <c r="F5" s="385">
        <v>7.6</v>
      </c>
      <c r="G5" s="385">
        <v>0</v>
      </c>
      <c r="H5" s="385">
        <v>0</v>
      </c>
      <c r="I5" s="385">
        <v>40.5</v>
      </c>
      <c r="J5" s="385">
        <v>0</v>
      </c>
      <c r="K5" s="385">
        <v>0</v>
      </c>
      <c r="L5" s="385">
        <v>4</v>
      </c>
      <c r="M5" s="385">
        <v>0</v>
      </c>
      <c r="N5" s="385">
        <v>1</v>
      </c>
      <c r="O5" s="385">
        <v>0</v>
      </c>
      <c r="Q5" s="385" t="s">
        <v>259</v>
      </c>
      <c r="R5" s="412">
        <v>2</v>
      </c>
    </row>
    <row r="6" spans="1:18" x14ac:dyDescent="0.3">
      <c r="A6" s="385">
        <v>59</v>
      </c>
      <c r="B6" s="385">
        <v>1</v>
      </c>
      <c r="C6" s="385">
        <v>2</v>
      </c>
      <c r="D6" s="385">
        <v>7880.25</v>
      </c>
      <c r="E6" s="385">
        <v>0</v>
      </c>
      <c r="F6" s="385">
        <v>1264</v>
      </c>
      <c r="G6" s="385">
        <v>0</v>
      </c>
      <c r="H6" s="385">
        <v>0</v>
      </c>
      <c r="I6" s="385">
        <v>5789.5</v>
      </c>
      <c r="J6" s="385">
        <v>0</v>
      </c>
      <c r="K6" s="385">
        <v>0</v>
      </c>
      <c r="L6" s="385">
        <v>658.75</v>
      </c>
      <c r="M6" s="385">
        <v>0</v>
      </c>
      <c r="N6" s="385">
        <v>168</v>
      </c>
      <c r="O6" s="385">
        <v>0</v>
      </c>
      <c r="Q6" s="385" t="s">
        <v>260</v>
      </c>
      <c r="R6" s="412">
        <v>3</v>
      </c>
    </row>
    <row r="7" spans="1:18" x14ac:dyDescent="0.3">
      <c r="A7" s="385">
        <v>59</v>
      </c>
      <c r="B7" s="385">
        <v>1</v>
      </c>
      <c r="C7" s="385">
        <v>3</v>
      </c>
      <c r="D7" s="385">
        <v>84</v>
      </c>
      <c r="E7" s="385">
        <v>0</v>
      </c>
      <c r="F7" s="385">
        <v>9</v>
      </c>
      <c r="G7" s="385">
        <v>0</v>
      </c>
      <c r="H7" s="385">
        <v>0</v>
      </c>
      <c r="I7" s="385">
        <v>75</v>
      </c>
      <c r="J7" s="385">
        <v>0</v>
      </c>
      <c r="K7" s="385">
        <v>0</v>
      </c>
      <c r="L7" s="385">
        <v>0</v>
      </c>
      <c r="M7" s="385">
        <v>0</v>
      </c>
      <c r="N7" s="385">
        <v>0</v>
      </c>
      <c r="O7" s="385">
        <v>0</v>
      </c>
      <c r="Q7" s="385" t="s">
        <v>261</v>
      </c>
      <c r="R7" s="412">
        <v>4</v>
      </c>
    </row>
    <row r="8" spans="1:18" x14ac:dyDescent="0.3">
      <c r="A8" s="385">
        <v>59</v>
      </c>
      <c r="B8" s="385">
        <v>1</v>
      </c>
      <c r="C8" s="385">
        <v>4</v>
      </c>
      <c r="D8" s="385">
        <v>254</v>
      </c>
      <c r="E8" s="385">
        <v>0</v>
      </c>
      <c r="F8" s="385">
        <v>86</v>
      </c>
      <c r="G8" s="385">
        <v>0</v>
      </c>
      <c r="H8" s="385">
        <v>0</v>
      </c>
      <c r="I8" s="385">
        <v>168</v>
      </c>
      <c r="J8" s="385">
        <v>0</v>
      </c>
      <c r="K8" s="385">
        <v>0</v>
      </c>
      <c r="L8" s="385">
        <v>0</v>
      </c>
      <c r="M8" s="385">
        <v>0</v>
      </c>
      <c r="N8" s="385">
        <v>0</v>
      </c>
      <c r="O8" s="385">
        <v>0</v>
      </c>
      <c r="Q8" s="385" t="s">
        <v>262</v>
      </c>
      <c r="R8" s="412">
        <v>5</v>
      </c>
    </row>
    <row r="9" spans="1:18" x14ac:dyDescent="0.3">
      <c r="A9" s="385">
        <v>59</v>
      </c>
      <c r="B9" s="385">
        <v>1</v>
      </c>
      <c r="C9" s="385">
        <v>5</v>
      </c>
      <c r="D9" s="385">
        <v>32</v>
      </c>
      <c r="E9" s="385">
        <v>32</v>
      </c>
      <c r="F9" s="385">
        <v>0</v>
      </c>
      <c r="G9" s="385">
        <v>0</v>
      </c>
      <c r="H9" s="385">
        <v>0</v>
      </c>
      <c r="I9" s="385">
        <v>0</v>
      </c>
      <c r="J9" s="385">
        <v>0</v>
      </c>
      <c r="K9" s="385">
        <v>0</v>
      </c>
      <c r="L9" s="385">
        <v>0</v>
      </c>
      <c r="M9" s="385">
        <v>0</v>
      </c>
      <c r="N9" s="385">
        <v>0</v>
      </c>
      <c r="O9" s="385">
        <v>0</v>
      </c>
      <c r="Q9" s="385" t="s">
        <v>263</v>
      </c>
      <c r="R9" s="412">
        <v>6</v>
      </c>
    </row>
    <row r="10" spans="1:18" x14ac:dyDescent="0.3">
      <c r="A10" s="385">
        <v>59</v>
      </c>
      <c r="B10" s="385">
        <v>1</v>
      </c>
      <c r="C10" s="385">
        <v>6</v>
      </c>
      <c r="D10" s="385">
        <v>1848711</v>
      </c>
      <c r="E10" s="385">
        <v>11800</v>
      </c>
      <c r="F10" s="385">
        <v>517084</v>
      </c>
      <c r="G10" s="385">
        <v>0</v>
      </c>
      <c r="H10" s="385">
        <v>0</v>
      </c>
      <c r="I10" s="385">
        <v>1220553</v>
      </c>
      <c r="J10" s="385">
        <v>0</v>
      </c>
      <c r="K10" s="385">
        <v>0</v>
      </c>
      <c r="L10" s="385">
        <v>76111</v>
      </c>
      <c r="M10" s="385">
        <v>0</v>
      </c>
      <c r="N10" s="385">
        <v>23163</v>
      </c>
      <c r="O10" s="385">
        <v>0</v>
      </c>
      <c r="Q10" s="385" t="s">
        <v>264</v>
      </c>
      <c r="R10" s="412">
        <v>7</v>
      </c>
    </row>
    <row r="11" spans="1:18" x14ac:dyDescent="0.3">
      <c r="A11" s="385">
        <v>59</v>
      </c>
      <c r="B11" s="385">
        <v>1</v>
      </c>
      <c r="C11" s="385">
        <v>9</v>
      </c>
      <c r="D11" s="385">
        <v>7408</v>
      </c>
      <c r="E11" s="385">
        <v>0</v>
      </c>
      <c r="F11" s="385">
        <v>0</v>
      </c>
      <c r="G11" s="385">
        <v>0</v>
      </c>
      <c r="H11" s="385">
        <v>0</v>
      </c>
      <c r="I11" s="385">
        <v>7408</v>
      </c>
      <c r="J11" s="385">
        <v>0</v>
      </c>
      <c r="K11" s="385">
        <v>0</v>
      </c>
      <c r="L11" s="385">
        <v>0</v>
      </c>
      <c r="M11" s="385">
        <v>0</v>
      </c>
      <c r="N11" s="385">
        <v>0</v>
      </c>
      <c r="O11" s="385">
        <v>0</v>
      </c>
      <c r="Q11" s="385" t="s">
        <v>265</v>
      </c>
      <c r="R11" s="412">
        <v>8</v>
      </c>
    </row>
    <row r="12" spans="1:18" x14ac:dyDescent="0.3">
      <c r="A12" s="385">
        <v>59</v>
      </c>
      <c r="B12" s="385">
        <v>2</v>
      </c>
      <c r="C12" s="385">
        <v>1</v>
      </c>
      <c r="D12" s="385">
        <v>53.1</v>
      </c>
      <c r="E12" s="385">
        <v>0</v>
      </c>
      <c r="F12" s="385">
        <v>7.6</v>
      </c>
      <c r="G12" s="385">
        <v>0</v>
      </c>
      <c r="H12" s="385">
        <v>0</v>
      </c>
      <c r="I12" s="385">
        <v>40.5</v>
      </c>
      <c r="J12" s="385">
        <v>0</v>
      </c>
      <c r="K12" s="385">
        <v>0</v>
      </c>
      <c r="L12" s="385">
        <v>4</v>
      </c>
      <c r="M12" s="385">
        <v>0</v>
      </c>
      <c r="N12" s="385">
        <v>1</v>
      </c>
      <c r="O12" s="385">
        <v>0</v>
      </c>
      <c r="Q12" s="385" t="s">
        <v>266</v>
      </c>
      <c r="R12" s="412">
        <v>9</v>
      </c>
    </row>
    <row r="13" spans="1:18" x14ac:dyDescent="0.3">
      <c r="A13" s="385">
        <v>59</v>
      </c>
      <c r="B13" s="385">
        <v>2</v>
      </c>
      <c r="C13" s="385">
        <v>2</v>
      </c>
      <c r="D13" s="385">
        <v>6796.88</v>
      </c>
      <c r="E13" s="385">
        <v>0</v>
      </c>
      <c r="F13" s="385">
        <v>1065</v>
      </c>
      <c r="G13" s="385">
        <v>0</v>
      </c>
      <c r="H13" s="385">
        <v>0</v>
      </c>
      <c r="I13" s="385">
        <v>4990.63</v>
      </c>
      <c r="J13" s="385">
        <v>0</v>
      </c>
      <c r="K13" s="385">
        <v>0</v>
      </c>
      <c r="L13" s="385">
        <v>581.25</v>
      </c>
      <c r="M13" s="385">
        <v>0</v>
      </c>
      <c r="N13" s="385">
        <v>160</v>
      </c>
      <c r="O13" s="385">
        <v>0</v>
      </c>
      <c r="Q13" s="385" t="s">
        <v>267</v>
      </c>
      <c r="R13" s="412">
        <v>10</v>
      </c>
    </row>
    <row r="14" spans="1:18" x14ac:dyDescent="0.3">
      <c r="A14" s="385">
        <v>59</v>
      </c>
      <c r="B14" s="385">
        <v>2</v>
      </c>
      <c r="C14" s="385">
        <v>3</v>
      </c>
      <c r="D14" s="385">
        <v>217</v>
      </c>
      <c r="E14" s="385">
        <v>0</v>
      </c>
      <c r="F14" s="385">
        <v>6</v>
      </c>
      <c r="G14" s="385">
        <v>0</v>
      </c>
      <c r="H14" s="385">
        <v>0</v>
      </c>
      <c r="I14" s="385">
        <v>211</v>
      </c>
      <c r="J14" s="385">
        <v>0</v>
      </c>
      <c r="K14" s="385">
        <v>0</v>
      </c>
      <c r="L14" s="385">
        <v>0</v>
      </c>
      <c r="M14" s="385">
        <v>0</v>
      </c>
      <c r="N14" s="385">
        <v>0</v>
      </c>
      <c r="O14" s="385">
        <v>0</v>
      </c>
      <c r="Q14" s="385" t="s">
        <v>268</v>
      </c>
      <c r="R14" s="412">
        <v>11</v>
      </c>
    </row>
    <row r="15" spans="1:18" x14ac:dyDescent="0.3">
      <c r="A15" s="385">
        <v>59</v>
      </c>
      <c r="B15" s="385">
        <v>2</v>
      </c>
      <c r="C15" s="385">
        <v>4</v>
      </c>
      <c r="D15" s="385">
        <v>651</v>
      </c>
      <c r="E15" s="385">
        <v>0</v>
      </c>
      <c r="F15" s="385">
        <v>127</v>
      </c>
      <c r="G15" s="385">
        <v>0</v>
      </c>
      <c r="H15" s="385">
        <v>0</v>
      </c>
      <c r="I15" s="385">
        <v>499</v>
      </c>
      <c r="J15" s="385">
        <v>0</v>
      </c>
      <c r="K15" s="385">
        <v>0</v>
      </c>
      <c r="L15" s="385">
        <v>25</v>
      </c>
      <c r="M15" s="385">
        <v>0</v>
      </c>
      <c r="N15" s="385">
        <v>0</v>
      </c>
      <c r="O15" s="385">
        <v>0</v>
      </c>
      <c r="Q15" s="385" t="s">
        <v>269</v>
      </c>
      <c r="R15" s="412">
        <v>12</v>
      </c>
    </row>
    <row r="16" spans="1:18" x14ac:dyDescent="0.3">
      <c r="A16" s="385">
        <v>59</v>
      </c>
      <c r="B16" s="385">
        <v>2</v>
      </c>
      <c r="C16" s="385">
        <v>5</v>
      </c>
      <c r="D16" s="385">
        <v>24</v>
      </c>
      <c r="E16" s="385">
        <v>24</v>
      </c>
      <c r="F16" s="385">
        <v>0</v>
      </c>
      <c r="G16" s="385">
        <v>0</v>
      </c>
      <c r="H16" s="385">
        <v>0</v>
      </c>
      <c r="I16" s="385">
        <v>0</v>
      </c>
      <c r="J16" s="385">
        <v>0</v>
      </c>
      <c r="K16" s="385">
        <v>0</v>
      </c>
      <c r="L16" s="385">
        <v>0</v>
      </c>
      <c r="M16" s="385">
        <v>0</v>
      </c>
      <c r="N16" s="385">
        <v>0</v>
      </c>
      <c r="O16" s="385">
        <v>0</v>
      </c>
      <c r="Q16" s="385" t="s">
        <v>257</v>
      </c>
      <c r="R16" s="412">
        <v>2014</v>
      </c>
    </row>
    <row r="17" spans="1:15" x14ac:dyDescent="0.3">
      <c r="A17" s="385">
        <v>59</v>
      </c>
      <c r="B17" s="385">
        <v>2</v>
      </c>
      <c r="C17" s="385">
        <v>6</v>
      </c>
      <c r="D17" s="385">
        <v>1920455</v>
      </c>
      <c r="E17" s="385">
        <v>8900</v>
      </c>
      <c r="F17" s="385">
        <v>539521</v>
      </c>
      <c r="G17" s="385">
        <v>0</v>
      </c>
      <c r="H17" s="385">
        <v>0</v>
      </c>
      <c r="I17" s="385">
        <v>1268577</v>
      </c>
      <c r="J17" s="385">
        <v>0</v>
      </c>
      <c r="K17" s="385">
        <v>0</v>
      </c>
      <c r="L17" s="385">
        <v>81057</v>
      </c>
      <c r="M17" s="385">
        <v>0</v>
      </c>
      <c r="N17" s="385">
        <v>22400</v>
      </c>
      <c r="O17" s="38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3" bestFit="1" customWidth="1"/>
    <col min="2" max="2" width="11.6640625" style="283" hidden="1" customWidth="1"/>
    <col min="3" max="4" width="11" style="285" customWidth="1"/>
    <col min="5" max="5" width="11" style="286" customWidth="1"/>
    <col min="6" max="16384" width="8.88671875" style="283"/>
  </cols>
  <sheetData>
    <row r="1" spans="1:5" ht="18.600000000000001" thickBot="1" x14ac:dyDescent="0.4">
      <c r="A1" s="464" t="s">
        <v>155</v>
      </c>
      <c r="B1" s="464"/>
      <c r="C1" s="465"/>
      <c r="D1" s="465"/>
      <c r="E1" s="465"/>
    </row>
    <row r="2" spans="1:5" ht="14.4" customHeight="1" thickBot="1" x14ac:dyDescent="0.35">
      <c r="A2" s="389" t="s">
        <v>298</v>
      </c>
      <c r="B2" s="284"/>
    </row>
    <row r="3" spans="1:5" ht="14.4" customHeight="1" thickBot="1" x14ac:dyDescent="0.35">
      <c r="A3" s="287"/>
      <c r="C3" s="288" t="s">
        <v>135</v>
      </c>
      <c r="D3" s="289" t="s">
        <v>97</v>
      </c>
      <c r="E3" s="290" t="s">
        <v>99</v>
      </c>
    </row>
    <row r="4" spans="1:5" ht="14.4" customHeight="1" thickBot="1" x14ac:dyDescent="0.35">
      <c r="A4" s="291" t="str">
        <f>HYPERLINK("#HI!A1","NÁKLADY CELKEM (v tisících Kč)")</f>
        <v>NÁKLADY CELKEM (v tisících Kč)</v>
      </c>
      <c r="B4" s="292"/>
      <c r="C4" s="293">
        <f ca="1">IF(ISERROR(VLOOKUP("Náklady celkem",INDIRECT("HI!$A:$G"),6,0)),0,VLOOKUP("Náklady celkem",INDIRECT("HI!$A:$G"),6,0))</f>
        <v>8805</v>
      </c>
      <c r="D4" s="293">
        <f ca="1">IF(ISERROR(VLOOKUP("Náklady celkem",INDIRECT("HI!$A:$G"),5,0)),0,VLOOKUP("Náklady celkem",INDIRECT("HI!$A:$G"),5,0))</f>
        <v>7642.5716300000204</v>
      </c>
      <c r="E4" s="294">
        <f ca="1">IF(C4=0,0,D4/C4)</f>
        <v>0.86798087791028056</v>
      </c>
    </row>
    <row r="5" spans="1:5" ht="14.4" customHeight="1" x14ac:dyDescent="0.3">
      <c r="A5" s="295" t="s">
        <v>199</v>
      </c>
      <c r="B5" s="296"/>
      <c r="C5" s="297"/>
      <c r="D5" s="297"/>
      <c r="E5" s="298"/>
    </row>
    <row r="6" spans="1:5" ht="14.4" customHeight="1" x14ac:dyDescent="0.3">
      <c r="A6" s="299" t="s">
        <v>204</v>
      </c>
      <c r="B6" s="300"/>
      <c r="C6" s="301"/>
      <c r="D6" s="301"/>
      <c r="E6" s="29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00" t="s">
        <v>140</v>
      </c>
      <c r="C7" s="301">
        <f>IF(ISERROR(HI!F5),"",HI!F5)</f>
        <v>1280</v>
      </c>
      <c r="D7" s="301">
        <f>IF(ISERROR(HI!E5),"",HI!E5)</f>
        <v>942.24918000000196</v>
      </c>
      <c r="E7" s="298">
        <f t="shared" ref="E7:E14" si="0">IF(C7=0,0,D7/C7)</f>
        <v>0.73613217187500157</v>
      </c>
    </row>
    <row r="8" spans="1:5" ht="14.4" customHeight="1" x14ac:dyDescent="0.3">
      <c r="A8" s="302" t="str">
        <f>HYPERLINK("#'LŽ PL'!A1","% plnění pozitivního listu")</f>
        <v>% plnění pozitivního listu</v>
      </c>
      <c r="B8" s="300" t="s">
        <v>191</v>
      </c>
      <c r="C8" s="303">
        <v>0.9</v>
      </c>
      <c r="D8" s="303">
        <f>IF(ISERROR(VLOOKUP("celkem",'LŽ PL'!$A:$F,5,0)),0,VLOOKUP("celkem",'LŽ PL'!$A:$F,5,0))</f>
        <v>0.94703541568231064</v>
      </c>
      <c r="E8" s="298">
        <f t="shared" si="0"/>
        <v>1.0522615729803451</v>
      </c>
    </row>
    <row r="9" spans="1:5" ht="14.4" customHeight="1" x14ac:dyDescent="0.3">
      <c r="A9" s="304" t="s">
        <v>200</v>
      </c>
      <c r="B9" s="300"/>
      <c r="C9" s="301"/>
      <c r="D9" s="301"/>
      <c r="E9" s="298"/>
    </row>
    <row r="10" spans="1:5" ht="14.4" customHeight="1" x14ac:dyDescent="0.3">
      <c r="A10" s="302" t="str">
        <f>HYPERLINK("#'Léky Recepty'!A1","% záchytu v lékárně (Úhrada Kč)")</f>
        <v>% záchytu v lékárně (Úhrada Kč)</v>
      </c>
      <c r="B10" s="300" t="s">
        <v>145</v>
      </c>
      <c r="C10" s="303">
        <v>0.6</v>
      </c>
      <c r="D10" s="303">
        <f>IF(ISERROR(VLOOKUP("Celkem",'Léky Recepty'!B:H,5,0)),0,VLOOKUP("Celkem",'Léky Recepty'!B:H,5,0))</f>
        <v>0.53130302561254317</v>
      </c>
      <c r="E10" s="298">
        <f t="shared" si="0"/>
        <v>0.88550504268757202</v>
      </c>
    </row>
    <row r="11" spans="1:5" ht="14.4" customHeight="1" x14ac:dyDescent="0.3">
      <c r="A11" s="302" t="str">
        <f>HYPERLINK("#'LRp PL'!A1","% plnění pozitivního listu")</f>
        <v>% plnění pozitivního listu</v>
      </c>
      <c r="B11" s="300" t="s">
        <v>192</v>
      </c>
      <c r="C11" s="303">
        <v>0.8</v>
      </c>
      <c r="D11" s="303">
        <f>IF(ISERROR(VLOOKUP("Celkem",'LRp PL'!A:F,5,0)),0,VLOOKUP("Celkem",'LRp PL'!A:F,5,0))</f>
        <v>0.99708129061206563</v>
      </c>
      <c r="E11" s="298">
        <f t="shared" si="0"/>
        <v>1.246351613265082</v>
      </c>
    </row>
    <row r="12" spans="1:5" ht="14.4" customHeight="1" x14ac:dyDescent="0.3">
      <c r="A12" s="304" t="s">
        <v>201</v>
      </c>
      <c r="B12" s="300"/>
      <c r="C12" s="301"/>
      <c r="D12" s="301"/>
      <c r="E12" s="298"/>
    </row>
    <row r="13" spans="1:5" ht="14.4" customHeight="1" x14ac:dyDescent="0.3">
      <c r="A13" s="305" t="s">
        <v>205</v>
      </c>
      <c r="B13" s="300"/>
      <c r="C13" s="297"/>
      <c r="D13" s="297"/>
      <c r="E13" s="298"/>
    </row>
    <row r="14" spans="1:5" ht="14.4" customHeight="1" x14ac:dyDescent="0.3">
      <c r="A14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00" t="s">
        <v>140</v>
      </c>
      <c r="C14" s="301">
        <f>IF(ISERROR(HI!F6),"",HI!F6)</f>
        <v>647</v>
      </c>
      <c r="D14" s="301">
        <f>IF(ISERROR(HI!E6),"",HI!E6)</f>
        <v>438.96865000000099</v>
      </c>
      <c r="E14" s="298">
        <f t="shared" si="0"/>
        <v>0.67846777434312366</v>
      </c>
    </row>
    <row r="15" spans="1:5" ht="14.4" customHeight="1" thickBot="1" x14ac:dyDescent="0.35">
      <c r="A15" s="307" t="str">
        <f>HYPERLINK("#HI!A1","Osobní náklady")</f>
        <v>Osobní náklady</v>
      </c>
      <c r="B15" s="300"/>
      <c r="C15" s="297">
        <f ca="1">IF(ISERROR(VLOOKUP("Osobní náklady (Kč)",INDIRECT("HI!$A:$G"),6,0)),0,VLOOKUP("Osobní náklady (Kč)",INDIRECT("HI!$A:$G"),6,0))</f>
        <v>0</v>
      </c>
      <c r="D15" s="297">
        <f ca="1">IF(ISERROR(VLOOKUP("Osobní náklady (Kč)",INDIRECT("HI!$A:$G"),5,0)),0,VLOOKUP("Osobní náklady (Kč)",INDIRECT("HI!$A:$G"),5,0))</f>
        <v>0</v>
      </c>
      <c r="E15" s="298">
        <f ca="1">IF(C15=0,0,D15/C15)</f>
        <v>0</v>
      </c>
    </row>
    <row r="16" spans="1:5" ht="14.4" customHeight="1" thickBot="1" x14ac:dyDescent="0.35">
      <c r="A16" s="311"/>
      <c r="B16" s="312"/>
      <c r="C16" s="313"/>
      <c r="D16" s="313"/>
      <c r="E16" s="314"/>
    </row>
    <row r="17" spans="1:5" ht="14.4" customHeight="1" thickBot="1" x14ac:dyDescent="0.35">
      <c r="A17" s="315" t="str">
        <f>HYPERLINK("#HI!A1","VÝNOSY CELKEM (v tisících)")</f>
        <v>VÝNOSY CELKEM (v tisících)</v>
      </c>
      <c r="B17" s="316"/>
      <c r="C17" s="317">
        <f ca="1">IF(ISERROR(VLOOKUP("Výnosy celkem",INDIRECT("HI!$A:$G"),6,0)),0,VLOOKUP("Výnosy celkem",INDIRECT("HI!$A:$G"),6,0))</f>
        <v>3223.8919999999998</v>
      </c>
      <c r="D17" s="317">
        <f ca="1">IF(ISERROR(VLOOKUP("Výnosy celkem",INDIRECT("HI!$A:$G"),5,0)),0,VLOOKUP("Výnosy celkem",INDIRECT("HI!$A:$G"),5,0))</f>
        <v>2026.4650000000001</v>
      </c>
      <c r="E17" s="318">
        <f t="shared" ref="E17:E27" ca="1" si="1">IF(C17=0,0,D17/C17)</f>
        <v>0.62857719799546641</v>
      </c>
    </row>
    <row r="18" spans="1:5" ht="14.4" customHeight="1" x14ac:dyDescent="0.3">
      <c r="A18" s="319" t="str">
        <f>HYPERLINK("#HI!A1","Ambulance (body za výkony + Kč za ZUM a ZULP)")</f>
        <v>Ambulance (body za výkony + Kč za ZUM a ZULP)</v>
      </c>
      <c r="B18" s="296"/>
      <c r="C18" s="297">
        <f ca="1">IF(ISERROR(VLOOKUP("Ambulance *",INDIRECT("HI!$A:$G"),6,0)),0,VLOOKUP("Ambulance *",INDIRECT("HI!$A:$G"),6,0))</f>
        <v>38.372</v>
      </c>
      <c r="D18" s="297">
        <f ca="1">IF(ISERROR(VLOOKUP("Ambulance *",INDIRECT("HI!$A:$G"),5,0)),0,VLOOKUP("Ambulance *",INDIRECT("HI!$A:$G"),5,0))</f>
        <v>6.8949999999999996</v>
      </c>
      <c r="E18" s="298">
        <f t="shared" ca="1" si="1"/>
        <v>0.17968831439591368</v>
      </c>
    </row>
    <row r="19" spans="1:5" ht="14.4" customHeight="1" x14ac:dyDescent="0.3">
      <c r="A19" s="320" t="str">
        <f>HYPERLINK("#'ZV Vykáz.-A'!A1","Zdravotní výkony vykázané u ambulantních pacientů (min. 100 %)")</f>
        <v>Zdravotní výkony vykázané u ambulantních pacientů (min. 100 %)</v>
      </c>
      <c r="B19" s="283" t="s">
        <v>157</v>
      </c>
      <c r="C19" s="303">
        <v>1</v>
      </c>
      <c r="D19" s="303">
        <f>IF(ISERROR(VLOOKUP("Celkem:",'ZV Vykáz.-A'!$A:$S,7,0)),"",VLOOKUP("Celkem:",'ZV Vykáz.-A'!$A:$S,7,0))</f>
        <v>0.17968831439591368</v>
      </c>
      <c r="E19" s="298">
        <f t="shared" si="1"/>
        <v>0.17968831439591368</v>
      </c>
    </row>
    <row r="20" spans="1:5" ht="14.4" customHeight="1" x14ac:dyDescent="0.3">
      <c r="A20" s="320" t="str">
        <f>HYPERLINK("#'ZV Vykáz.-H'!A1","Zdravotní výkony vykázané u hospitalizovaných pacientů (max. 85 %)")</f>
        <v>Zdravotní výkony vykázané u hospitalizovaných pacientů (max. 85 %)</v>
      </c>
      <c r="B20" s="283" t="s">
        <v>159</v>
      </c>
      <c r="C20" s="303">
        <v>0.85</v>
      </c>
      <c r="D20" s="303">
        <f>IF(ISERROR(VLOOKUP("Celkem:",'ZV Vykáz.-H'!$A:$S,7,0)),"",VLOOKUP("Celkem:",'ZV Vykáz.-H'!$A:$S,7,0))</f>
        <v>0.900491819772264</v>
      </c>
      <c r="E20" s="298">
        <f t="shared" si="1"/>
        <v>1.0594021409085459</v>
      </c>
    </row>
    <row r="21" spans="1:5" ht="14.4" customHeight="1" x14ac:dyDescent="0.3">
      <c r="A21" s="321" t="str">
        <f>HYPERLINK("#HI!A1","Hospitalizace (casemix * 30000)")</f>
        <v>Hospitalizace (casemix * 30000)</v>
      </c>
      <c r="B21" s="300"/>
      <c r="C21" s="297">
        <f ca="1">IF(ISERROR(VLOOKUP("Hospitalizace *",INDIRECT("HI!$A:$G"),6,0)),0,VLOOKUP("Hospitalizace *",INDIRECT("HI!$A:$G"),6,0))</f>
        <v>3185.52</v>
      </c>
      <c r="D21" s="297">
        <f ca="1">IF(ISERROR(VLOOKUP("Hospitalizace *",INDIRECT("HI!$A:$G"),5,0)),0,VLOOKUP("Hospitalizace *",INDIRECT("HI!$A:$G"),5,0))</f>
        <v>2019.5700000000002</v>
      </c>
      <c r="E21" s="298">
        <f ca="1">IF(C21=0,0,D21/C21)</f>
        <v>0.633984404430046</v>
      </c>
    </row>
    <row r="22" spans="1:5" ht="14.4" customHeight="1" x14ac:dyDescent="0.3">
      <c r="A22" s="320" t="str">
        <f>HYPERLINK("#'CaseMix'!A1","Casemix (min. 100 %)")</f>
        <v>Casemix (min. 100 %)</v>
      </c>
      <c r="B22" s="300" t="s">
        <v>74</v>
      </c>
      <c r="C22" s="303">
        <v>1</v>
      </c>
      <c r="D22" s="303">
        <f>IF(ISERROR(VLOOKUP("Celkem",CaseMix!A:M,5,0)),0,VLOOKUP("Celkem",CaseMix!A:M,5,0))</f>
        <v>0.633984404430046</v>
      </c>
      <c r="E22" s="298">
        <f t="shared" si="1"/>
        <v>0.633984404430046</v>
      </c>
    </row>
    <row r="23" spans="1:5" ht="14.4" customHeight="1" x14ac:dyDescent="0.3">
      <c r="A23" s="322" t="str">
        <f>HYPERLINK("#'CaseMix'!A1","DRG mimo vyjmenované baze")</f>
        <v>DRG mimo vyjmenované baze</v>
      </c>
      <c r="B23" s="300" t="s">
        <v>74</v>
      </c>
      <c r="C23" s="303">
        <v>1</v>
      </c>
      <c r="D23" s="303">
        <f>IF(ISERROR(CaseMix!E26),"",CaseMix!E26)</f>
        <v>0.633984404430046</v>
      </c>
      <c r="E23" s="298">
        <f t="shared" si="1"/>
        <v>0.633984404430046</v>
      </c>
    </row>
    <row r="24" spans="1:5" ht="14.4" customHeight="1" x14ac:dyDescent="0.3">
      <c r="A24" s="322" t="str">
        <f>HYPERLINK("#'CaseMix'!A1","Vyjmenované baze DRG")</f>
        <v>Vyjmenované baze DRG</v>
      </c>
      <c r="B24" s="300" t="s">
        <v>74</v>
      </c>
      <c r="C24" s="303">
        <v>1</v>
      </c>
      <c r="D24" s="303">
        <f>IF(ISERROR(CaseMix!E39),"",CaseMix!E39)</f>
        <v>0</v>
      </c>
      <c r="E24" s="298">
        <f t="shared" si="1"/>
        <v>0</v>
      </c>
    </row>
    <row r="25" spans="1:5" ht="14.4" customHeight="1" x14ac:dyDescent="0.3">
      <c r="A25" s="320" t="str">
        <f>HYPERLINK("#'CaseMix'!A1","Počet hospitalizací ukončených na pracovišti (min. 95 %)")</f>
        <v>Počet hospitalizací ukončených na pracovišti (min. 95 %)</v>
      </c>
      <c r="B25" s="300" t="s">
        <v>74</v>
      </c>
      <c r="C25" s="303">
        <v>0.95</v>
      </c>
      <c r="D25" s="303">
        <f>IF(ISERROR(CaseMix!I13),"",CaseMix!I13)</f>
        <v>1.5454545454545454</v>
      </c>
      <c r="E25" s="298">
        <f t="shared" si="1"/>
        <v>1.6267942583732058</v>
      </c>
    </row>
    <row r="26" spans="1:5" ht="14.4" customHeight="1" x14ac:dyDescent="0.3">
      <c r="A26" s="320" t="str">
        <f>HYPERLINK("#'ALOS'!A1","Průměrná délka hospitalizace (max. 100 % republikového průměru)")</f>
        <v>Průměrná délka hospitalizace (max. 100 % republikového průměru)</v>
      </c>
      <c r="B26" s="300" t="s">
        <v>89</v>
      </c>
      <c r="C26" s="303">
        <v>1</v>
      </c>
      <c r="D26" s="323">
        <f>IF(ISERROR(INDEX(ALOS!$E:$E,COUNT(ALOS!$E:$E)+32)),0,INDEX(ALOS!$E:$E,COUNT(ALOS!$E:$E)+32))</f>
        <v>0.40072665099380211</v>
      </c>
      <c r="E26" s="298">
        <f t="shared" si="1"/>
        <v>0.40072665099380211</v>
      </c>
    </row>
    <row r="27" spans="1:5" ht="27.6" x14ac:dyDescent="0.3">
      <c r="A27" s="324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300" t="s">
        <v>154</v>
      </c>
      <c r="C27" s="303">
        <f>IF(E22&gt;1,95%,95%-2*ABS(C22-D22))</f>
        <v>0.21796880886009196</v>
      </c>
      <c r="D27" s="303">
        <f>IF(ISERROR(VLOOKUP("Celkem:",'ZV Vyžád.'!$A:$M,7,0)),"",VLOOKUP("Celkem:",'ZV Vyžád.'!$A:$M,7,0))</f>
        <v>1.5379464938355831</v>
      </c>
      <c r="E27" s="298">
        <f t="shared" si="1"/>
        <v>7.0558099660155857</v>
      </c>
    </row>
    <row r="28" spans="1:5" ht="14.4" customHeight="1" thickBot="1" x14ac:dyDescent="0.35">
      <c r="A28" s="325" t="s">
        <v>202</v>
      </c>
      <c r="B28" s="308"/>
      <c r="C28" s="309"/>
      <c r="D28" s="309"/>
      <c r="E28" s="310"/>
    </row>
    <row r="29" spans="1:5" ht="14.4" customHeight="1" thickBot="1" x14ac:dyDescent="0.35">
      <c r="A29" s="326"/>
      <c r="B29" s="327"/>
      <c r="C29" s="328"/>
      <c r="D29" s="328"/>
      <c r="E29" s="329"/>
    </row>
    <row r="30" spans="1:5" ht="14.4" customHeight="1" thickBot="1" x14ac:dyDescent="0.35">
      <c r="A30" s="330" t="s">
        <v>203</v>
      </c>
      <c r="B30" s="331"/>
      <c r="C30" s="332"/>
      <c r="D30" s="332"/>
      <c r="E30" s="333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7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1" priority="16" operator="lessThan">
      <formula>1</formula>
    </cfRule>
  </conditionalFormatting>
  <conditionalFormatting sqref="E26:E27 E4 E7 E14 E20">
    <cfRule type="cellIs" dxfId="70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5.4414062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529" t="s">
        <v>1817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</row>
    <row r="2" spans="1:19" ht="14.4" customHeight="1" thickBot="1" x14ac:dyDescent="0.35">
      <c r="A2" s="389" t="s">
        <v>298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19" ht="14.4" customHeight="1" thickBot="1" x14ac:dyDescent="0.35">
      <c r="A3" s="356" t="s">
        <v>163</v>
      </c>
      <c r="B3" s="357">
        <f>SUBTOTAL(9,B6:B1048576)</f>
        <v>38372</v>
      </c>
      <c r="C3" s="358">
        <f t="shared" ref="C3:R3" si="0">SUBTOTAL(9,C6:C1048576)</f>
        <v>1</v>
      </c>
      <c r="D3" s="358">
        <f t="shared" si="0"/>
        <v>135188</v>
      </c>
      <c r="E3" s="358">
        <f t="shared" si="0"/>
        <v>3.5230897529448555</v>
      </c>
      <c r="F3" s="358">
        <f t="shared" si="0"/>
        <v>6895</v>
      </c>
      <c r="G3" s="359">
        <f>IF(B3&lt;&gt;0,F3/B3,"")</f>
        <v>0.17968831439591368</v>
      </c>
      <c r="H3" s="360">
        <f t="shared" si="0"/>
        <v>0</v>
      </c>
      <c r="I3" s="358">
        <f t="shared" si="0"/>
        <v>0</v>
      </c>
      <c r="J3" s="358">
        <f t="shared" si="0"/>
        <v>0</v>
      </c>
      <c r="K3" s="358">
        <f t="shared" si="0"/>
        <v>0</v>
      </c>
      <c r="L3" s="358">
        <f t="shared" si="0"/>
        <v>0</v>
      </c>
      <c r="M3" s="361" t="str">
        <f>IF(H3&lt;&gt;0,L3/H3,"")</f>
        <v/>
      </c>
      <c r="N3" s="357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30" t="s">
        <v>126</v>
      </c>
      <c r="B4" s="531" t="s">
        <v>127</v>
      </c>
      <c r="C4" s="532"/>
      <c r="D4" s="532"/>
      <c r="E4" s="532"/>
      <c r="F4" s="532"/>
      <c r="G4" s="533"/>
      <c r="H4" s="531" t="s">
        <v>128</v>
      </c>
      <c r="I4" s="532"/>
      <c r="J4" s="532"/>
      <c r="K4" s="532"/>
      <c r="L4" s="532"/>
      <c r="M4" s="533"/>
      <c r="N4" s="531" t="s">
        <v>129</v>
      </c>
      <c r="O4" s="532"/>
      <c r="P4" s="532"/>
      <c r="Q4" s="532"/>
      <c r="R4" s="532"/>
      <c r="S4" s="533"/>
    </row>
    <row r="5" spans="1:19" ht="14.4" customHeight="1" thickBot="1" x14ac:dyDescent="0.35">
      <c r="A5" s="719"/>
      <c r="B5" s="720">
        <v>2012</v>
      </c>
      <c r="C5" s="721"/>
      <c r="D5" s="721">
        <v>2013</v>
      </c>
      <c r="E5" s="721"/>
      <c r="F5" s="721">
        <v>2014</v>
      </c>
      <c r="G5" s="722" t="s">
        <v>5</v>
      </c>
      <c r="H5" s="720">
        <v>2012</v>
      </c>
      <c r="I5" s="721"/>
      <c r="J5" s="721">
        <v>2013</v>
      </c>
      <c r="K5" s="721"/>
      <c r="L5" s="721">
        <v>2014</v>
      </c>
      <c r="M5" s="722" t="s">
        <v>5</v>
      </c>
      <c r="N5" s="720">
        <v>2012</v>
      </c>
      <c r="O5" s="721"/>
      <c r="P5" s="721">
        <v>2013</v>
      </c>
      <c r="Q5" s="721"/>
      <c r="R5" s="721">
        <v>2014</v>
      </c>
      <c r="S5" s="722" t="s">
        <v>5</v>
      </c>
    </row>
    <row r="6" spans="1:19" ht="14.4" customHeight="1" thickBot="1" x14ac:dyDescent="0.35">
      <c r="A6" s="726" t="s">
        <v>1814</v>
      </c>
      <c r="B6" s="723">
        <v>38372</v>
      </c>
      <c r="C6" s="724">
        <v>1</v>
      </c>
      <c r="D6" s="723">
        <v>135188</v>
      </c>
      <c r="E6" s="724">
        <v>3.5230897529448555</v>
      </c>
      <c r="F6" s="723">
        <v>6895</v>
      </c>
      <c r="G6" s="653">
        <v>0.17968831439591368</v>
      </c>
      <c r="H6" s="723"/>
      <c r="I6" s="724"/>
      <c r="J6" s="723"/>
      <c r="K6" s="724"/>
      <c r="L6" s="723"/>
      <c r="M6" s="653"/>
      <c r="N6" s="723"/>
      <c r="O6" s="724"/>
      <c r="P6" s="723"/>
      <c r="Q6" s="724"/>
      <c r="R6" s="723"/>
      <c r="S6" s="725"/>
    </row>
    <row r="7" spans="1:19" ht="14.4" customHeight="1" x14ac:dyDescent="0.3">
      <c r="A7" s="727" t="s">
        <v>1815</v>
      </c>
    </row>
    <row r="8" spans="1:19" ht="14.4" customHeight="1" x14ac:dyDescent="0.3">
      <c r="A8" s="728" t="s">
        <v>239</v>
      </c>
    </row>
    <row r="9" spans="1:19" ht="14.4" customHeight="1" x14ac:dyDescent="0.3">
      <c r="A9" s="727" t="s">
        <v>1816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60" bestFit="1" customWidth="1"/>
    <col min="2" max="2" width="2.109375" style="260" bestFit="1" customWidth="1"/>
    <col min="3" max="3" width="8" style="260" bestFit="1" customWidth="1"/>
    <col min="4" max="4" width="50.88671875" style="260" bestFit="1" customWidth="1"/>
    <col min="5" max="6" width="11.109375" style="343" customWidth="1"/>
    <col min="7" max="8" width="9.33203125" style="260" hidden="1" customWidth="1"/>
    <col min="9" max="10" width="11.109375" style="343" customWidth="1"/>
    <col min="11" max="12" width="9.33203125" style="260" hidden="1" customWidth="1"/>
    <col min="13" max="14" width="11.109375" style="343" customWidth="1"/>
    <col min="15" max="15" width="11.109375" style="346" customWidth="1"/>
    <col min="16" max="16" width="11.109375" style="343" customWidth="1"/>
    <col min="17" max="16384" width="8.88671875" style="260"/>
  </cols>
  <sheetData>
    <row r="1" spans="1:16" ht="18.600000000000001" customHeight="1" thickBot="1" x14ac:dyDescent="0.4">
      <c r="A1" s="464" t="s">
        <v>1834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</row>
    <row r="2" spans="1:16" ht="14.4" customHeight="1" thickBot="1" x14ac:dyDescent="0.35">
      <c r="A2" s="389" t="s">
        <v>298</v>
      </c>
      <c r="B2" s="261"/>
      <c r="C2" s="261"/>
      <c r="D2" s="261"/>
      <c r="E2" s="364"/>
      <c r="F2" s="364"/>
      <c r="G2" s="261"/>
      <c r="H2" s="261"/>
      <c r="I2" s="364"/>
      <c r="J2" s="364"/>
      <c r="K2" s="261"/>
      <c r="L2" s="261"/>
      <c r="M2" s="364"/>
      <c r="N2" s="364"/>
      <c r="O2" s="365"/>
      <c r="P2" s="364"/>
    </row>
    <row r="3" spans="1:16" ht="14.4" customHeight="1" thickBot="1" x14ac:dyDescent="0.35">
      <c r="D3" s="112" t="s">
        <v>163</v>
      </c>
      <c r="E3" s="217">
        <f t="shared" ref="E3:N3" si="0">SUBTOTAL(9,E6:E1048576)</f>
        <v>201</v>
      </c>
      <c r="F3" s="218">
        <f t="shared" si="0"/>
        <v>38372</v>
      </c>
      <c r="G3" s="78"/>
      <c r="H3" s="78"/>
      <c r="I3" s="218">
        <f t="shared" si="0"/>
        <v>120</v>
      </c>
      <c r="J3" s="218">
        <f t="shared" si="0"/>
        <v>135188</v>
      </c>
      <c r="K3" s="78"/>
      <c r="L3" s="78"/>
      <c r="M3" s="218">
        <f t="shared" si="0"/>
        <v>33</v>
      </c>
      <c r="N3" s="218">
        <f t="shared" si="0"/>
        <v>6895</v>
      </c>
      <c r="O3" s="79">
        <f>IF(F3=0,0,N3/F3)</f>
        <v>0.17968831439591368</v>
      </c>
      <c r="P3" s="219">
        <f>IF(M3=0,0,N3/M3)</f>
        <v>208.93939393939394</v>
      </c>
    </row>
    <row r="4" spans="1:16" ht="14.4" customHeight="1" x14ac:dyDescent="0.3">
      <c r="A4" s="535" t="s">
        <v>122</v>
      </c>
      <c r="B4" s="536" t="s">
        <v>123</v>
      </c>
      <c r="C4" s="537" t="s">
        <v>124</v>
      </c>
      <c r="D4" s="538" t="s">
        <v>84</v>
      </c>
      <c r="E4" s="539">
        <v>2012</v>
      </c>
      <c r="F4" s="540"/>
      <c r="G4" s="216"/>
      <c r="H4" s="216"/>
      <c r="I4" s="539">
        <v>2013</v>
      </c>
      <c r="J4" s="540"/>
      <c r="K4" s="216"/>
      <c r="L4" s="216"/>
      <c r="M4" s="539">
        <v>2014</v>
      </c>
      <c r="N4" s="540"/>
      <c r="O4" s="541" t="s">
        <v>5</v>
      </c>
      <c r="P4" s="534" t="s">
        <v>125</v>
      </c>
    </row>
    <row r="5" spans="1:16" ht="14.4" customHeight="1" thickBot="1" x14ac:dyDescent="0.35">
      <c r="A5" s="729"/>
      <c r="B5" s="730"/>
      <c r="C5" s="731"/>
      <c r="D5" s="732"/>
      <c r="E5" s="733" t="s">
        <v>94</v>
      </c>
      <c r="F5" s="734" t="s">
        <v>17</v>
      </c>
      <c r="G5" s="735"/>
      <c r="H5" s="735"/>
      <c r="I5" s="733" t="s">
        <v>94</v>
      </c>
      <c r="J5" s="734" t="s">
        <v>17</v>
      </c>
      <c r="K5" s="735"/>
      <c r="L5" s="735"/>
      <c r="M5" s="733" t="s">
        <v>94</v>
      </c>
      <c r="N5" s="734" t="s">
        <v>17</v>
      </c>
      <c r="O5" s="736"/>
      <c r="P5" s="737"/>
    </row>
    <row r="6" spans="1:16" ht="14.4" customHeight="1" x14ac:dyDescent="0.3">
      <c r="A6" s="698" t="s">
        <v>1818</v>
      </c>
      <c r="B6" s="699" t="s">
        <v>1819</v>
      </c>
      <c r="C6" s="699" t="s">
        <v>1820</v>
      </c>
      <c r="D6" s="699" t="s">
        <v>1821</v>
      </c>
      <c r="E6" s="235">
        <v>31</v>
      </c>
      <c r="F6" s="235">
        <v>10292</v>
      </c>
      <c r="G6" s="699">
        <v>1</v>
      </c>
      <c r="H6" s="699">
        <v>332</v>
      </c>
      <c r="I6" s="235">
        <v>10</v>
      </c>
      <c r="J6" s="235">
        <v>3350</v>
      </c>
      <c r="K6" s="699">
        <v>0.32549553050913332</v>
      </c>
      <c r="L6" s="699">
        <v>335</v>
      </c>
      <c r="M6" s="235">
        <v>9</v>
      </c>
      <c r="N6" s="235">
        <v>3015</v>
      </c>
      <c r="O6" s="704">
        <v>0.29294597745821999</v>
      </c>
      <c r="P6" s="712">
        <v>335</v>
      </c>
    </row>
    <row r="7" spans="1:16" ht="14.4" customHeight="1" x14ac:dyDescent="0.3">
      <c r="A7" s="634" t="s">
        <v>1818</v>
      </c>
      <c r="B7" s="635" t="s">
        <v>1819</v>
      </c>
      <c r="C7" s="635" t="s">
        <v>1822</v>
      </c>
      <c r="D7" s="635" t="s">
        <v>1823</v>
      </c>
      <c r="E7" s="638">
        <v>12</v>
      </c>
      <c r="F7" s="638">
        <v>408</v>
      </c>
      <c r="G7" s="635">
        <v>1</v>
      </c>
      <c r="H7" s="635">
        <v>34</v>
      </c>
      <c r="I7" s="638">
        <v>2</v>
      </c>
      <c r="J7" s="638">
        <v>68</v>
      </c>
      <c r="K7" s="635">
        <v>0.16666666666666666</v>
      </c>
      <c r="L7" s="635">
        <v>34</v>
      </c>
      <c r="M7" s="638"/>
      <c r="N7" s="638"/>
      <c r="O7" s="660"/>
      <c r="P7" s="639"/>
    </row>
    <row r="8" spans="1:16" ht="14.4" customHeight="1" x14ac:dyDescent="0.3">
      <c r="A8" s="634" t="s">
        <v>1818</v>
      </c>
      <c r="B8" s="635" t="s">
        <v>1819</v>
      </c>
      <c r="C8" s="635" t="s">
        <v>1824</v>
      </c>
      <c r="D8" s="635" t="s">
        <v>1825</v>
      </c>
      <c r="E8" s="638">
        <v>79</v>
      </c>
      <c r="F8" s="638">
        <v>18249</v>
      </c>
      <c r="G8" s="635">
        <v>1</v>
      </c>
      <c r="H8" s="635">
        <v>231</v>
      </c>
      <c r="I8" s="638">
        <v>55</v>
      </c>
      <c r="J8" s="638">
        <v>12760</v>
      </c>
      <c r="K8" s="635">
        <v>0.69921639541892711</v>
      </c>
      <c r="L8" s="635">
        <v>232</v>
      </c>
      <c r="M8" s="638">
        <v>13</v>
      </c>
      <c r="N8" s="638">
        <v>3016</v>
      </c>
      <c r="O8" s="660">
        <v>0.16526932982629186</v>
      </c>
      <c r="P8" s="639">
        <v>232</v>
      </c>
    </row>
    <row r="9" spans="1:16" ht="14.4" customHeight="1" x14ac:dyDescent="0.3">
      <c r="A9" s="634" t="s">
        <v>1818</v>
      </c>
      <c r="B9" s="635" t="s">
        <v>1819</v>
      </c>
      <c r="C9" s="635" t="s">
        <v>1826</v>
      </c>
      <c r="D9" s="635" t="s">
        <v>1827</v>
      </c>
      <c r="E9" s="638">
        <v>22</v>
      </c>
      <c r="F9" s="638">
        <v>0</v>
      </c>
      <c r="G9" s="635"/>
      <c r="H9" s="635">
        <v>0</v>
      </c>
      <c r="I9" s="638">
        <v>13</v>
      </c>
      <c r="J9" s="638">
        <v>0</v>
      </c>
      <c r="K9" s="635"/>
      <c r="L9" s="635">
        <v>0</v>
      </c>
      <c r="M9" s="638">
        <v>2</v>
      </c>
      <c r="N9" s="638">
        <v>0</v>
      </c>
      <c r="O9" s="660"/>
      <c r="P9" s="639">
        <v>0</v>
      </c>
    </row>
    <row r="10" spans="1:16" ht="14.4" customHeight="1" x14ac:dyDescent="0.3">
      <c r="A10" s="634" t="s">
        <v>1818</v>
      </c>
      <c r="B10" s="635" t="s">
        <v>1819</v>
      </c>
      <c r="C10" s="635" t="s">
        <v>1828</v>
      </c>
      <c r="D10" s="635" t="s">
        <v>1829</v>
      </c>
      <c r="E10" s="638">
        <v>33</v>
      </c>
      <c r="F10" s="638">
        <v>3135</v>
      </c>
      <c r="G10" s="635">
        <v>1</v>
      </c>
      <c r="H10" s="635">
        <v>95</v>
      </c>
      <c r="I10" s="638">
        <v>7</v>
      </c>
      <c r="J10" s="638">
        <v>672</v>
      </c>
      <c r="K10" s="635">
        <v>0.21435406698564594</v>
      </c>
      <c r="L10" s="635">
        <v>96</v>
      </c>
      <c r="M10" s="638">
        <v>9</v>
      </c>
      <c r="N10" s="638">
        <v>864</v>
      </c>
      <c r="O10" s="660">
        <v>0.2755980861244019</v>
      </c>
      <c r="P10" s="639">
        <v>96</v>
      </c>
    </row>
    <row r="11" spans="1:16" ht="14.4" customHeight="1" x14ac:dyDescent="0.3">
      <c r="A11" s="634" t="s">
        <v>1818</v>
      </c>
      <c r="B11" s="635" t="s">
        <v>1819</v>
      </c>
      <c r="C11" s="635" t="s">
        <v>1830</v>
      </c>
      <c r="D11" s="635" t="s">
        <v>1831</v>
      </c>
      <c r="E11" s="638">
        <v>24</v>
      </c>
      <c r="F11" s="638">
        <v>6288</v>
      </c>
      <c r="G11" s="635">
        <v>1</v>
      </c>
      <c r="H11" s="635">
        <v>262</v>
      </c>
      <c r="I11" s="638"/>
      <c r="J11" s="638"/>
      <c r="K11" s="635"/>
      <c r="L11" s="635"/>
      <c r="M11" s="638"/>
      <c r="N11" s="638"/>
      <c r="O11" s="660"/>
      <c r="P11" s="639"/>
    </row>
    <row r="12" spans="1:16" ht="14.4" customHeight="1" thickBot="1" x14ac:dyDescent="0.35">
      <c r="A12" s="640" t="s">
        <v>1818</v>
      </c>
      <c r="B12" s="641" t="s">
        <v>1819</v>
      </c>
      <c r="C12" s="641" t="s">
        <v>1832</v>
      </c>
      <c r="D12" s="641" t="s">
        <v>1833</v>
      </c>
      <c r="E12" s="644"/>
      <c r="F12" s="644"/>
      <c r="G12" s="641"/>
      <c r="H12" s="641"/>
      <c r="I12" s="644">
        <v>33</v>
      </c>
      <c r="J12" s="644">
        <v>118338</v>
      </c>
      <c r="K12" s="641"/>
      <c r="L12" s="641">
        <v>3586</v>
      </c>
      <c r="M12" s="644"/>
      <c r="N12" s="644"/>
      <c r="O12" s="652"/>
      <c r="P12" s="645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0.10937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473" t="s">
        <v>161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</row>
    <row r="2" spans="1:19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  <c r="N2" s="362"/>
      <c r="O2" s="230"/>
      <c r="P2" s="362"/>
      <c r="Q2" s="230"/>
      <c r="R2" s="362"/>
      <c r="S2" s="363"/>
    </row>
    <row r="3" spans="1:19" ht="14.4" customHeight="1" thickBot="1" x14ac:dyDescent="0.35">
      <c r="A3" s="356" t="s">
        <v>163</v>
      </c>
      <c r="B3" s="357">
        <f>SUBTOTAL(9,B6:B1048576)</f>
        <v>5625638</v>
      </c>
      <c r="C3" s="358">
        <f t="shared" ref="C3:R3" si="0">SUBTOTAL(9,C6:C1048576)</f>
        <v>5</v>
      </c>
      <c r="D3" s="358">
        <f t="shared" si="0"/>
        <v>6483042</v>
      </c>
      <c r="E3" s="358">
        <f t="shared" si="0"/>
        <v>2.1566878940791767</v>
      </c>
      <c r="F3" s="358">
        <f t="shared" si="0"/>
        <v>5065841</v>
      </c>
      <c r="G3" s="361">
        <f>IF(B3&lt;&gt;0,F3/B3,"")</f>
        <v>0.900491819772264</v>
      </c>
      <c r="H3" s="357">
        <f t="shared" si="0"/>
        <v>726680.79999999981</v>
      </c>
      <c r="I3" s="358">
        <f t="shared" si="0"/>
        <v>1</v>
      </c>
      <c r="J3" s="358">
        <f t="shared" si="0"/>
        <v>800961.28999999992</v>
      </c>
      <c r="K3" s="358">
        <f t="shared" si="0"/>
        <v>1.1022188696880393</v>
      </c>
      <c r="L3" s="358">
        <f t="shared" si="0"/>
        <v>790912.78000000014</v>
      </c>
      <c r="M3" s="359">
        <f>IF(H3&lt;&gt;0,L3/H3,"")</f>
        <v>1.0883909138647951</v>
      </c>
      <c r="N3" s="360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30" t="s">
        <v>133</v>
      </c>
      <c r="B4" s="531" t="s">
        <v>127</v>
      </c>
      <c r="C4" s="532"/>
      <c r="D4" s="532"/>
      <c r="E4" s="532"/>
      <c r="F4" s="532"/>
      <c r="G4" s="533"/>
      <c r="H4" s="531" t="s">
        <v>128</v>
      </c>
      <c r="I4" s="532"/>
      <c r="J4" s="532"/>
      <c r="K4" s="532"/>
      <c r="L4" s="532"/>
      <c r="M4" s="533"/>
      <c r="N4" s="531" t="s">
        <v>129</v>
      </c>
      <c r="O4" s="532"/>
      <c r="P4" s="532"/>
      <c r="Q4" s="532"/>
      <c r="R4" s="532"/>
      <c r="S4" s="533"/>
    </row>
    <row r="5" spans="1:19" ht="14.4" customHeight="1" thickBot="1" x14ac:dyDescent="0.35">
      <c r="A5" s="719"/>
      <c r="B5" s="720">
        <v>2012</v>
      </c>
      <c r="C5" s="721"/>
      <c r="D5" s="721">
        <v>2013</v>
      </c>
      <c r="E5" s="721"/>
      <c r="F5" s="721">
        <v>2014</v>
      </c>
      <c r="G5" s="722" t="s">
        <v>5</v>
      </c>
      <c r="H5" s="720">
        <v>2012</v>
      </c>
      <c r="I5" s="721"/>
      <c r="J5" s="721">
        <v>2013</v>
      </c>
      <c r="K5" s="721"/>
      <c r="L5" s="721">
        <v>2014</v>
      </c>
      <c r="M5" s="722" t="s">
        <v>5</v>
      </c>
      <c r="N5" s="720">
        <v>2012</v>
      </c>
      <c r="O5" s="721"/>
      <c r="P5" s="721">
        <v>2013</v>
      </c>
      <c r="Q5" s="721"/>
      <c r="R5" s="721">
        <v>2014</v>
      </c>
      <c r="S5" s="722" t="s">
        <v>5</v>
      </c>
    </row>
    <row r="6" spans="1:19" ht="14.4" customHeight="1" x14ac:dyDescent="0.3">
      <c r="A6" s="713" t="s">
        <v>1835</v>
      </c>
      <c r="B6" s="738">
        <v>231</v>
      </c>
      <c r="C6" s="699">
        <v>1</v>
      </c>
      <c r="D6" s="738"/>
      <c r="E6" s="699"/>
      <c r="F6" s="738"/>
      <c r="G6" s="704"/>
      <c r="H6" s="738"/>
      <c r="I6" s="699"/>
      <c r="J6" s="738"/>
      <c r="K6" s="699"/>
      <c r="L6" s="738"/>
      <c r="M6" s="704"/>
      <c r="N6" s="738"/>
      <c r="O6" s="699"/>
      <c r="P6" s="738"/>
      <c r="Q6" s="699"/>
      <c r="R6" s="738"/>
      <c r="S6" s="241"/>
    </row>
    <row r="7" spans="1:19" ht="14.4" customHeight="1" x14ac:dyDescent="0.3">
      <c r="A7" s="665" t="s">
        <v>1836</v>
      </c>
      <c r="B7" s="739"/>
      <c r="C7" s="635"/>
      <c r="D7" s="739">
        <v>928</v>
      </c>
      <c r="E7" s="635"/>
      <c r="F7" s="739"/>
      <c r="G7" s="660"/>
      <c r="H7" s="739"/>
      <c r="I7" s="635"/>
      <c r="J7" s="739"/>
      <c r="K7" s="635"/>
      <c r="L7" s="739"/>
      <c r="M7" s="660"/>
      <c r="N7" s="739"/>
      <c r="O7" s="635"/>
      <c r="P7" s="739"/>
      <c r="Q7" s="635"/>
      <c r="R7" s="739"/>
      <c r="S7" s="685"/>
    </row>
    <row r="8" spans="1:19" ht="14.4" customHeight="1" x14ac:dyDescent="0.3">
      <c r="A8" s="665" t="s">
        <v>1837</v>
      </c>
      <c r="B8" s="739"/>
      <c r="C8" s="635"/>
      <c r="D8" s="739">
        <v>232</v>
      </c>
      <c r="E8" s="635"/>
      <c r="F8" s="739"/>
      <c r="G8" s="660"/>
      <c r="H8" s="739"/>
      <c r="I8" s="635"/>
      <c r="J8" s="739"/>
      <c r="K8" s="635"/>
      <c r="L8" s="739"/>
      <c r="M8" s="660"/>
      <c r="N8" s="739"/>
      <c r="O8" s="635"/>
      <c r="P8" s="739"/>
      <c r="Q8" s="635"/>
      <c r="R8" s="739"/>
      <c r="S8" s="685"/>
    </row>
    <row r="9" spans="1:19" ht="14.4" customHeight="1" x14ac:dyDescent="0.3">
      <c r="A9" s="665" t="s">
        <v>1838</v>
      </c>
      <c r="B9" s="739">
        <v>462</v>
      </c>
      <c r="C9" s="635">
        <v>1</v>
      </c>
      <c r="D9" s="739"/>
      <c r="E9" s="635"/>
      <c r="F9" s="739">
        <v>232</v>
      </c>
      <c r="G9" s="660">
        <v>0.50216450216450215</v>
      </c>
      <c r="H9" s="739"/>
      <c r="I9" s="635"/>
      <c r="J9" s="739"/>
      <c r="K9" s="635"/>
      <c r="L9" s="739"/>
      <c r="M9" s="660"/>
      <c r="N9" s="739"/>
      <c r="O9" s="635"/>
      <c r="P9" s="739"/>
      <c r="Q9" s="635"/>
      <c r="R9" s="739"/>
      <c r="S9" s="685"/>
    </row>
    <row r="10" spans="1:19" ht="14.4" customHeight="1" x14ac:dyDescent="0.3">
      <c r="A10" s="665" t="s">
        <v>1839</v>
      </c>
      <c r="B10" s="739">
        <v>34</v>
      </c>
      <c r="C10" s="635">
        <v>1</v>
      </c>
      <c r="D10" s="739"/>
      <c r="E10" s="635"/>
      <c r="F10" s="739"/>
      <c r="G10" s="660"/>
      <c r="H10" s="739"/>
      <c r="I10" s="635"/>
      <c r="J10" s="739"/>
      <c r="K10" s="635"/>
      <c r="L10" s="739"/>
      <c r="M10" s="660"/>
      <c r="N10" s="739"/>
      <c r="O10" s="635"/>
      <c r="P10" s="739"/>
      <c r="Q10" s="635"/>
      <c r="R10" s="739"/>
      <c r="S10" s="685"/>
    </row>
    <row r="11" spans="1:19" ht="14.4" customHeight="1" x14ac:dyDescent="0.3">
      <c r="A11" s="665" t="s">
        <v>1840</v>
      </c>
      <c r="B11" s="739"/>
      <c r="C11" s="635"/>
      <c r="D11" s="739"/>
      <c r="E11" s="635"/>
      <c r="F11" s="739">
        <v>232</v>
      </c>
      <c r="G11" s="660"/>
      <c r="H11" s="739"/>
      <c r="I11" s="635"/>
      <c r="J11" s="739"/>
      <c r="K11" s="635"/>
      <c r="L11" s="739"/>
      <c r="M11" s="660"/>
      <c r="N11" s="739"/>
      <c r="O11" s="635"/>
      <c r="P11" s="739"/>
      <c r="Q11" s="635"/>
      <c r="R11" s="739"/>
      <c r="S11" s="685"/>
    </row>
    <row r="12" spans="1:19" ht="14.4" customHeight="1" x14ac:dyDescent="0.3">
      <c r="A12" s="665" t="s">
        <v>1841</v>
      </c>
      <c r="B12" s="739">
        <v>231</v>
      </c>
      <c r="C12" s="635">
        <v>1</v>
      </c>
      <c r="D12" s="739">
        <v>232</v>
      </c>
      <c r="E12" s="635">
        <v>1.0043290043290043</v>
      </c>
      <c r="F12" s="739"/>
      <c r="G12" s="660"/>
      <c r="H12" s="739"/>
      <c r="I12" s="635"/>
      <c r="J12" s="739"/>
      <c r="K12" s="635"/>
      <c r="L12" s="739"/>
      <c r="M12" s="660"/>
      <c r="N12" s="739"/>
      <c r="O12" s="635"/>
      <c r="P12" s="739"/>
      <c r="Q12" s="635"/>
      <c r="R12" s="739"/>
      <c r="S12" s="685"/>
    </row>
    <row r="13" spans="1:19" ht="14.4" customHeight="1" thickBot="1" x14ac:dyDescent="0.35">
      <c r="A13" s="741" t="s">
        <v>1842</v>
      </c>
      <c r="B13" s="740">
        <v>5624680</v>
      </c>
      <c r="C13" s="641">
        <v>1</v>
      </c>
      <c r="D13" s="740">
        <v>6481650</v>
      </c>
      <c r="E13" s="641">
        <v>1.1523588897501724</v>
      </c>
      <c r="F13" s="740">
        <v>5065377</v>
      </c>
      <c r="G13" s="652">
        <v>0.90056269867796923</v>
      </c>
      <c r="H13" s="740">
        <v>726680.79999999981</v>
      </c>
      <c r="I13" s="641">
        <v>1</v>
      </c>
      <c r="J13" s="740">
        <v>800961.28999999992</v>
      </c>
      <c r="K13" s="641">
        <v>1.1022188696880393</v>
      </c>
      <c r="L13" s="740">
        <v>790912.78000000014</v>
      </c>
      <c r="M13" s="652">
        <v>1.0883909138647951</v>
      </c>
      <c r="N13" s="740"/>
      <c r="O13" s="641"/>
      <c r="P13" s="740"/>
      <c r="Q13" s="641"/>
      <c r="R13" s="740"/>
      <c r="S13" s="6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64" t="s">
        <v>2173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ht="14.4" customHeight="1" thickBot="1" x14ac:dyDescent="0.35">
      <c r="A2" s="389" t="s">
        <v>298</v>
      </c>
      <c r="B2" s="261"/>
      <c r="C2" s="261"/>
      <c r="D2" s="261"/>
      <c r="E2" s="261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5"/>
      <c r="Q2" s="364"/>
    </row>
    <row r="3" spans="1:17" ht="14.4" customHeight="1" thickBot="1" x14ac:dyDescent="0.35">
      <c r="E3" s="112" t="s">
        <v>163</v>
      </c>
      <c r="F3" s="217">
        <f t="shared" ref="F3:O3" si="0">SUBTOTAL(9,F6:F1048576)</f>
        <v>2065.59</v>
      </c>
      <c r="G3" s="218">
        <f t="shared" si="0"/>
        <v>6352318.7999999998</v>
      </c>
      <c r="H3" s="218"/>
      <c r="I3" s="218"/>
      <c r="J3" s="218">
        <f t="shared" si="0"/>
        <v>2684.37</v>
      </c>
      <c r="K3" s="218">
        <f t="shared" si="0"/>
        <v>7284003.29</v>
      </c>
      <c r="L3" s="218"/>
      <c r="M3" s="218"/>
      <c r="N3" s="218">
        <f t="shared" si="0"/>
        <v>1970.79</v>
      </c>
      <c r="O3" s="218">
        <f t="shared" si="0"/>
        <v>5856753.7800000003</v>
      </c>
      <c r="P3" s="79">
        <f>IF(G3=0,0,O3/G3)</f>
        <v>0.92198675230216731</v>
      </c>
      <c r="Q3" s="219">
        <f>IF(N3=0,0,O3/N3)</f>
        <v>2971.7797330004719</v>
      </c>
    </row>
    <row r="4" spans="1:17" ht="14.4" customHeight="1" x14ac:dyDescent="0.3">
      <c r="A4" s="536" t="s">
        <v>77</v>
      </c>
      <c r="B4" s="535" t="s">
        <v>122</v>
      </c>
      <c r="C4" s="536" t="s">
        <v>123</v>
      </c>
      <c r="D4" s="537" t="s">
        <v>124</v>
      </c>
      <c r="E4" s="538" t="s">
        <v>84</v>
      </c>
      <c r="F4" s="542">
        <v>2012</v>
      </c>
      <c r="G4" s="543"/>
      <c r="H4" s="220"/>
      <c r="I4" s="220"/>
      <c r="J4" s="542">
        <v>2013</v>
      </c>
      <c r="K4" s="543"/>
      <c r="L4" s="220"/>
      <c r="M4" s="220"/>
      <c r="N4" s="542">
        <v>2014</v>
      </c>
      <c r="O4" s="543"/>
      <c r="P4" s="544" t="s">
        <v>5</v>
      </c>
      <c r="Q4" s="534" t="s">
        <v>125</v>
      </c>
    </row>
    <row r="5" spans="1:17" ht="14.4" customHeight="1" thickBot="1" x14ac:dyDescent="0.35">
      <c r="A5" s="730"/>
      <c r="B5" s="729"/>
      <c r="C5" s="730"/>
      <c r="D5" s="731"/>
      <c r="E5" s="732"/>
      <c r="F5" s="742" t="s">
        <v>94</v>
      </c>
      <c r="G5" s="743" t="s">
        <v>17</v>
      </c>
      <c r="H5" s="744"/>
      <c r="I5" s="744"/>
      <c r="J5" s="742" t="s">
        <v>94</v>
      </c>
      <c r="K5" s="743" t="s">
        <v>17</v>
      </c>
      <c r="L5" s="744"/>
      <c r="M5" s="744"/>
      <c r="N5" s="742" t="s">
        <v>94</v>
      </c>
      <c r="O5" s="743" t="s">
        <v>17</v>
      </c>
      <c r="P5" s="745"/>
      <c r="Q5" s="737"/>
    </row>
    <row r="6" spans="1:17" ht="14.4" customHeight="1" x14ac:dyDescent="0.3">
      <c r="A6" s="698" t="s">
        <v>1843</v>
      </c>
      <c r="B6" s="699" t="s">
        <v>1818</v>
      </c>
      <c r="C6" s="699" t="s">
        <v>1819</v>
      </c>
      <c r="D6" s="699" t="s">
        <v>1824</v>
      </c>
      <c r="E6" s="699" t="s">
        <v>1825</v>
      </c>
      <c r="F6" s="235">
        <v>1</v>
      </c>
      <c r="G6" s="235">
        <v>231</v>
      </c>
      <c r="H6" s="235">
        <v>1</v>
      </c>
      <c r="I6" s="235">
        <v>231</v>
      </c>
      <c r="J6" s="235"/>
      <c r="K6" s="235"/>
      <c r="L6" s="235"/>
      <c r="M6" s="235"/>
      <c r="N6" s="235"/>
      <c r="O6" s="235"/>
      <c r="P6" s="704"/>
      <c r="Q6" s="712"/>
    </row>
    <row r="7" spans="1:17" ht="14.4" customHeight="1" x14ac:dyDescent="0.3">
      <c r="A7" s="634" t="s">
        <v>1844</v>
      </c>
      <c r="B7" s="635" t="s">
        <v>1818</v>
      </c>
      <c r="C7" s="635" t="s">
        <v>1819</v>
      </c>
      <c r="D7" s="635" t="s">
        <v>1824</v>
      </c>
      <c r="E7" s="635" t="s">
        <v>1825</v>
      </c>
      <c r="F7" s="638"/>
      <c r="G7" s="638"/>
      <c r="H7" s="638"/>
      <c r="I7" s="638"/>
      <c r="J7" s="638">
        <v>4</v>
      </c>
      <c r="K7" s="638">
        <v>928</v>
      </c>
      <c r="L7" s="638"/>
      <c r="M7" s="638">
        <v>232</v>
      </c>
      <c r="N7" s="638"/>
      <c r="O7" s="638"/>
      <c r="P7" s="660"/>
      <c r="Q7" s="639"/>
    </row>
    <row r="8" spans="1:17" ht="14.4" customHeight="1" x14ac:dyDescent="0.3">
      <c r="A8" s="634" t="s">
        <v>1845</v>
      </c>
      <c r="B8" s="635" t="s">
        <v>1818</v>
      </c>
      <c r="C8" s="635" t="s">
        <v>1819</v>
      </c>
      <c r="D8" s="635" t="s">
        <v>1824</v>
      </c>
      <c r="E8" s="635" t="s">
        <v>1825</v>
      </c>
      <c r="F8" s="638"/>
      <c r="G8" s="638"/>
      <c r="H8" s="638"/>
      <c r="I8" s="638"/>
      <c r="J8" s="638">
        <v>1</v>
      </c>
      <c r="K8" s="638">
        <v>232</v>
      </c>
      <c r="L8" s="638"/>
      <c r="M8" s="638">
        <v>232</v>
      </c>
      <c r="N8" s="638"/>
      <c r="O8" s="638"/>
      <c r="P8" s="660"/>
      <c r="Q8" s="639"/>
    </row>
    <row r="9" spans="1:17" ht="14.4" customHeight="1" x14ac:dyDescent="0.3">
      <c r="A9" s="634" t="s">
        <v>1846</v>
      </c>
      <c r="B9" s="635" t="s">
        <v>1818</v>
      </c>
      <c r="C9" s="635" t="s">
        <v>1819</v>
      </c>
      <c r="D9" s="635" t="s">
        <v>1824</v>
      </c>
      <c r="E9" s="635" t="s">
        <v>1825</v>
      </c>
      <c r="F9" s="638">
        <v>2</v>
      </c>
      <c r="G9" s="638">
        <v>462</v>
      </c>
      <c r="H9" s="638">
        <v>1</v>
      </c>
      <c r="I9" s="638">
        <v>231</v>
      </c>
      <c r="J9" s="638"/>
      <c r="K9" s="638"/>
      <c r="L9" s="638"/>
      <c r="M9" s="638"/>
      <c r="N9" s="638">
        <v>1</v>
      </c>
      <c r="O9" s="638">
        <v>232</v>
      </c>
      <c r="P9" s="660">
        <v>0.50216450216450215</v>
      </c>
      <c r="Q9" s="639">
        <v>232</v>
      </c>
    </row>
    <row r="10" spans="1:17" ht="14.4" customHeight="1" x14ac:dyDescent="0.3">
      <c r="A10" s="634" t="s">
        <v>1847</v>
      </c>
      <c r="B10" s="635" t="s">
        <v>1818</v>
      </c>
      <c r="C10" s="635" t="s">
        <v>1819</v>
      </c>
      <c r="D10" s="635" t="s">
        <v>1822</v>
      </c>
      <c r="E10" s="635" t="s">
        <v>1823</v>
      </c>
      <c r="F10" s="638">
        <v>1</v>
      </c>
      <c r="G10" s="638">
        <v>34</v>
      </c>
      <c r="H10" s="638">
        <v>1</v>
      </c>
      <c r="I10" s="638">
        <v>34</v>
      </c>
      <c r="J10" s="638"/>
      <c r="K10" s="638"/>
      <c r="L10" s="638"/>
      <c r="M10" s="638"/>
      <c r="N10" s="638"/>
      <c r="O10" s="638"/>
      <c r="P10" s="660"/>
      <c r="Q10" s="639"/>
    </row>
    <row r="11" spans="1:17" ht="14.4" customHeight="1" x14ac:dyDescent="0.3">
      <c r="A11" s="634" t="s">
        <v>1848</v>
      </c>
      <c r="B11" s="635" t="s">
        <v>1818</v>
      </c>
      <c r="C11" s="635" t="s">
        <v>1819</v>
      </c>
      <c r="D11" s="635" t="s">
        <v>1824</v>
      </c>
      <c r="E11" s="635" t="s">
        <v>1825</v>
      </c>
      <c r="F11" s="638"/>
      <c r="G11" s="638"/>
      <c r="H11" s="638"/>
      <c r="I11" s="638"/>
      <c r="J11" s="638"/>
      <c r="K11" s="638"/>
      <c r="L11" s="638"/>
      <c r="M11" s="638"/>
      <c r="N11" s="638">
        <v>1</v>
      </c>
      <c r="O11" s="638">
        <v>232</v>
      </c>
      <c r="P11" s="660"/>
      <c r="Q11" s="639">
        <v>232</v>
      </c>
    </row>
    <row r="12" spans="1:17" ht="14.4" customHeight="1" x14ac:dyDescent="0.3">
      <c r="A12" s="634" t="s">
        <v>1849</v>
      </c>
      <c r="B12" s="635" t="s">
        <v>1818</v>
      </c>
      <c r="C12" s="635" t="s">
        <v>1819</v>
      </c>
      <c r="D12" s="635" t="s">
        <v>1824</v>
      </c>
      <c r="E12" s="635" t="s">
        <v>1825</v>
      </c>
      <c r="F12" s="638">
        <v>1</v>
      </c>
      <c r="G12" s="638">
        <v>231</v>
      </c>
      <c r="H12" s="638">
        <v>1</v>
      </c>
      <c r="I12" s="638">
        <v>231</v>
      </c>
      <c r="J12" s="638">
        <v>1</v>
      </c>
      <c r="K12" s="638">
        <v>232</v>
      </c>
      <c r="L12" s="638">
        <v>1.0043290043290043</v>
      </c>
      <c r="M12" s="638">
        <v>232</v>
      </c>
      <c r="N12" s="638"/>
      <c r="O12" s="638"/>
      <c r="P12" s="660"/>
      <c r="Q12" s="639"/>
    </row>
    <row r="13" spans="1:17" ht="14.4" customHeight="1" x14ac:dyDescent="0.3">
      <c r="A13" s="634" t="s">
        <v>487</v>
      </c>
      <c r="B13" s="635" t="s">
        <v>1850</v>
      </c>
      <c r="C13" s="635" t="s">
        <v>1819</v>
      </c>
      <c r="D13" s="635" t="s">
        <v>1851</v>
      </c>
      <c r="E13" s="635" t="s">
        <v>1852</v>
      </c>
      <c r="F13" s="638">
        <v>2</v>
      </c>
      <c r="G13" s="638">
        <v>5342</v>
      </c>
      <c r="H13" s="638">
        <v>1</v>
      </c>
      <c r="I13" s="638">
        <v>2671</v>
      </c>
      <c r="J13" s="638">
        <v>2</v>
      </c>
      <c r="K13" s="638">
        <v>5356</v>
      </c>
      <c r="L13" s="638">
        <v>1.0026207412953949</v>
      </c>
      <c r="M13" s="638">
        <v>2678</v>
      </c>
      <c r="N13" s="638">
        <v>1</v>
      </c>
      <c r="O13" s="638">
        <v>2678</v>
      </c>
      <c r="P13" s="660">
        <v>0.50131037064769746</v>
      </c>
      <c r="Q13" s="639">
        <v>2678</v>
      </c>
    </row>
    <row r="14" spans="1:17" ht="14.4" customHeight="1" x14ac:dyDescent="0.3">
      <c r="A14" s="634" t="s">
        <v>487</v>
      </c>
      <c r="B14" s="635" t="s">
        <v>1850</v>
      </c>
      <c r="C14" s="635" t="s">
        <v>1819</v>
      </c>
      <c r="D14" s="635" t="s">
        <v>1853</v>
      </c>
      <c r="E14" s="635" t="s">
        <v>1854</v>
      </c>
      <c r="F14" s="638"/>
      <c r="G14" s="638"/>
      <c r="H14" s="638"/>
      <c r="I14" s="638"/>
      <c r="J14" s="638">
        <v>1</v>
      </c>
      <c r="K14" s="638">
        <v>5940</v>
      </c>
      <c r="L14" s="638"/>
      <c r="M14" s="638">
        <v>5940</v>
      </c>
      <c r="N14" s="638"/>
      <c r="O14" s="638"/>
      <c r="P14" s="660"/>
      <c r="Q14" s="639"/>
    </row>
    <row r="15" spans="1:17" ht="14.4" customHeight="1" x14ac:dyDescent="0.3">
      <c r="A15" s="634" t="s">
        <v>487</v>
      </c>
      <c r="B15" s="635" t="s">
        <v>1850</v>
      </c>
      <c r="C15" s="635" t="s">
        <v>1819</v>
      </c>
      <c r="D15" s="635" t="s">
        <v>1855</v>
      </c>
      <c r="E15" s="635" t="s">
        <v>1856</v>
      </c>
      <c r="F15" s="638"/>
      <c r="G15" s="638"/>
      <c r="H15" s="638"/>
      <c r="I15" s="638"/>
      <c r="J15" s="638"/>
      <c r="K15" s="638"/>
      <c r="L15" s="638"/>
      <c r="M15" s="638"/>
      <c r="N15" s="638">
        <v>1</v>
      </c>
      <c r="O15" s="638">
        <v>4218</v>
      </c>
      <c r="P15" s="660"/>
      <c r="Q15" s="639">
        <v>4218</v>
      </c>
    </row>
    <row r="16" spans="1:17" ht="14.4" customHeight="1" x14ac:dyDescent="0.3">
      <c r="A16" s="634" t="s">
        <v>487</v>
      </c>
      <c r="B16" s="635" t="s">
        <v>1850</v>
      </c>
      <c r="C16" s="635" t="s">
        <v>1819</v>
      </c>
      <c r="D16" s="635" t="s">
        <v>1857</v>
      </c>
      <c r="E16" s="635" t="s">
        <v>1858</v>
      </c>
      <c r="F16" s="638">
        <v>2</v>
      </c>
      <c r="G16" s="638">
        <v>4092</v>
      </c>
      <c r="H16" s="638">
        <v>1</v>
      </c>
      <c r="I16" s="638">
        <v>2046</v>
      </c>
      <c r="J16" s="638">
        <v>3</v>
      </c>
      <c r="K16" s="638">
        <v>6159</v>
      </c>
      <c r="L16" s="638">
        <v>1.5051319648093842</v>
      </c>
      <c r="M16" s="638">
        <v>2053</v>
      </c>
      <c r="N16" s="638"/>
      <c r="O16" s="638"/>
      <c r="P16" s="660"/>
      <c r="Q16" s="639"/>
    </row>
    <row r="17" spans="1:17" ht="14.4" customHeight="1" x14ac:dyDescent="0.3">
      <c r="A17" s="634" t="s">
        <v>487</v>
      </c>
      <c r="B17" s="635" t="s">
        <v>1850</v>
      </c>
      <c r="C17" s="635" t="s">
        <v>1819</v>
      </c>
      <c r="D17" s="635" t="s">
        <v>1859</v>
      </c>
      <c r="E17" s="635" t="s">
        <v>1860</v>
      </c>
      <c r="F17" s="638"/>
      <c r="G17" s="638"/>
      <c r="H17" s="638"/>
      <c r="I17" s="638"/>
      <c r="J17" s="638">
        <v>1</v>
      </c>
      <c r="K17" s="638">
        <v>2222</v>
      </c>
      <c r="L17" s="638"/>
      <c r="M17" s="638">
        <v>2222</v>
      </c>
      <c r="N17" s="638"/>
      <c r="O17" s="638"/>
      <c r="P17" s="660"/>
      <c r="Q17" s="639"/>
    </row>
    <row r="18" spans="1:17" ht="14.4" customHeight="1" x14ac:dyDescent="0.3">
      <c r="A18" s="634" t="s">
        <v>487</v>
      </c>
      <c r="B18" s="635" t="s">
        <v>1850</v>
      </c>
      <c r="C18" s="635" t="s">
        <v>1819</v>
      </c>
      <c r="D18" s="635" t="s">
        <v>1861</v>
      </c>
      <c r="E18" s="635" t="s">
        <v>1862</v>
      </c>
      <c r="F18" s="638"/>
      <c r="G18" s="638"/>
      <c r="H18" s="638"/>
      <c r="I18" s="638"/>
      <c r="J18" s="638">
        <v>1</v>
      </c>
      <c r="K18" s="638">
        <v>4236</v>
      </c>
      <c r="L18" s="638"/>
      <c r="M18" s="638">
        <v>4236</v>
      </c>
      <c r="N18" s="638"/>
      <c r="O18" s="638"/>
      <c r="P18" s="660"/>
      <c r="Q18" s="639"/>
    </row>
    <row r="19" spans="1:17" ht="14.4" customHeight="1" x14ac:dyDescent="0.3">
      <c r="A19" s="634" t="s">
        <v>487</v>
      </c>
      <c r="B19" s="635" t="s">
        <v>1850</v>
      </c>
      <c r="C19" s="635" t="s">
        <v>1819</v>
      </c>
      <c r="D19" s="635" t="s">
        <v>1863</v>
      </c>
      <c r="E19" s="635" t="s">
        <v>1864</v>
      </c>
      <c r="F19" s="638"/>
      <c r="G19" s="638"/>
      <c r="H19" s="638"/>
      <c r="I19" s="638"/>
      <c r="J19" s="638">
        <v>1</v>
      </c>
      <c r="K19" s="638">
        <v>1354</v>
      </c>
      <c r="L19" s="638"/>
      <c r="M19" s="638">
        <v>1354</v>
      </c>
      <c r="N19" s="638"/>
      <c r="O19" s="638"/>
      <c r="P19" s="660"/>
      <c r="Q19" s="639"/>
    </row>
    <row r="20" spans="1:17" ht="14.4" customHeight="1" x14ac:dyDescent="0.3">
      <c r="A20" s="634" t="s">
        <v>487</v>
      </c>
      <c r="B20" s="635" t="s">
        <v>1850</v>
      </c>
      <c r="C20" s="635" t="s">
        <v>1819</v>
      </c>
      <c r="D20" s="635" t="s">
        <v>1865</v>
      </c>
      <c r="E20" s="635" t="s">
        <v>1866</v>
      </c>
      <c r="F20" s="638"/>
      <c r="G20" s="638"/>
      <c r="H20" s="638"/>
      <c r="I20" s="638"/>
      <c r="J20" s="638">
        <v>3</v>
      </c>
      <c r="K20" s="638">
        <v>2418</v>
      </c>
      <c r="L20" s="638"/>
      <c r="M20" s="638">
        <v>806</v>
      </c>
      <c r="N20" s="638"/>
      <c r="O20" s="638"/>
      <c r="P20" s="660"/>
      <c r="Q20" s="639"/>
    </row>
    <row r="21" spans="1:17" ht="14.4" customHeight="1" x14ac:dyDescent="0.3">
      <c r="A21" s="634" t="s">
        <v>487</v>
      </c>
      <c r="B21" s="635" t="s">
        <v>1850</v>
      </c>
      <c r="C21" s="635" t="s">
        <v>1819</v>
      </c>
      <c r="D21" s="635" t="s">
        <v>1867</v>
      </c>
      <c r="E21" s="635" t="s">
        <v>1868</v>
      </c>
      <c r="F21" s="638"/>
      <c r="G21" s="638"/>
      <c r="H21" s="638"/>
      <c r="I21" s="638"/>
      <c r="J21" s="638"/>
      <c r="K21" s="638"/>
      <c r="L21" s="638"/>
      <c r="M21" s="638"/>
      <c r="N21" s="638">
        <v>1</v>
      </c>
      <c r="O21" s="638">
        <v>3875</v>
      </c>
      <c r="P21" s="660"/>
      <c r="Q21" s="639">
        <v>3875</v>
      </c>
    </row>
    <row r="22" spans="1:17" ht="14.4" customHeight="1" x14ac:dyDescent="0.3">
      <c r="A22" s="634" t="s">
        <v>487</v>
      </c>
      <c r="B22" s="635" t="s">
        <v>1850</v>
      </c>
      <c r="C22" s="635" t="s">
        <v>1819</v>
      </c>
      <c r="D22" s="635" t="s">
        <v>1869</v>
      </c>
      <c r="E22" s="635" t="s">
        <v>1870</v>
      </c>
      <c r="F22" s="638"/>
      <c r="G22" s="638"/>
      <c r="H22" s="638"/>
      <c r="I22" s="638"/>
      <c r="J22" s="638">
        <v>3</v>
      </c>
      <c r="K22" s="638">
        <v>0</v>
      </c>
      <c r="L22" s="638"/>
      <c r="M22" s="638">
        <v>0</v>
      </c>
      <c r="N22" s="638">
        <v>2</v>
      </c>
      <c r="O22" s="638">
        <v>0</v>
      </c>
      <c r="P22" s="660"/>
      <c r="Q22" s="639">
        <v>0</v>
      </c>
    </row>
    <row r="23" spans="1:17" ht="14.4" customHeight="1" x14ac:dyDescent="0.3">
      <c r="A23" s="634" t="s">
        <v>487</v>
      </c>
      <c r="B23" s="635" t="s">
        <v>1850</v>
      </c>
      <c r="C23" s="635" t="s">
        <v>1819</v>
      </c>
      <c r="D23" s="635" t="s">
        <v>1871</v>
      </c>
      <c r="E23" s="635" t="s">
        <v>1872</v>
      </c>
      <c r="F23" s="638"/>
      <c r="G23" s="638"/>
      <c r="H23" s="638"/>
      <c r="I23" s="638"/>
      <c r="J23" s="638"/>
      <c r="K23" s="638"/>
      <c r="L23" s="638"/>
      <c r="M23" s="638"/>
      <c r="N23" s="638">
        <v>1</v>
      </c>
      <c r="O23" s="638">
        <v>0</v>
      </c>
      <c r="P23" s="660"/>
      <c r="Q23" s="639">
        <v>0</v>
      </c>
    </row>
    <row r="24" spans="1:17" ht="14.4" customHeight="1" x14ac:dyDescent="0.3">
      <c r="A24" s="634" t="s">
        <v>487</v>
      </c>
      <c r="B24" s="635" t="s">
        <v>1850</v>
      </c>
      <c r="C24" s="635" t="s">
        <v>1819</v>
      </c>
      <c r="D24" s="635" t="s">
        <v>1873</v>
      </c>
      <c r="E24" s="635" t="s">
        <v>1874</v>
      </c>
      <c r="F24" s="638"/>
      <c r="G24" s="638"/>
      <c r="H24" s="638"/>
      <c r="I24" s="638"/>
      <c r="J24" s="638"/>
      <c r="K24" s="638"/>
      <c r="L24" s="638"/>
      <c r="M24" s="638"/>
      <c r="N24" s="638">
        <v>1</v>
      </c>
      <c r="O24" s="638">
        <v>0</v>
      </c>
      <c r="P24" s="660"/>
      <c r="Q24" s="639">
        <v>0</v>
      </c>
    </row>
    <row r="25" spans="1:17" ht="14.4" customHeight="1" x14ac:dyDescent="0.3">
      <c r="A25" s="634" t="s">
        <v>487</v>
      </c>
      <c r="B25" s="635" t="s">
        <v>1850</v>
      </c>
      <c r="C25" s="635" t="s">
        <v>1819</v>
      </c>
      <c r="D25" s="635" t="s">
        <v>1875</v>
      </c>
      <c r="E25" s="635" t="s">
        <v>1876</v>
      </c>
      <c r="F25" s="638"/>
      <c r="G25" s="638"/>
      <c r="H25" s="638"/>
      <c r="I25" s="638"/>
      <c r="J25" s="638">
        <v>1</v>
      </c>
      <c r="K25" s="638">
        <v>0</v>
      </c>
      <c r="L25" s="638"/>
      <c r="M25" s="638">
        <v>0</v>
      </c>
      <c r="N25" s="638"/>
      <c r="O25" s="638"/>
      <c r="P25" s="660"/>
      <c r="Q25" s="639"/>
    </row>
    <row r="26" spans="1:17" ht="14.4" customHeight="1" x14ac:dyDescent="0.3">
      <c r="A26" s="634" t="s">
        <v>487</v>
      </c>
      <c r="B26" s="635" t="s">
        <v>1850</v>
      </c>
      <c r="C26" s="635" t="s">
        <v>1819</v>
      </c>
      <c r="D26" s="635" t="s">
        <v>1877</v>
      </c>
      <c r="E26" s="635" t="s">
        <v>1878</v>
      </c>
      <c r="F26" s="638"/>
      <c r="G26" s="638"/>
      <c r="H26" s="638"/>
      <c r="I26" s="638"/>
      <c r="J26" s="638">
        <v>1</v>
      </c>
      <c r="K26" s="638">
        <v>0</v>
      </c>
      <c r="L26" s="638"/>
      <c r="M26" s="638">
        <v>0</v>
      </c>
      <c r="N26" s="638"/>
      <c r="O26" s="638"/>
      <c r="P26" s="660"/>
      <c r="Q26" s="639"/>
    </row>
    <row r="27" spans="1:17" ht="14.4" customHeight="1" x14ac:dyDescent="0.3">
      <c r="A27" s="634" t="s">
        <v>487</v>
      </c>
      <c r="B27" s="635" t="s">
        <v>1850</v>
      </c>
      <c r="C27" s="635" t="s">
        <v>1819</v>
      </c>
      <c r="D27" s="635" t="s">
        <v>1879</v>
      </c>
      <c r="E27" s="635" t="s">
        <v>1880</v>
      </c>
      <c r="F27" s="638"/>
      <c r="G27" s="638"/>
      <c r="H27" s="638"/>
      <c r="I27" s="638"/>
      <c r="J27" s="638"/>
      <c r="K27" s="638"/>
      <c r="L27" s="638"/>
      <c r="M27" s="638"/>
      <c r="N27" s="638">
        <v>1</v>
      </c>
      <c r="O27" s="638">
        <v>0</v>
      </c>
      <c r="P27" s="660"/>
      <c r="Q27" s="639">
        <v>0</v>
      </c>
    </row>
    <row r="28" spans="1:17" ht="14.4" customHeight="1" x14ac:dyDescent="0.3">
      <c r="A28" s="634" t="s">
        <v>487</v>
      </c>
      <c r="B28" s="635" t="s">
        <v>1850</v>
      </c>
      <c r="C28" s="635" t="s">
        <v>1819</v>
      </c>
      <c r="D28" s="635" t="s">
        <v>1881</v>
      </c>
      <c r="E28" s="635" t="s">
        <v>1882</v>
      </c>
      <c r="F28" s="638"/>
      <c r="G28" s="638"/>
      <c r="H28" s="638"/>
      <c r="I28" s="638"/>
      <c r="J28" s="638"/>
      <c r="K28" s="638"/>
      <c r="L28" s="638"/>
      <c r="M28" s="638"/>
      <c r="N28" s="638">
        <v>1</v>
      </c>
      <c r="O28" s="638">
        <v>0</v>
      </c>
      <c r="P28" s="660"/>
      <c r="Q28" s="639">
        <v>0</v>
      </c>
    </row>
    <row r="29" spans="1:17" ht="14.4" customHeight="1" x14ac:dyDescent="0.3">
      <c r="A29" s="634" t="s">
        <v>487</v>
      </c>
      <c r="B29" s="635" t="s">
        <v>1850</v>
      </c>
      <c r="C29" s="635" t="s">
        <v>1819</v>
      </c>
      <c r="D29" s="635" t="s">
        <v>1883</v>
      </c>
      <c r="E29" s="635" t="s">
        <v>1884</v>
      </c>
      <c r="F29" s="638"/>
      <c r="G29" s="638"/>
      <c r="H29" s="638"/>
      <c r="I29" s="638"/>
      <c r="J29" s="638">
        <v>1</v>
      </c>
      <c r="K29" s="638">
        <v>0</v>
      </c>
      <c r="L29" s="638"/>
      <c r="M29" s="638">
        <v>0</v>
      </c>
      <c r="N29" s="638"/>
      <c r="O29" s="638"/>
      <c r="P29" s="660"/>
      <c r="Q29" s="639"/>
    </row>
    <row r="30" spans="1:17" ht="14.4" customHeight="1" x14ac:dyDescent="0.3">
      <c r="A30" s="634" t="s">
        <v>487</v>
      </c>
      <c r="B30" s="635" t="s">
        <v>1850</v>
      </c>
      <c r="C30" s="635" t="s">
        <v>1819</v>
      </c>
      <c r="D30" s="635" t="s">
        <v>1885</v>
      </c>
      <c r="E30" s="635" t="s">
        <v>1886</v>
      </c>
      <c r="F30" s="638"/>
      <c r="G30" s="638"/>
      <c r="H30" s="638"/>
      <c r="I30" s="638"/>
      <c r="J30" s="638">
        <v>3</v>
      </c>
      <c r="K30" s="638">
        <v>0</v>
      </c>
      <c r="L30" s="638"/>
      <c r="M30" s="638">
        <v>0</v>
      </c>
      <c r="N30" s="638">
        <v>2</v>
      </c>
      <c r="O30" s="638">
        <v>0</v>
      </c>
      <c r="P30" s="660"/>
      <c r="Q30" s="639">
        <v>0</v>
      </c>
    </row>
    <row r="31" spans="1:17" ht="14.4" customHeight="1" x14ac:dyDescent="0.3">
      <c r="A31" s="634" t="s">
        <v>487</v>
      </c>
      <c r="B31" s="635" t="s">
        <v>1850</v>
      </c>
      <c r="C31" s="635" t="s">
        <v>1819</v>
      </c>
      <c r="D31" s="635" t="s">
        <v>1887</v>
      </c>
      <c r="E31" s="635" t="s">
        <v>1888</v>
      </c>
      <c r="F31" s="638">
        <v>1</v>
      </c>
      <c r="G31" s="638">
        <v>741</v>
      </c>
      <c r="H31" s="638">
        <v>1</v>
      </c>
      <c r="I31" s="638">
        <v>741</v>
      </c>
      <c r="J31" s="638"/>
      <c r="K31" s="638"/>
      <c r="L31" s="638"/>
      <c r="M31" s="638"/>
      <c r="N31" s="638"/>
      <c r="O31" s="638"/>
      <c r="P31" s="660"/>
      <c r="Q31" s="639"/>
    </row>
    <row r="32" spans="1:17" ht="14.4" customHeight="1" x14ac:dyDescent="0.3">
      <c r="A32" s="634" t="s">
        <v>487</v>
      </c>
      <c r="B32" s="635" t="s">
        <v>1850</v>
      </c>
      <c r="C32" s="635" t="s">
        <v>1819</v>
      </c>
      <c r="D32" s="635" t="s">
        <v>1889</v>
      </c>
      <c r="E32" s="635" t="s">
        <v>1890</v>
      </c>
      <c r="F32" s="638"/>
      <c r="G32" s="638"/>
      <c r="H32" s="638"/>
      <c r="I32" s="638"/>
      <c r="J32" s="638">
        <v>1</v>
      </c>
      <c r="K32" s="638">
        <v>668</v>
      </c>
      <c r="L32" s="638"/>
      <c r="M32" s="638">
        <v>668</v>
      </c>
      <c r="N32" s="638"/>
      <c r="O32" s="638"/>
      <c r="P32" s="660"/>
      <c r="Q32" s="639"/>
    </row>
    <row r="33" spans="1:17" ht="14.4" customHeight="1" x14ac:dyDescent="0.3">
      <c r="A33" s="634" t="s">
        <v>487</v>
      </c>
      <c r="B33" s="635" t="s">
        <v>1850</v>
      </c>
      <c r="C33" s="635" t="s">
        <v>1819</v>
      </c>
      <c r="D33" s="635" t="s">
        <v>1891</v>
      </c>
      <c r="E33" s="635" t="s">
        <v>1892</v>
      </c>
      <c r="F33" s="638">
        <v>1</v>
      </c>
      <c r="G33" s="638">
        <v>794</v>
      </c>
      <c r="H33" s="638">
        <v>1</v>
      </c>
      <c r="I33" s="638">
        <v>794</v>
      </c>
      <c r="J33" s="638"/>
      <c r="K33" s="638"/>
      <c r="L33" s="638"/>
      <c r="M33" s="638"/>
      <c r="N33" s="638">
        <v>1</v>
      </c>
      <c r="O33" s="638">
        <v>800</v>
      </c>
      <c r="P33" s="660">
        <v>1.0075566750629723</v>
      </c>
      <c r="Q33" s="639">
        <v>800</v>
      </c>
    </row>
    <row r="34" spans="1:17" ht="14.4" customHeight="1" x14ac:dyDescent="0.3">
      <c r="A34" s="634" t="s">
        <v>487</v>
      </c>
      <c r="B34" s="635" t="s">
        <v>1850</v>
      </c>
      <c r="C34" s="635" t="s">
        <v>1819</v>
      </c>
      <c r="D34" s="635" t="s">
        <v>1893</v>
      </c>
      <c r="E34" s="635" t="s">
        <v>1894</v>
      </c>
      <c r="F34" s="638"/>
      <c r="G34" s="638"/>
      <c r="H34" s="638"/>
      <c r="I34" s="638"/>
      <c r="J34" s="638">
        <v>1</v>
      </c>
      <c r="K34" s="638">
        <v>6077</v>
      </c>
      <c r="L34" s="638"/>
      <c r="M34" s="638">
        <v>6077</v>
      </c>
      <c r="N34" s="638"/>
      <c r="O34" s="638"/>
      <c r="P34" s="660"/>
      <c r="Q34" s="639"/>
    </row>
    <row r="35" spans="1:17" ht="14.4" customHeight="1" x14ac:dyDescent="0.3">
      <c r="A35" s="634" t="s">
        <v>487</v>
      </c>
      <c r="B35" s="635" t="s">
        <v>1850</v>
      </c>
      <c r="C35" s="635" t="s">
        <v>1819</v>
      </c>
      <c r="D35" s="635" t="s">
        <v>1895</v>
      </c>
      <c r="E35" s="635" t="s">
        <v>1896</v>
      </c>
      <c r="F35" s="638">
        <v>1</v>
      </c>
      <c r="G35" s="638">
        <v>9000</v>
      </c>
      <c r="H35" s="638">
        <v>1</v>
      </c>
      <c r="I35" s="638">
        <v>9000</v>
      </c>
      <c r="J35" s="638"/>
      <c r="K35" s="638"/>
      <c r="L35" s="638"/>
      <c r="M35" s="638"/>
      <c r="N35" s="638">
        <v>3</v>
      </c>
      <c r="O35" s="638">
        <v>27102</v>
      </c>
      <c r="P35" s="660">
        <v>3.0113333333333334</v>
      </c>
      <c r="Q35" s="639">
        <v>9034</v>
      </c>
    </row>
    <row r="36" spans="1:17" ht="14.4" customHeight="1" x14ac:dyDescent="0.3">
      <c r="A36" s="634" t="s">
        <v>487</v>
      </c>
      <c r="B36" s="635" t="s">
        <v>1850</v>
      </c>
      <c r="C36" s="635" t="s">
        <v>1819</v>
      </c>
      <c r="D36" s="635" t="s">
        <v>1897</v>
      </c>
      <c r="E36" s="635" t="s">
        <v>1898</v>
      </c>
      <c r="F36" s="638"/>
      <c r="G36" s="638"/>
      <c r="H36" s="638"/>
      <c r="I36" s="638"/>
      <c r="J36" s="638">
        <v>1</v>
      </c>
      <c r="K36" s="638">
        <v>431</v>
      </c>
      <c r="L36" s="638"/>
      <c r="M36" s="638">
        <v>431</v>
      </c>
      <c r="N36" s="638">
        <v>1</v>
      </c>
      <c r="O36" s="638">
        <v>431</v>
      </c>
      <c r="P36" s="660"/>
      <c r="Q36" s="639">
        <v>431</v>
      </c>
    </row>
    <row r="37" spans="1:17" ht="14.4" customHeight="1" x14ac:dyDescent="0.3">
      <c r="A37" s="634" t="s">
        <v>487</v>
      </c>
      <c r="B37" s="635" t="s">
        <v>1850</v>
      </c>
      <c r="C37" s="635" t="s">
        <v>1819</v>
      </c>
      <c r="D37" s="635" t="s">
        <v>1899</v>
      </c>
      <c r="E37" s="635" t="s">
        <v>1900</v>
      </c>
      <c r="F37" s="638">
        <v>1</v>
      </c>
      <c r="G37" s="638">
        <v>842</v>
      </c>
      <c r="H37" s="638">
        <v>1</v>
      </c>
      <c r="I37" s="638">
        <v>842</v>
      </c>
      <c r="J37" s="638"/>
      <c r="K37" s="638"/>
      <c r="L37" s="638"/>
      <c r="M37" s="638"/>
      <c r="N37" s="638">
        <v>6</v>
      </c>
      <c r="O37" s="638">
        <v>5070</v>
      </c>
      <c r="P37" s="660">
        <v>6.0213776722090264</v>
      </c>
      <c r="Q37" s="639">
        <v>845</v>
      </c>
    </row>
    <row r="38" spans="1:17" ht="14.4" customHeight="1" x14ac:dyDescent="0.3">
      <c r="A38" s="634" t="s">
        <v>487</v>
      </c>
      <c r="B38" s="635" t="s">
        <v>1850</v>
      </c>
      <c r="C38" s="635" t="s">
        <v>1819</v>
      </c>
      <c r="D38" s="635" t="s">
        <v>1901</v>
      </c>
      <c r="E38" s="635" t="s">
        <v>1902</v>
      </c>
      <c r="F38" s="638">
        <v>2</v>
      </c>
      <c r="G38" s="638">
        <v>6892</v>
      </c>
      <c r="H38" s="638">
        <v>1</v>
      </c>
      <c r="I38" s="638">
        <v>3446</v>
      </c>
      <c r="J38" s="638"/>
      <c r="K38" s="638"/>
      <c r="L38" s="638"/>
      <c r="M38" s="638"/>
      <c r="N38" s="638"/>
      <c r="O38" s="638"/>
      <c r="P38" s="660"/>
      <c r="Q38" s="639"/>
    </row>
    <row r="39" spans="1:17" ht="14.4" customHeight="1" x14ac:dyDescent="0.3">
      <c r="A39" s="634" t="s">
        <v>487</v>
      </c>
      <c r="B39" s="635" t="s">
        <v>1850</v>
      </c>
      <c r="C39" s="635" t="s">
        <v>1819</v>
      </c>
      <c r="D39" s="635" t="s">
        <v>1903</v>
      </c>
      <c r="E39" s="635" t="s">
        <v>1904</v>
      </c>
      <c r="F39" s="638">
        <v>1</v>
      </c>
      <c r="G39" s="638">
        <v>176</v>
      </c>
      <c r="H39" s="638">
        <v>1</v>
      </c>
      <c r="I39" s="638">
        <v>176</v>
      </c>
      <c r="J39" s="638"/>
      <c r="K39" s="638"/>
      <c r="L39" s="638"/>
      <c r="M39" s="638"/>
      <c r="N39" s="638"/>
      <c r="O39" s="638"/>
      <c r="P39" s="660"/>
      <c r="Q39" s="639"/>
    </row>
    <row r="40" spans="1:17" ht="14.4" customHeight="1" x14ac:dyDescent="0.3">
      <c r="A40" s="634" t="s">
        <v>487</v>
      </c>
      <c r="B40" s="635" t="s">
        <v>1850</v>
      </c>
      <c r="C40" s="635" t="s">
        <v>1819</v>
      </c>
      <c r="D40" s="635" t="s">
        <v>532</v>
      </c>
      <c r="E40" s="635" t="s">
        <v>1905</v>
      </c>
      <c r="F40" s="638"/>
      <c r="G40" s="638"/>
      <c r="H40" s="638"/>
      <c r="I40" s="638"/>
      <c r="J40" s="638">
        <v>1</v>
      </c>
      <c r="K40" s="638">
        <v>1892</v>
      </c>
      <c r="L40" s="638"/>
      <c r="M40" s="638">
        <v>1892</v>
      </c>
      <c r="N40" s="638"/>
      <c r="O40" s="638"/>
      <c r="P40" s="660"/>
      <c r="Q40" s="639"/>
    </row>
    <row r="41" spans="1:17" ht="14.4" customHeight="1" x14ac:dyDescent="0.3">
      <c r="A41" s="634" t="s">
        <v>487</v>
      </c>
      <c r="B41" s="635" t="s">
        <v>1850</v>
      </c>
      <c r="C41" s="635" t="s">
        <v>1819</v>
      </c>
      <c r="D41" s="635" t="s">
        <v>1906</v>
      </c>
      <c r="E41" s="635" t="s">
        <v>1907</v>
      </c>
      <c r="F41" s="638"/>
      <c r="G41" s="638"/>
      <c r="H41" s="638"/>
      <c r="I41" s="638"/>
      <c r="J41" s="638">
        <v>1</v>
      </c>
      <c r="K41" s="638">
        <v>628</v>
      </c>
      <c r="L41" s="638"/>
      <c r="M41" s="638">
        <v>628</v>
      </c>
      <c r="N41" s="638"/>
      <c r="O41" s="638"/>
      <c r="P41" s="660"/>
      <c r="Q41" s="639"/>
    </row>
    <row r="42" spans="1:17" ht="14.4" customHeight="1" x14ac:dyDescent="0.3">
      <c r="A42" s="634" t="s">
        <v>487</v>
      </c>
      <c r="B42" s="635" t="s">
        <v>1850</v>
      </c>
      <c r="C42" s="635" t="s">
        <v>1819</v>
      </c>
      <c r="D42" s="635" t="s">
        <v>1908</v>
      </c>
      <c r="E42" s="635" t="s">
        <v>1909</v>
      </c>
      <c r="F42" s="638">
        <v>1</v>
      </c>
      <c r="G42" s="638">
        <v>15311</v>
      </c>
      <c r="H42" s="638">
        <v>1</v>
      </c>
      <c r="I42" s="638">
        <v>15311</v>
      </c>
      <c r="J42" s="638">
        <v>1</v>
      </c>
      <c r="K42" s="638">
        <v>15368</v>
      </c>
      <c r="L42" s="638">
        <v>1.0037228136633793</v>
      </c>
      <c r="M42" s="638">
        <v>15368</v>
      </c>
      <c r="N42" s="638">
        <v>1</v>
      </c>
      <c r="O42" s="638">
        <v>15368</v>
      </c>
      <c r="P42" s="660">
        <v>1.0037228136633793</v>
      </c>
      <c r="Q42" s="639">
        <v>15368</v>
      </c>
    </row>
    <row r="43" spans="1:17" ht="14.4" customHeight="1" x14ac:dyDescent="0.3">
      <c r="A43" s="634" t="s">
        <v>487</v>
      </c>
      <c r="B43" s="635" t="s">
        <v>1850</v>
      </c>
      <c r="C43" s="635" t="s">
        <v>1819</v>
      </c>
      <c r="D43" s="635" t="s">
        <v>1910</v>
      </c>
      <c r="E43" s="635" t="s">
        <v>1911</v>
      </c>
      <c r="F43" s="638"/>
      <c r="G43" s="638"/>
      <c r="H43" s="638"/>
      <c r="I43" s="638"/>
      <c r="J43" s="638">
        <v>1</v>
      </c>
      <c r="K43" s="638">
        <v>0</v>
      </c>
      <c r="L43" s="638"/>
      <c r="M43" s="638">
        <v>0</v>
      </c>
      <c r="N43" s="638"/>
      <c r="O43" s="638"/>
      <c r="P43" s="660"/>
      <c r="Q43" s="639"/>
    </row>
    <row r="44" spans="1:17" ht="14.4" customHeight="1" x14ac:dyDescent="0.3">
      <c r="A44" s="634" t="s">
        <v>487</v>
      </c>
      <c r="B44" s="635" t="s">
        <v>1850</v>
      </c>
      <c r="C44" s="635" t="s">
        <v>1819</v>
      </c>
      <c r="D44" s="635" t="s">
        <v>1912</v>
      </c>
      <c r="E44" s="635" t="s">
        <v>1913</v>
      </c>
      <c r="F44" s="638">
        <v>1</v>
      </c>
      <c r="G44" s="638">
        <v>349</v>
      </c>
      <c r="H44" s="638">
        <v>1</v>
      </c>
      <c r="I44" s="638">
        <v>349</v>
      </c>
      <c r="J44" s="638"/>
      <c r="K44" s="638"/>
      <c r="L44" s="638"/>
      <c r="M44" s="638"/>
      <c r="N44" s="638"/>
      <c r="O44" s="638"/>
      <c r="P44" s="660"/>
      <c r="Q44" s="639"/>
    </row>
    <row r="45" spans="1:17" ht="14.4" customHeight="1" x14ac:dyDescent="0.3">
      <c r="A45" s="634" t="s">
        <v>487</v>
      </c>
      <c r="B45" s="635" t="s">
        <v>1850</v>
      </c>
      <c r="C45" s="635" t="s">
        <v>1819</v>
      </c>
      <c r="D45" s="635" t="s">
        <v>1914</v>
      </c>
      <c r="E45" s="635" t="s">
        <v>1915</v>
      </c>
      <c r="F45" s="638"/>
      <c r="G45" s="638"/>
      <c r="H45" s="638"/>
      <c r="I45" s="638"/>
      <c r="J45" s="638">
        <v>1</v>
      </c>
      <c r="K45" s="638">
        <v>7097</v>
      </c>
      <c r="L45" s="638"/>
      <c r="M45" s="638">
        <v>7097</v>
      </c>
      <c r="N45" s="638"/>
      <c r="O45" s="638"/>
      <c r="P45" s="660"/>
      <c r="Q45" s="639"/>
    </row>
    <row r="46" spans="1:17" ht="14.4" customHeight="1" x14ac:dyDescent="0.3">
      <c r="A46" s="634" t="s">
        <v>487</v>
      </c>
      <c r="B46" s="635" t="s">
        <v>1850</v>
      </c>
      <c r="C46" s="635" t="s">
        <v>1819</v>
      </c>
      <c r="D46" s="635" t="s">
        <v>1916</v>
      </c>
      <c r="E46" s="635" t="s">
        <v>1917</v>
      </c>
      <c r="F46" s="638"/>
      <c r="G46" s="638"/>
      <c r="H46" s="638"/>
      <c r="I46" s="638"/>
      <c r="J46" s="638">
        <v>3</v>
      </c>
      <c r="K46" s="638">
        <v>0</v>
      </c>
      <c r="L46" s="638"/>
      <c r="M46" s="638">
        <v>0</v>
      </c>
      <c r="N46" s="638">
        <v>2</v>
      </c>
      <c r="O46" s="638">
        <v>0</v>
      </c>
      <c r="P46" s="660"/>
      <c r="Q46" s="639">
        <v>0</v>
      </c>
    </row>
    <row r="47" spans="1:17" ht="14.4" customHeight="1" x14ac:dyDescent="0.3">
      <c r="A47" s="634" t="s">
        <v>487</v>
      </c>
      <c r="B47" s="635" t="s">
        <v>1850</v>
      </c>
      <c r="C47" s="635" t="s">
        <v>1819</v>
      </c>
      <c r="D47" s="635" t="s">
        <v>1918</v>
      </c>
      <c r="E47" s="635" t="s">
        <v>1919</v>
      </c>
      <c r="F47" s="638">
        <v>1</v>
      </c>
      <c r="G47" s="638">
        <v>6016</v>
      </c>
      <c r="H47" s="638">
        <v>1</v>
      </c>
      <c r="I47" s="638">
        <v>6016</v>
      </c>
      <c r="J47" s="638">
        <v>1</v>
      </c>
      <c r="K47" s="638">
        <v>6045</v>
      </c>
      <c r="L47" s="638">
        <v>1.0048204787234043</v>
      </c>
      <c r="M47" s="638">
        <v>6045</v>
      </c>
      <c r="N47" s="638"/>
      <c r="O47" s="638"/>
      <c r="P47" s="660"/>
      <c r="Q47" s="639"/>
    </row>
    <row r="48" spans="1:17" ht="14.4" customHeight="1" x14ac:dyDescent="0.3">
      <c r="A48" s="634" t="s">
        <v>487</v>
      </c>
      <c r="B48" s="635" t="s">
        <v>1850</v>
      </c>
      <c r="C48" s="635" t="s">
        <v>1819</v>
      </c>
      <c r="D48" s="635" t="s">
        <v>1920</v>
      </c>
      <c r="E48" s="635" t="s">
        <v>1921</v>
      </c>
      <c r="F48" s="638">
        <v>2</v>
      </c>
      <c r="G48" s="638">
        <v>8640</v>
      </c>
      <c r="H48" s="638">
        <v>1</v>
      </c>
      <c r="I48" s="638">
        <v>4320</v>
      </c>
      <c r="J48" s="638"/>
      <c r="K48" s="638"/>
      <c r="L48" s="638"/>
      <c r="M48" s="638"/>
      <c r="N48" s="638"/>
      <c r="O48" s="638"/>
      <c r="P48" s="660"/>
      <c r="Q48" s="639"/>
    </row>
    <row r="49" spans="1:17" ht="14.4" customHeight="1" x14ac:dyDescent="0.3">
      <c r="A49" s="634" t="s">
        <v>487</v>
      </c>
      <c r="B49" s="635" t="s">
        <v>1850</v>
      </c>
      <c r="C49" s="635" t="s">
        <v>1819</v>
      </c>
      <c r="D49" s="635" t="s">
        <v>1922</v>
      </c>
      <c r="E49" s="635" t="s">
        <v>1923</v>
      </c>
      <c r="F49" s="638"/>
      <c r="G49" s="638"/>
      <c r="H49" s="638"/>
      <c r="I49" s="638"/>
      <c r="J49" s="638">
        <v>2</v>
      </c>
      <c r="K49" s="638">
        <v>6410</v>
      </c>
      <c r="L49" s="638"/>
      <c r="M49" s="638">
        <v>3205</v>
      </c>
      <c r="N49" s="638">
        <v>2</v>
      </c>
      <c r="O49" s="638">
        <v>6410</v>
      </c>
      <c r="P49" s="660"/>
      <c r="Q49" s="639">
        <v>3205</v>
      </c>
    </row>
    <row r="50" spans="1:17" ht="14.4" customHeight="1" x14ac:dyDescent="0.3">
      <c r="A50" s="634" t="s">
        <v>487</v>
      </c>
      <c r="B50" s="635" t="s">
        <v>1850</v>
      </c>
      <c r="C50" s="635" t="s">
        <v>1819</v>
      </c>
      <c r="D50" s="635" t="s">
        <v>1924</v>
      </c>
      <c r="E50" s="635" t="s">
        <v>1925</v>
      </c>
      <c r="F50" s="638"/>
      <c r="G50" s="638"/>
      <c r="H50" s="638"/>
      <c r="I50" s="638"/>
      <c r="J50" s="638">
        <v>4</v>
      </c>
      <c r="K50" s="638">
        <v>7052</v>
      </c>
      <c r="L50" s="638"/>
      <c r="M50" s="638">
        <v>1763</v>
      </c>
      <c r="N50" s="638"/>
      <c r="O50" s="638"/>
      <c r="P50" s="660"/>
      <c r="Q50" s="639"/>
    </row>
    <row r="51" spans="1:17" ht="14.4" customHeight="1" x14ac:dyDescent="0.3">
      <c r="A51" s="634" t="s">
        <v>487</v>
      </c>
      <c r="B51" s="635" t="s">
        <v>1850</v>
      </c>
      <c r="C51" s="635" t="s">
        <v>1819</v>
      </c>
      <c r="D51" s="635" t="s">
        <v>1926</v>
      </c>
      <c r="E51" s="635" t="s">
        <v>1927</v>
      </c>
      <c r="F51" s="638"/>
      <c r="G51" s="638"/>
      <c r="H51" s="638"/>
      <c r="I51" s="638"/>
      <c r="J51" s="638">
        <v>2</v>
      </c>
      <c r="K51" s="638">
        <v>0</v>
      </c>
      <c r="L51" s="638"/>
      <c r="M51" s="638">
        <v>0</v>
      </c>
      <c r="N51" s="638">
        <v>2</v>
      </c>
      <c r="O51" s="638">
        <v>0</v>
      </c>
      <c r="P51" s="660"/>
      <c r="Q51" s="639">
        <v>0</v>
      </c>
    </row>
    <row r="52" spans="1:17" ht="14.4" customHeight="1" x14ac:dyDescent="0.3">
      <c r="A52" s="634" t="s">
        <v>487</v>
      </c>
      <c r="B52" s="635" t="s">
        <v>1850</v>
      </c>
      <c r="C52" s="635" t="s">
        <v>1819</v>
      </c>
      <c r="D52" s="635" t="s">
        <v>1928</v>
      </c>
      <c r="E52" s="635" t="s">
        <v>1929</v>
      </c>
      <c r="F52" s="638">
        <v>1</v>
      </c>
      <c r="G52" s="638">
        <v>4594</v>
      </c>
      <c r="H52" s="638">
        <v>1</v>
      </c>
      <c r="I52" s="638">
        <v>4594</v>
      </c>
      <c r="J52" s="638">
        <v>4</v>
      </c>
      <c r="K52" s="638">
        <v>18468</v>
      </c>
      <c r="L52" s="638">
        <v>4.0200261210274268</v>
      </c>
      <c r="M52" s="638">
        <v>4617</v>
      </c>
      <c r="N52" s="638"/>
      <c r="O52" s="638"/>
      <c r="P52" s="660"/>
      <c r="Q52" s="639"/>
    </row>
    <row r="53" spans="1:17" ht="14.4" customHeight="1" x14ac:dyDescent="0.3">
      <c r="A53" s="634" t="s">
        <v>487</v>
      </c>
      <c r="B53" s="635" t="s">
        <v>1850</v>
      </c>
      <c r="C53" s="635" t="s">
        <v>1819</v>
      </c>
      <c r="D53" s="635" t="s">
        <v>1930</v>
      </c>
      <c r="E53" s="635" t="s">
        <v>1931</v>
      </c>
      <c r="F53" s="638">
        <v>1</v>
      </c>
      <c r="G53" s="638">
        <v>6076</v>
      </c>
      <c r="H53" s="638">
        <v>1</v>
      </c>
      <c r="I53" s="638">
        <v>6076</v>
      </c>
      <c r="J53" s="638"/>
      <c r="K53" s="638"/>
      <c r="L53" s="638"/>
      <c r="M53" s="638"/>
      <c r="N53" s="638">
        <v>1</v>
      </c>
      <c r="O53" s="638">
        <v>6105</v>
      </c>
      <c r="P53" s="660">
        <v>1.0047728768926925</v>
      </c>
      <c r="Q53" s="639">
        <v>6105</v>
      </c>
    </row>
    <row r="54" spans="1:17" ht="14.4" customHeight="1" x14ac:dyDescent="0.3">
      <c r="A54" s="634" t="s">
        <v>487</v>
      </c>
      <c r="B54" s="635" t="s">
        <v>1850</v>
      </c>
      <c r="C54" s="635" t="s">
        <v>1819</v>
      </c>
      <c r="D54" s="635" t="s">
        <v>1932</v>
      </c>
      <c r="E54" s="635" t="s">
        <v>1933</v>
      </c>
      <c r="F54" s="638"/>
      <c r="G54" s="638"/>
      <c r="H54" s="638"/>
      <c r="I54" s="638"/>
      <c r="J54" s="638">
        <v>1</v>
      </c>
      <c r="K54" s="638">
        <v>0</v>
      </c>
      <c r="L54" s="638"/>
      <c r="M54" s="638">
        <v>0</v>
      </c>
      <c r="N54" s="638"/>
      <c r="O54" s="638"/>
      <c r="P54" s="660"/>
      <c r="Q54" s="639"/>
    </row>
    <row r="55" spans="1:17" ht="14.4" customHeight="1" x14ac:dyDescent="0.3">
      <c r="A55" s="634" t="s">
        <v>487</v>
      </c>
      <c r="B55" s="635" t="s">
        <v>1850</v>
      </c>
      <c r="C55" s="635" t="s">
        <v>1819</v>
      </c>
      <c r="D55" s="635" t="s">
        <v>1934</v>
      </c>
      <c r="E55" s="635" t="s">
        <v>1935</v>
      </c>
      <c r="F55" s="638">
        <v>1</v>
      </c>
      <c r="G55" s="638">
        <v>10559</v>
      </c>
      <c r="H55" s="638">
        <v>1</v>
      </c>
      <c r="I55" s="638">
        <v>10559</v>
      </c>
      <c r="J55" s="638"/>
      <c r="K55" s="638"/>
      <c r="L55" s="638"/>
      <c r="M55" s="638"/>
      <c r="N55" s="638">
        <v>1</v>
      </c>
      <c r="O55" s="638">
        <v>10597</v>
      </c>
      <c r="P55" s="660">
        <v>1.0035988256463679</v>
      </c>
      <c r="Q55" s="639">
        <v>10597</v>
      </c>
    </row>
    <row r="56" spans="1:17" ht="14.4" customHeight="1" x14ac:dyDescent="0.3">
      <c r="A56" s="634" t="s">
        <v>487</v>
      </c>
      <c r="B56" s="635" t="s">
        <v>1850</v>
      </c>
      <c r="C56" s="635" t="s">
        <v>1819</v>
      </c>
      <c r="D56" s="635" t="s">
        <v>1936</v>
      </c>
      <c r="E56" s="635" t="s">
        <v>1937</v>
      </c>
      <c r="F56" s="638">
        <v>1</v>
      </c>
      <c r="G56" s="638">
        <v>3963</v>
      </c>
      <c r="H56" s="638">
        <v>1</v>
      </c>
      <c r="I56" s="638">
        <v>3963</v>
      </c>
      <c r="J56" s="638">
        <v>1</v>
      </c>
      <c r="K56" s="638">
        <v>3975</v>
      </c>
      <c r="L56" s="638">
        <v>1.0030280090840273</v>
      </c>
      <c r="M56" s="638">
        <v>3975</v>
      </c>
      <c r="N56" s="638"/>
      <c r="O56" s="638"/>
      <c r="P56" s="660"/>
      <c r="Q56" s="639"/>
    </row>
    <row r="57" spans="1:17" ht="14.4" customHeight="1" x14ac:dyDescent="0.3">
      <c r="A57" s="634" t="s">
        <v>487</v>
      </c>
      <c r="B57" s="635" t="s">
        <v>1850</v>
      </c>
      <c r="C57" s="635" t="s">
        <v>1819</v>
      </c>
      <c r="D57" s="635" t="s">
        <v>1938</v>
      </c>
      <c r="E57" s="635" t="s">
        <v>1939</v>
      </c>
      <c r="F57" s="638"/>
      <c r="G57" s="638"/>
      <c r="H57" s="638"/>
      <c r="I57" s="638"/>
      <c r="J57" s="638">
        <v>1</v>
      </c>
      <c r="K57" s="638">
        <v>0</v>
      </c>
      <c r="L57" s="638"/>
      <c r="M57" s="638">
        <v>0</v>
      </c>
      <c r="N57" s="638"/>
      <c r="O57" s="638"/>
      <c r="P57" s="660"/>
      <c r="Q57" s="639"/>
    </row>
    <row r="58" spans="1:17" ht="14.4" customHeight="1" x14ac:dyDescent="0.3">
      <c r="A58" s="634" t="s">
        <v>487</v>
      </c>
      <c r="B58" s="635" t="s">
        <v>1850</v>
      </c>
      <c r="C58" s="635" t="s">
        <v>1819</v>
      </c>
      <c r="D58" s="635" t="s">
        <v>1940</v>
      </c>
      <c r="E58" s="635" t="s">
        <v>1941</v>
      </c>
      <c r="F58" s="638">
        <v>2</v>
      </c>
      <c r="G58" s="638">
        <v>3826</v>
      </c>
      <c r="H58" s="638">
        <v>1</v>
      </c>
      <c r="I58" s="638">
        <v>1913</v>
      </c>
      <c r="J58" s="638"/>
      <c r="K58" s="638"/>
      <c r="L58" s="638"/>
      <c r="M58" s="638"/>
      <c r="N58" s="638"/>
      <c r="O58" s="638"/>
      <c r="P58" s="660"/>
      <c r="Q58" s="639"/>
    </row>
    <row r="59" spans="1:17" ht="14.4" customHeight="1" x14ac:dyDescent="0.3">
      <c r="A59" s="634" t="s">
        <v>487</v>
      </c>
      <c r="B59" s="635" t="s">
        <v>1850</v>
      </c>
      <c r="C59" s="635" t="s">
        <v>1819</v>
      </c>
      <c r="D59" s="635" t="s">
        <v>1942</v>
      </c>
      <c r="E59" s="635" t="s">
        <v>1943</v>
      </c>
      <c r="F59" s="638"/>
      <c r="G59" s="638"/>
      <c r="H59" s="638"/>
      <c r="I59" s="638"/>
      <c r="J59" s="638"/>
      <c r="K59" s="638"/>
      <c r="L59" s="638"/>
      <c r="M59" s="638"/>
      <c r="N59" s="638">
        <v>1</v>
      </c>
      <c r="O59" s="638">
        <v>0</v>
      </c>
      <c r="P59" s="660"/>
      <c r="Q59" s="639">
        <v>0</v>
      </c>
    </row>
    <row r="60" spans="1:17" ht="14.4" customHeight="1" x14ac:dyDescent="0.3">
      <c r="A60" s="634" t="s">
        <v>487</v>
      </c>
      <c r="B60" s="635" t="s">
        <v>1944</v>
      </c>
      <c r="C60" s="635" t="s">
        <v>1819</v>
      </c>
      <c r="D60" s="635" t="s">
        <v>1945</v>
      </c>
      <c r="E60" s="635" t="s">
        <v>1946</v>
      </c>
      <c r="F60" s="638"/>
      <c r="G60" s="638"/>
      <c r="H60" s="638"/>
      <c r="I60" s="638"/>
      <c r="J60" s="638"/>
      <c r="K60" s="638"/>
      <c r="L60" s="638"/>
      <c r="M60" s="638"/>
      <c r="N60" s="638">
        <v>1</v>
      </c>
      <c r="O60" s="638">
        <v>681</v>
      </c>
      <c r="P60" s="660"/>
      <c r="Q60" s="639">
        <v>681</v>
      </c>
    </row>
    <row r="61" spans="1:17" ht="14.4" customHeight="1" x14ac:dyDescent="0.3">
      <c r="A61" s="634" t="s">
        <v>487</v>
      </c>
      <c r="B61" s="635" t="s">
        <v>1944</v>
      </c>
      <c r="C61" s="635" t="s">
        <v>1819</v>
      </c>
      <c r="D61" s="635" t="s">
        <v>1947</v>
      </c>
      <c r="E61" s="635" t="s">
        <v>1948</v>
      </c>
      <c r="F61" s="638">
        <v>1</v>
      </c>
      <c r="G61" s="638">
        <v>221</v>
      </c>
      <c r="H61" s="638">
        <v>1</v>
      </c>
      <c r="I61" s="638">
        <v>221</v>
      </c>
      <c r="J61" s="638"/>
      <c r="K61" s="638"/>
      <c r="L61" s="638"/>
      <c r="M61" s="638"/>
      <c r="N61" s="638"/>
      <c r="O61" s="638"/>
      <c r="P61" s="660"/>
      <c r="Q61" s="639"/>
    </row>
    <row r="62" spans="1:17" ht="14.4" customHeight="1" x14ac:dyDescent="0.3">
      <c r="A62" s="634" t="s">
        <v>487</v>
      </c>
      <c r="B62" s="635" t="s">
        <v>1944</v>
      </c>
      <c r="C62" s="635" t="s">
        <v>1819</v>
      </c>
      <c r="D62" s="635" t="s">
        <v>1949</v>
      </c>
      <c r="E62" s="635" t="s">
        <v>1950</v>
      </c>
      <c r="F62" s="638"/>
      <c r="G62" s="638"/>
      <c r="H62" s="638"/>
      <c r="I62" s="638"/>
      <c r="J62" s="638"/>
      <c r="K62" s="638"/>
      <c r="L62" s="638"/>
      <c r="M62" s="638"/>
      <c r="N62" s="638">
        <v>2</v>
      </c>
      <c r="O62" s="638">
        <v>6932</v>
      </c>
      <c r="P62" s="660"/>
      <c r="Q62" s="639">
        <v>3466</v>
      </c>
    </row>
    <row r="63" spans="1:17" ht="14.4" customHeight="1" x14ac:dyDescent="0.3">
      <c r="A63" s="634" t="s">
        <v>487</v>
      </c>
      <c r="B63" s="635" t="s">
        <v>1944</v>
      </c>
      <c r="C63" s="635" t="s">
        <v>1819</v>
      </c>
      <c r="D63" s="635" t="s">
        <v>1951</v>
      </c>
      <c r="E63" s="635" t="s">
        <v>1952</v>
      </c>
      <c r="F63" s="638">
        <v>1</v>
      </c>
      <c r="G63" s="638">
        <v>2315</v>
      </c>
      <c r="H63" s="638">
        <v>1</v>
      </c>
      <c r="I63" s="638">
        <v>2315</v>
      </c>
      <c r="J63" s="638"/>
      <c r="K63" s="638"/>
      <c r="L63" s="638"/>
      <c r="M63" s="638"/>
      <c r="N63" s="638"/>
      <c r="O63" s="638"/>
      <c r="P63" s="660"/>
      <c r="Q63" s="639"/>
    </row>
    <row r="64" spans="1:17" ht="14.4" customHeight="1" x14ac:dyDescent="0.3">
      <c r="A64" s="634" t="s">
        <v>487</v>
      </c>
      <c r="B64" s="635" t="s">
        <v>1944</v>
      </c>
      <c r="C64" s="635" t="s">
        <v>1819</v>
      </c>
      <c r="D64" s="635" t="s">
        <v>1953</v>
      </c>
      <c r="E64" s="635" t="s">
        <v>1954</v>
      </c>
      <c r="F64" s="638"/>
      <c r="G64" s="638"/>
      <c r="H64" s="638"/>
      <c r="I64" s="638"/>
      <c r="J64" s="638"/>
      <c r="K64" s="638"/>
      <c r="L64" s="638"/>
      <c r="M64" s="638"/>
      <c r="N64" s="638">
        <v>2</v>
      </c>
      <c r="O64" s="638">
        <v>8066</v>
      </c>
      <c r="P64" s="660"/>
      <c r="Q64" s="639">
        <v>4033</v>
      </c>
    </row>
    <row r="65" spans="1:17" ht="14.4" customHeight="1" x14ac:dyDescent="0.3">
      <c r="A65" s="634" t="s">
        <v>487</v>
      </c>
      <c r="B65" s="635" t="s">
        <v>1944</v>
      </c>
      <c r="C65" s="635" t="s">
        <v>1819</v>
      </c>
      <c r="D65" s="635" t="s">
        <v>1889</v>
      </c>
      <c r="E65" s="635" t="s">
        <v>1890</v>
      </c>
      <c r="F65" s="638">
        <v>1</v>
      </c>
      <c r="G65" s="638">
        <v>665</v>
      </c>
      <c r="H65" s="638">
        <v>1</v>
      </c>
      <c r="I65" s="638">
        <v>665</v>
      </c>
      <c r="J65" s="638"/>
      <c r="K65" s="638"/>
      <c r="L65" s="638"/>
      <c r="M65" s="638"/>
      <c r="N65" s="638"/>
      <c r="O65" s="638"/>
      <c r="P65" s="660"/>
      <c r="Q65" s="639"/>
    </row>
    <row r="66" spans="1:17" ht="14.4" customHeight="1" x14ac:dyDescent="0.3">
      <c r="A66" s="634" t="s">
        <v>487</v>
      </c>
      <c r="B66" s="635" t="s">
        <v>1944</v>
      </c>
      <c r="C66" s="635" t="s">
        <v>1819</v>
      </c>
      <c r="D66" s="635" t="s">
        <v>1955</v>
      </c>
      <c r="E66" s="635" t="s">
        <v>1956</v>
      </c>
      <c r="F66" s="638">
        <v>1</v>
      </c>
      <c r="G66" s="638">
        <v>2798</v>
      </c>
      <c r="H66" s="638">
        <v>1</v>
      </c>
      <c r="I66" s="638">
        <v>2798</v>
      </c>
      <c r="J66" s="638"/>
      <c r="K66" s="638"/>
      <c r="L66" s="638"/>
      <c r="M66" s="638"/>
      <c r="N66" s="638"/>
      <c r="O66" s="638"/>
      <c r="P66" s="660"/>
      <c r="Q66" s="639"/>
    </row>
    <row r="67" spans="1:17" ht="14.4" customHeight="1" x14ac:dyDescent="0.3">
      <c r="A67" s="634" t="s">
        <v>487</v>
      </c>
      <c r="B67" s="635" t="s">
        <v>1944</v>
      </c>
      <c r="C67" s="635" t="s">
        <v>1819</v>
      </c>
      <c r="D67" s="635" t="s">
        <v>1897</v>
      </c>
      <c r="E67" s="635" t="s">
        <v>1898</v>
      </c>
      <c r="F67" s="638"/>
      <c r="G67" s="638"/>
      <c r="H67" s="638"/>
      <c r="I67" s="638"/>
      <c r="J67" s="638"/>
      <c r="K67" s="638"/>
      <c r="L67" s="638"/>
      <c r="M67" s="638"/>
      <c r="N67" s="638">
        <v>1</v>
      </c>
      <c r="O67" s="638">
        <v>431</v>
      </c>
      <c r="P67" s="660"/>
      <c r="Q67" s="639">
        <v>431</v>
      </c>
    </row>
    <row r="68" spans="1:17" ht="14.4" customHeight="1" x14ac:dyDescent="0.3">
      <c r="A68" s="634" t="s">
        <v>487</v>
      </c>
      <c r="B68" s="635" t="s">
        <v>1944</v>
      </c>
      <c r="C68" s="635" t="s">
        <v>1819</v>
      </c>
      <c r="D68" s="635" t="s">
        <v>1899</v>
      </c>
      <c r="E68" s="635" t="s">
        <v>1900</v>
      </c>
      <c r="F68" s="638"/>
      <c r="G68" s="638"/>
      <c r="H68" s="638"/>
      <c r="I68" s="638"/>
      <c r="J68" s="638"/>
      <c r="K68" s="638"/>
      <c r="L68" s="638"/>
      <c r="M68" s="638"/>
      <c r="N68" s="638">
        <v>2</v>
      </c>
      <c r="O68" s="638">
        <v>1690</v>
      </c>
      <c r="P68" s="660"/>
      <c r="Q68" s="639">
        <v>845</v>
      </c>
    </row>
    <row r="69" spans="1:17" ht="14.4" customHeight="1" x14ac:dyDescent="0.3">
      <c r="A69" s="634" t="s">
        <v>487</v>
      </c>
      <c r="B69" s="635" t="s">
        <v>1944</v>
      </c>
      <c r="C69" s="635" t="s">
        <v>1819</v>
      </c>
      <c r="D69" s="635" t="s">
        <v>1957</v>
      </c>
      <c r="E69" s="635" t="s">
        <v>1958</v>
      </c>
      <c r="F69" s="638">
        <v>1</v>
      </c>
      <c r="G69" s="638">
        <v>111</v>
      </c>
      <c r="H69" s="638">
        <v>1</v>
      </c>
      <c r="I69" s="638">
        <v>111</v>
      </c>
      <c r="J69" s="638"/>
      <c r="K69" s="638"/>
      <c r="L69" s="638"/>
      <c r="M69" s="638"/>
      <c r="N69" s="638">
        <v>1</v>
      </c>
      <c r="O69" s="638">
        <v>112</v>
      </c>
      <c r="P69" s="660">
        <v>1.0090090090090089</v>
      </c>
      <c r="Q69" s="639">
        <v>112</v>
      </c>
    </row>
    <row r="70" spans="1:17" ht="14.4" customHeight="1" x14ac:dyDescent="0.3">
      <c r="A70" s="634" t="s">
        <v>487</v>
      </c>
      <c r="B70" s="635" t="s">
        <v>1944</v>
      </c>
      <c r="C70" s="635" t="s">
        <v>1819</v>
      </c>
      <c r="D70" s="635" t="s">
        <v>1959</v>
      </c>
      <c r="E70" s="635" t="s">
        <v>1960</v>
      </c>
      <c r="F70" s="638">
        <v>21</v>
      </c>
      <c r="G70" s="638">
        <v>3360</v>
      </c>
      <c r="H70" s="638">
        <v>1</v>
      </c>
      <c r="I70" s="638">
        <v>160</v>
      </c>
      <c r="J70" s="638">
        <v>1</v>
      </c>
      <c r="K70" s="638">
        <v>161</v>
      </c>
      <c r="L70" s="638">
        <v>4.791666666666667E-2</v>
      </c>
      <c r="M70" s="638">
        <v>161</v>
      </c>
      <c r="N70" s="638"/>
      <c r="O70" s="638"/>
      <c r="P70" s="660"/>
      <c r="Q70" s="639"/>
    </row>
    <row r="71" spans="1:17" ht="14.4" customHeight="1" x14ac:dyDescent="0.3">
      <c r="A71" s="634" t="s">
        <v>487</v>
      </c>
      <c r="B71" s="635" t="s">
        <v>1944</v>
      </c>
      <c r="C71" s="635" t="s">
        <v>1819</v>
      </c>
      <c r="D71" s="635" t="s">
        <v>1961</v>
      </c>
      <c r="E71" s="635" t="s">
        <v>1962</v>
      </c>
      <c r="F71" s="638"/>
      <c r="G71" s="638"/>
      <c r="H71" s="638"/>
      <c r="I71" s="638"/>
      <c r="J71" s="638">
        <v>5</v>
      </c>
      <c r="K71" s="638">
        <v>4810</v>
      </c>
      <c r="L71" s="638"/>
      <c r="M71" s="638">
        <v>962</v>
      </c>
      <c r="N71" s="638"/>
      <c r="O71" s="638"/>
      <c r="P71" s="660"/>
      <c r="Q71" s="639"/>
    </row>
    <row r="72" spans="1:17" ht="14.4" customHeight="1" x14ac:dyDescent="0.3">
      <c r="A72" s="634" t="s">
        <v>487</v>
      </c>
      <c r="B72" s="635" t="s">
        <v>1944</v>
      </c>
      <c r="C72" s="635" t="s">
        <v>1819</v>
      </c>
      <c r="D72" s="635" t="s">
        <v>1963</v>
      </c>
      <c r="E72" s="635" t="s">
        <v>1964</v>
      </c>
      <c r="F72" s="638"/>
      <c r="G72" s="638"/>
      <c r="H72" s="638"/>
      <c r="I72" s="638"/>
      <c r="J72" s="638"/>
      <c r="K72" s="638"/>
      <c r="L72" s="638"/>
      <c r="M72" s="638"/>
      <c r="N72" s="638">
        <v>1</v>
      </c>
      <c r="O72" s="638">
        <v>686</v>
      </c>
      <c r="P72" s="660"/>
      <c r="Q72" s="639">
        <v>686</v>
      </c>
    </row>
    <row r="73" spans="1:17" ht="14.4" customHeight="1" x14ac:dyDescent="0.3">
      <c r="A73" s="634" t="s">
        <v>487</v>
      </c>
      <c r="B73" s="635" t="s">
        <v>1944</v>
      </c>
      <c r="C73" s="635" t="s">
        <v>1819</v>
      </c>
      <c r="D73" s="635" t="s">
        <v>1965</v>
      </c>
      <c r="E73" s="635" t="s">
        <v>1966</v>
      </c>
      <c r="F73" s="638"/>
      <c r="G73" s="638"/>
      <c r="H73" s="638"/>
      <c r="I73" s="638"/>
      <c r="J73" s="638"/>
      <c r="K73" s="638"/>
      <c r="L73" s="638"/>
      <c r="M73" s="638"/>
      <c r="N73" s="638">
        <v>1</v>
      </c>
      <c r="O73" s="638">
        <v>311</v>
      </c>
      <c r="P73" s="660"/>
      <c r="Q73" s="639">
        <v>311</v>
      </c>
    </row>
    <row r="74" spans="1:17" ht="14.4" customHeight="1" x14ac:dyDescent="0.3">
      <c r="A74" s="634" t="s">
        <v>487</v>
      </c>
      <c r="B74" s="635" t="s">
        <v>1967</v>
      </c>
      <c r="C74" s="635" t="s">
        <v>1968</v>
      </c>
      <c r="D74" s="635" t="s">
        <v>1969</v>
      </c>
      <c r="E74" s="635" t="s">
        <v>1970</v>
      </c>
      <c r="F74" s="638"/>
      <c r="G74" s="638"/>
      <c r="H74" s="638"/>
      <c r="I74" s="638"/>
      <c r="J74" s="638"/>
      <c r="K74" s="638"/>
      <c r="L74" s="638"/>
      <c r="M74" s="638"/>
      <c r="N74" s="638">
        <v>2</v>
      </c>
      <c r="O74" s="638">
        <v>166.6</v>
      </c>
      <c r="P74" s="660"/>
      <c r="Q74" s="639">
        <v>83.3</v>
      </c>
    </row>
    <row r="75" spans="1:17" ht="14.4" customHeight="1" x14ac:dyDescent="0.3">
      <c r="A75" s="634" t="s">
        <v>487</v>
      </c>
      <c r="B75" s="635" t="s">
        <v>1967</v>
      </c>
      <c r="C75" s="635" t="s">
        <v>1968</v>
      </c>
      <c r="D75" s="635" t="s">
        <v>1971</v>
      </c>
      <c r="E75" s="635" t="s">
        <v>1972</v>
      </c>
      <c r="F75" s="638"/>
      <c r="G75" s="638"/>
      <c r="H75" s="638"/>
      <c r="I75" s="638"/>
      <c r="J75" s="638"/>
      <c r="K75" s="638"/>
      <c r="L75" s="638"/>
      <c r="M75" s="638"/>
      <c r="N75" s="638">
        <v>6</v>
      </c>
      <c r="O75" s="638">
        <v>31288.92</v>
      </c>
      <c r="P75" s="660"/>
      <c r="Q75" s="639">
        <v>5214.82</v>
      </c>
    </row>
    <row r="76" spans="1:17" ht="14.4" customHeight="1" x14ac:dyDescent="0.3">
      <c r="A76" s="634" t="s">
        <v>487</v>
      </c>
      <c r="B76" s="635" t="s">
        <v>1967</v>
      </c>
      <c r="C76" s="635" t="s">
        <v>1968</v>
      </c>
      <c r="D76" s="635" t="s">
        <v>1973</v>
      </c>
      <c r="E76" s="635" t="s">
        <v>1237</v>
      </c>
      <c r="F76" s="638"/>
      <c r="G76" s="638"/>
      <c r="H76" s="638"/>
      <c r="I76" s="638"/>
      <c r="J76" s="638"/>
      <c r="K76" s="638"/>
      <c r="L76" s="638"/>
      <c r="M76" s="638"/>
      <c r="N76" s="638">
        <v>34</v>
      </c>
      <c r="O76" s="638">
        <v>4010.64</v>
      </c>
      <c r="P76" s="660"/>
      <c r="Q76" s="639">
        <v>117.96</v>
      </c>
    </row>
    <row r="77" spans="1:17" ht="14.4" customHeight="1" x14ac:dyDescent="0.3">
      <c r="A77" s="634" t="s">
        <v>487</v>
      </c>
      <c r="B77" s="635" t="s">
        <v>1967</v>
      </c>
      <c r="C77" s="635" t="s">
        <v>1968</v>
      </c>
      <c r="D77" s="635" t="s">
        <v>1974</v>
      </c>
      <c r="E77" s="635" t="s">
        <v>1237</v>
      </c>
      <c r="F77" s="638"/>
      <c r="G77" s="638"/>
      <c r="H77" s="638"/>
      <c r="I77" s="638"/>
      <c r="J77" s="638"/>
      <c r="K77" s="638"/>
      <c r="L77" s="638"/>
      <c r="M77" s="638"/>
      <c r="N77" s="638">
        <v>23</v>
      </c>
      <c r="O77" s="638">
        <v>1830.57</v>
      </c>
      <c r="P77" s="660"/>
      <c r="Q77" s="639">
        <v>79.59</v>
      </c>
    </row>
    <row r="78" spans="1:17" ht="14.4" customHeight="1" x14ac:dyDescent="0.3">
      <c r="A78" s="634" t="s">
        <v>487</v>
      </c>
      <c r="B78" s="635" t="s">
        <v>1967</v>
      </c>
      <c r="C78" s="635" t="s">
        <v>1968</v>
      </c>
      <c r="D78" s="635" t="s">
        <v>1975</v>
      </c>
      <c r="E78" s="635" t="s">
        <v>1976</v>
      </c>
      <c r="F78" s="638"/>
      <c r="G78" s="638"/>
      <c r="H78" s="638"/>
      <c r="I78" s="638"/>
      <c r="J78" s="638"/>
      <c r="K78" s="638"/>
      <c r="L78" s="638"/>
      <c r="M78" s="638"/>
      <c r="N78" s="638">
        <v>7.4</v>
      </c>
      <c r="O78" s="638">
        <v>4654.1400000000003</v>
      </c>
      <c r="P78" s="660"/>
      <c r="Q78" s="639">
        <v>628.93783783783783</v>
      </c>
    </row>
    <row r="79" spans="1:17" ht="14.4" customHeight="1" x14ac:dyDescent="0.3">
      <c r="A79" s="634" t="s">
        <v>487</v>
      </c>
      <c r="B79" s="635" t="s">
        <v>1967</v>
      </c>
      <c r="C79" s="635" t="s">
        <v>1968</v>
      </c>
      <c r="D79" s="635" t="s">
        <v>1977</v>
      </c>
      <c r="E79" s="635" t="s">
        <v>1978</v>
      </c>
      <c r="F79" s="638"/>
      <c r="G79" s="638"/>
      <c r="H79" s="638"/>
      <c r="I79" s="638"/>
      <c r="J79" s="638"/>
      <c r="K79" s="638"/>
      <c r="L79" s="638"/>
      <c r="M79" s="638"/>
      <c r="N79" s="638">
        <v>16</v>
      </c>
      <c r="O79" s="638">
        <v>1345.28</v>
      </c>
      <c r="P79" s="660"/>
      <c r="Q79" s="639">
        <v>84.08</v>
      </c>
    </row>
    <row r="80" spans="1:17" ht="14.4" customHeight="1" x14ac:dyDescent="0.3">
      <c r="A80" s="634" t="s">
        <v>487</v>
      </c>
      <c r="B80" s="635" t="s">
        <v>1967</v>
      </c>
      <c r="C80" s="635" t="s">
        <v>1968</v>
      </c>
      <c r="D80" s="635" t="s">
        <v>1979</v>
      </c>
      <c r="E80" s="635" t="s">
        <v>1204</v>
      </c>
      <c r="F80" s="638"/>
      <c r="G80" s="638"/>
      <c r="H80" s="638"/>
      <c r="I80" s="638"/>
      <c r="J80" s="638"/>
      <c r="K80" s="638"/>
      <c r="L80" s="638"/>
      <c r="M80" s="638"/>
      <c r="N80" s="638">
        <v>105</v>
      </c>
      <c r="O80" s="638">
        <v>6410.25</v>
      </c>
      <c r="P80" s="660"/>
      <c r="Q80" s="639">
        <v>61.05</v>
      </c>
    </row>
    <row r="81" spans="1:17" ht="14.4" customHeight="1" x14ac:dyDescent="0.3">
      <c r="A81" s="634" t="s">
        <v>487</v>
      </c>
      <c r="B81" s="635" t="s">
        <v>1967</v>
      </c>
      <c r="C81" s="635" t="s">
        <v>1968</v>
      </c>
      <c r="D81" s="635" t="s">
        <v>1980</v>
      </c>
      <c r="E81" s="635" t="s">
        <v>1156</v>
      </c>
      <c r="F81" s="638"/>
      <c r="G81" s="638"/>
      <c r="H81" s="638"/>
      <c r="I81" s="638"/>
      <c r="J81" s="638"/>
      <c r="K81" s="638"/>
      <c r="L81" s="638"/>
      <c r="M81" s="638"/>
      <c r="N81" s="638">
        <v>7.9</v>
      </c>
      <c r="O81" s="638">
        <v>5717.59</v>
      </c>
      <c r="P81" s="660"/>
      <c r="Q81" s="639">
        <v>723.74556962025315</v>
      </c>
    </row>
    <row r="82" spans="1:17" ht="14.4" customHeight="1" x14ac:dyDescent="0.3">
      <c r="A82" s="634" t="s">
        <v>487</v>
      </c>
      <c r="B82" s="635" t="s">
        <v>1967</v>
      </c>
      <c r="C82" s="635" t="s">
        <v>1968</v>
      </c>
      <c r="D82" s="635" t="s">
        <v>1981</v>
      </c>
      <c r="E82" s="635" t="s">
        <v>1241</v>
      </c>
      <c r="F82" s="638"/>
      <c r="G82" s="638"/>
      <c r="H82" s="638"/>
      <c r="I82" s="638"/>
      <c r="J82" s="638"/>
      <c r="K82" s="638"/>
      <c r="L82" s="638"/>
      <c r="M82" s="638"/>
      <c r="N82" s="638">
        <v>3.6</v>
      </c>
      <c r="O82" s="638">
        <v>48955.680000000008</v>
      </c>
      <c r="P82" s="660"/>
      <c r="Q82" s="639">
        <v>13598.800000000001</v>
      </c>
    </row>
    <row r="83" spans="1:17" ht="14.4" customHeight="1" x14ac:dyDescent="0.3">
      <c r="A83" s="634" t="s">
        <v>487</v>
      </c>
      <c r="B83" s="635" t="s">
        <v>1967</v>
      </c>
      <c r="C83" s="635" t="s">
        <v>1968</v>
      </c>
      <c r="D83" s="635" t="s">
        <v>1982</v>
      </c>
      <c r="E83" s="635" t="s">
        <v>1255</v>
      </c>
      <c r="F83" s="638"/>
      <c r="G83" s="638"/>
      <c r="H83" s="638"/>
      <c r="I83" s="638"/>
      <c r="J83" s="638"/>
      <c r="K83" s="638"/>
      <c r="L83" s="638"/>
      <c r="M83" s="638"/>
      <c r="N83" s="638">
        <v>2</v>
      </c>
      <c r="O83" s="638">
        <v>7004.82</v>
      </c>
      <c r="P83" s="660"/>
      <c r="Q83" s="639">
        <v>3502.41</v>
      </c>
    </row>
    <row r="84" spans="1:17" ht="14.4" customHeight="1" x14ac:dyDescent="0.3">
      <c r="A84" s="634" t="s">
        <v>487</v>
      </c>
      <c r="B84" s="635" t="s">
        <v>1967</v>
      </c>
      <c r="C84" s="635" t="s">
        <v>1968</v>
      </c>
      <c r="D84" s="635" t="s">
        <v>1983</v>
      </c>
      <c r="E84" s="635" t="s">
        <v>1346</v>
      </c>
      <c r="F84" s="638"/>
      <c r="G84" s="638"/>
      <c r="H84" s="638"/>
      <c r="I84" s="638"/>
      <c r="J84" s="638"/>
      <c r="K84" s="638"/>
      <c r="L84" s="638"/>
      <c r="M84" s="638"/>
      <c r="N84" s="638">
        <v>64</v>
      </c>
      <c r="O84" s="638">
        <v>2583.04</v>
      </c>
      <c r="P84" s="660"/>
      <c r="Q84" s="639">
        <v>40.36</v>
      </c>
    </row>
    <row r="85" spans="1:17" ht="14.4" customHeight="1" x14ac:dyDescent="0.3">
      <c r="A85" s="634" t="s">
        <v>487</v>
      </c>
      <c r="B85" s="635" t="s">
        <v>1967</v>
      </c>
      <c r="C85" s="635" t="s">
        <v>1968</v>
      </c>
      <c r="D85" s="635" t="s">
        <v>1984</v>
      </c>
      <c r="E85" s="635" t="s">
        <v>1216</v>
      </c>
      <c r="F85" s="638"/>
      <c r="G85" s="638"/>
      <c r="H85" s="638"/>
      <c r="I85" s="638"/>
      <c r="J85" s="638"/>
      <c r="K85" s="638"/>
      <c r="L85" s="638"/>
      <c r="M85" s="638"/>
      <c r="N85" s="638">
        <v>4.8000000000000007</v>
      </c>
      <c r="O85" s="638">
        <v>1940.16</v>
      </c>
      <c r="P85" s="660"/>
      <c r="Q85" s="639">
        <v>404.19999999999993</v>
      </c>
    </row>
    <row r="86" spans="1:17" ht="14.4" customHeight="1" x14ac:dyDescent="0.3">
      <c r="A86" s="634" t="s">
        <v>487</v>
      </c>
      <c r="B86" s="635" t="s">
        <v>1967</v>
      </c>
      <c r="C86" s="635" t="s">
        <v>1968</v>
      </c>
      <c r="D86" s="635" t="s">
        <v>1263</v>
      </c>
      <c r="E86" s="635" t="s">
        <v>1985</v>
      </c>
      <c r="F86" s="638"/>
      <c r="G86" s="638"/>
      <c r="H86" s="638"/>
      <c r="I86" s="638"/>
      <c r="J86" s="638"/>
      <c r="K86" s="638"/>
      <c r="L86" s="638"/>
      <c r="M86" s="638"/>
      <c r="N86" s="638">
        <v>2</v>
      </c>
      <c r="O86" s="638">
        <v>13793</v>
      </c>
      <c r="P86" s="660"/>
      <c r="Q86" s="639">
        <v>6896.5</v>
      </c>
    </row>
    <row r="87" spans="1:17" ht="14.4" customHeight="1" x14ac:dyDescent="0.3">
      <c r="A87" s="634" t="s">
        <v>487</v>
      </c>
      <c r="B87" s="635" t="s">
        <v>1967</v>
      </c>
      <c r="C87" s="635" t="s">
        <v>1968</v>
      </c>
      <c r="D87" s="635" t="s">
        <v>1986</v>
      </c>
      <c r="E87" s="635" t="s">
        <v>1352</v>
      </c>
      <c r="F87" s="638"/>
      <c r="G87" s="638"/>
      <c r="H87" s="638"/>
      <c r="I87" s="638"/>
      <c r="J87" s="638"/>
      <c r="K87" s="638"/>
      <c r="L87" s="638"/>
      <c r="M87" s="638"/>
      <c r="N87" s="638">
        <v>78</v>
      </c>
      <c r="O87" s="638">
        <v>3705</v>
      </c>
      <c r="P87" s="660"/>
      <c r="Q87" s="639">
        <v>47.5</v>
      </c>
    </row>
    <row r="88" spans="1:17" ht="14.4" customHeight="1" x14ac:dyDescent="0.3">
      <c r="A88" s="634" t="s">
        <v>487</v>
      </c>
      <c r="B88" s="635" t="s">
        <v>1967</v>
      </c>
      <c r="C88" s="635" t="s">
        <v>1968</v>
      </c>
      <c r="D88" s="635" t="s">
        <v>1987</v>
      </c>
      <c r="E88" s="635" t="s">
        <v>1231</v>
      </c>
      <c r="F88" s="638"/>
      <c r="G88" s="638"/>
      <c r="H88" s="638"/>
      <c r="I88" s="638"/>
      <c r="J88" s="638"/>
      <c r="K88" s="638"/>
      <c r="L88" s="638"/>
      <c r="M88" s="638"/>
      <c r="N88" s="638">
        <v>2</v>
      </c>
      <c r="O88" s="638">
        <v>161.46</v>
      </c>
      <c r="P88" s="660"/>
      <c r="Q88" s="639">
        <v>80.73</v>
      </c>
    </row>
    <row r="89" spans="1:17" ht="14.4" customHeight="1" x14ac:dyDescent="0.3">
      <c r="A89" s="634" t="s">
        <v>487</v>
      </c>
      <c r="B89" s="635" t="s">
        <v>1967</v>
      </c>
      <c r="C89" s="635" t="s">
        <v>1968</v>
      </c>
      <c r="D89" s="635" t="s">
        <v>1988</v>
      </c>
      <c r="E89" s="635" t="s">
        <v>1328</v>
      </c>
      <c r="F89" s="638"/>
      <c r="G89" s="638"/>
      <c r="H89" s="638"/>
      <c r="I89" s="638"/>
      <c r="J89" s="638"/>
      <c r="K89" s="638"/>
      <c r="L89" s="638"/>
      <c r="M89" s="638"/>
      <c r="N89" s="638">
        <v>60.2</v>
      </c>
      <c r="O89" s="638">
        <v>22860.949999999997</v>
      </c>
      <c r="P89" s="660"/>
      <c r="Q89" s="639">
        <v>379.74999999999994</v>
      </c>
    </row>
    <row r="90" spans="1:17" ht="14.4" customHeight="1" x14ac:dyDescent="0.3">
      <c r="A90" s="634" t="s">
        <v>487</v>
      </c>
      <c r="B90" s="635" t="s">
        <v>1967</v>
      </c>
      <c r="C90" s="635" t="s">
        <v>1968</v>
      </c>
      <c r="D90" s="635" t="s">
        <v>1989</v>
      </c>
      <c r="E90" s="635" t="s">
        <v>1335</v>
      </c>
      <c r="F90" s="638"/>
      <c r="G90" s="638"/>
      <c r="H90" s="638"/>
      <c r="I90" s="638"/>
      <c r="J90" s="638"/>
      <c r="K90" s="638"/>
      <c r="L90" s="638"/>
      <c r="M90" s="638"/>
      <c r="N90" s="638">
        <v>40.299999999999997</v>
      </c>
      <c r="O90" s="638">
        <v>2537.19</v>
      </c>
      <c r="P90" s="660"/>
      <c r="Q90" s="639">
        <v>62.957568238213405</v>
      </c>
    </row>
    <row r="91" spans="1:17" ht="14.4" customHeight="1" x14ac:dyDescent="0.3">
      <c r="A91" s="634" t="s">
        <v>487</v>
      </c>
      <c r="B91" s="635" t="s">
        <v>1967</v>
      </c>
      <c r="C91" s="635" t="s">
        <v>1968</v>
      </c>
      <c r="D91" s="635" t="s">
        <v>1990</v>
      </c>
      <c r="E91" s="635" t="s">
        <v>1991</v>
      </c>
      <c r="F91" s="638"/>
      <c r="G91" s="638"/>
      <c r="H91" s="638"/>
      <c r="I91" s="638"/>
      <c r="J91" s="638"/>
      <c r="K91" s="638"/>
      <c r="L91" s="638"/>
      <c r="M91" s="638"/>
      <c r="N91" s="638">
        <v>3.8</v>
      </c>
      <c r="O91" s="638">
        <v>14918.42</v>
      </c>
      <c r="P91" s="660"/>
      <c r="Q91" s="639">
        <v>3925.9</v>
      </c>
    </row>
    <row r="92" spans="1:17" ht="14.4" customHeight="1" x14ac:dyDescent="0.3">
      <c r="A92" s="634" t="s">
        <v>487</v>
      </c>
      <c r="B92" s="635" t="s">
        <v>1967</v>
      </c>
      <c r="C92" s="635" t="s">
        <v>1968</v>
      </c>
      <c r="D92" s="635" t="s">
        <v>1992</v>
      </c>
      <c r="E92" s="635" t="s">
        <v>1993</v>
      </c>
      <c r="F92" s="638"/>
      <c r="G92" s="638"/>
      <c r="H92" s="638"/>
      <c r="I92" s="638"/>
      <c r="J92" s="638"/>
      <c r="K92" s="638"/>
      <c r="L92" s="638"/>
      <c r="M92" s="638"/>
      <c r="N92" s="638">
        <v>0.6</v>
      </c>
      <c r="O92" s="638">
        <v>1321.86</v>
      </c>
      <c r="P92" s="660"/>
      <c r="Q92" s="639">
        <v>2203.1</v>
      </c>
    </row>
    <row r="93" spans="1:17" ht="14.4" customHeight="1" x14ac:dyDescent="0.3">
      <c r="A93" s="634" t="s">
        <v>487</v>
      </c>
      <c r="B93" s="635" t="s">
        <v>1967</v>
      </c>
      <c r="C93" s="635" t="s">
        <v>1968</v>
      </c>
      <c r="D93" s="635" t="s">
        <v>1994</v>
      </c>
      <c r="E93" s="635" t="s">
        <v>1348</v>
      </c>
      <c r="F93" s="638"/>
      <c r="G93" s="638"/>
      <c r="H93" s="638"/>
      <c r="I93" s="638"/>
      <c r="J93" s="638"/>
      <c r="K93" s="638"/>
      <c r="L93" s="638"/>
      <c r="M93" s="638"/>
      <c r="N93" s="638">
        <v>34</v>
      </c>
      <c r="O93" s="638">
        <v>3895.72</v>
      </c>
      <c r="P93" s="660"/>
      <c r="Q93" s="639">
        <v>114.58</v>
      </c>
    </row>
    <row r="94" spans="1:17" ht="14.4" customHeight="1" x14ac:dyDescent="0.3">
      <c r="A94" s="634" t="s">
        <v>487</v>
      </c>
      <c r="B94" s="635" t="s">
        <v>1967</v>
      </c>
      <c r="C94" s="635" t="s">
        <v>1968</v>
      </c>
      <c r="D94" s="635" t="s">
        <v>1995</v>
      </c>
      <c r="E94" s="635" t="s">
        <v>1996</v>
      </c>
      <c r="F94" s="638"/>
      <c r="G94" s="638"/>
      <c r="H94" s="638"/>
      <c r="I94" s="638"/>
      <c r="J94" s="638"/>
      <c r="K94" s="638"/>
      <c r="L94" s="638"/>
      <c r="M94" s="638"/>
      <c r="N94" s="638">
        <v>1</v>
      </c>
      <c r="O94" s="638">
        <v>217</v>
      </c>
      <c r="P94" s="660"/>
      <c r="Q94" s="639">
        <v>217</v>
      </c>
    </row>
    <row r="95" spans="1:17" ht="14.4" customHeight="1" x14ac:dyDescent="0.3">
      <c r="A95" s="634" t="s">
        <v>487</v>
      </c>
      <c r="B95" s="635" t="s">
        <v>1967</v>
      </c>
      <c r="C95" s="635" t="s">
        <v>1968</v>
      </c>
      <c r="D95" s="635" t="s">
        <v>1997</v>
      </c>
      <c r="E95" s="635" t="s">
        <v>1998</v>
      </c>
      <c r="F95" s="638"/>
      <c r="G95" s="638"/>
      <c r="H95" s="638"/>
      <c r="I95" s="638"/>
      <c r="J95" s="638"/>
      <c r="K95" s="638"/>
      <c r="L95" s="638"/>
      <c r="M95" s="638"/>
      <c r="N95" s="638">
        <v>8</v>
      </c>
      <c r="O95" s="638">
        <v>549.91999999999996</v>
      </c>
      <c r="P95" s="660"/>
      <c r="Q95" s="639">
        <v>68.739999999999995</v>
      </c>
    </row>
    <row r="96" spans="1:17" ht="14.4" customHeight="1" x14ac:dyDescent="0.3">
      <c r="A96" s="634" t="s">
        <v>487</v>
      </c>
      <c r="B96" s="635" t="s">
        <v>1967</v>
      </c>
      <c r="C96" s="635" t="s">
        <v>1968</v>
      </c>
      <c r="D96" s="635" t="s">
        <v>1999</v>
      </c>
      <c r="E96" s="635" t="s">
        <v>1136</v>
      </c>
      <c r="F96" s="638"/>
      <c r="G96" s="638"/>
      <c r="H96" s="638"/>
      <c r="I96" s="638"/>
      <c r="J96" s="638"/>
      <c r="K96" s="638"/>
      <c r="L96" s="638"/>
      <c r="M96" s="638"/>
      <c r="N96" s="638">
        <v>2.1</v>
      </c>
      <c r="O96" s="638">
        <v>203.59</v>
      </c>
      <c r="P96" s="660"/>
      <c r="Q96" s="639">
        <v>96.947619047619042</v>
      </c>
    </row>
    <row r="97" spans="1:17" ht="14.4" customHeight="1" x14ac:dyDescent="0.3">
      <c r="A97" s="634" t="s">
        <v>487</v>
      </c>
      <c r="B97" s="635" t="s">
        <v>1967</v>
      </c>
      <c r="C97" s="635" t="s">
        <v>1968</v>
      </c>
      <c r="D97" s="635" t="s">
        <v>2000</v>
      </c>
      <c r="E97" s="635" t="s">
        <v>2001</v>
      </c>
      <c r="F97" s="638"/>
      <c r="G97" s="638"/>
      <c r="H97" s="638"/>
      <c r="I97" s="638"/>
      <c r="J97" s="638"/>
      <c r="K97" s="638"/>
      <c r="L97" s="638"/>
      <c r="M97" s="638"/>
      <c r="N97" s="638">
        <v>11</v>
      </c>
      <c r="O97" s="638">
        <v>14804.68</v>
      </c>
      <c r="P97" s="660"/>
      <c r="Q97" s="639">
        <v>1345.88</v>
      </c>
    </row>
    <row r="98" spans="1:17" ht="14.4" customHeight="1" x14ac:dyDescent="0.3">
      <c r="A98" s="634" t="s">
        <v>487</v>
      </c>
      <c r="B98" s="635" t="s">
        <v>1967</v>
      </c>
      <c r="C98" s="635" t="s">
        <v>1968</v>
      </c>
      <c r="D98" s="635" t="s">
        <v>2002</v>
      </c>
      <c r="E98" s="635" t="s">
        <v>2003</v>
      </c>
      <c r="F98" s="638"/>
      <c r="G98" s="638"/>
      <c r="H98" s="638"/>
      <c r="I98" s="638"/>
      <c r="J98" s="638"/>
      <c r="K98" s="638"/>
      <c r="L98" s="638"/>
      <c r="M98" s="638"/>
      <c r="N98" s="638">
        <v>1.85</v>
      </c>
      <c r="O98" s="638">
        <v>1480</v>
      </c>
      <c r="P98" s="660"/>
      <c r="Q98" s="639">
        <v>800</v>
      </c>
    </row>
    <row r="99" spans="1:17" ht="14.4" customHeight="1" x14ac:dyDescent="0.3">
      <c r="A99" s="634" t="s">
        <v>487</v>
      </c>
      <c r="B99" s="635" t="s">
        <v>1967</v>
      </c>
      <c r="C99" s="635" t="s">
        <v>1968</v>
      </c>
      <c r="D99" s="635" t="s">
        <v>2004</v>
      </c>
      <c r="E99" s="635" t="s">
        <v>1179</v>
      </c>
      <c r="F99" s="638"/>
      <c r="G99" s="638"/>
      <c r="H99" s="638"/>
      <c r="I99" s="638"/>
      <c r="J99" s="638"/>
      <c r="K99" s="638"/>
      <c r="L99" s="638"/>
      <c r="M99" s="638"/>
      <c r="N99" s="638">
        <v>2.9</v>
      </c>
      <c r="O99" s="638">
        <v>2348.5099999999998</v>
      </c>
      <c r="P99" s="660"/>
      <c r="Q99" s="639">
        <v>809.83103448275858</v>
      </c>
    </row>
    <row r="100" spans="1:17" ht="14.4" customHeight="1" x14ac:dyDescent="0.3">
      <c r="A100" s="634" t="s">
        <v>487</v>
      </c>
      <c r="B100" s="635" t="s">
        <v>1967</v>
      </c>
      <c r="C100" s="635" t="s">
        <v>1968</v>
      </c>
      <c r="D100" s="635" t="s">
        <v>2005</v>
      </c>
      <c r="E100" s="635" t="s">
        <v>2006</v>
      </c>
      <c r="F100" s="638"/>
      <c r="G100" s="638"/>
      <c r="H100" s="638"/>
      <c r="I100" s="638"/>
      <c r="J100" s="638"/>
      <c r="K100" s="638"/>
      <c r="L100" s="638"/>
      <c r="M100" s="638"/>
      <c r="N100" s="638">
        <v>0.4</v>
      </c>
      <c r="O100" s="638">
        <v>322.89999999999998</v>
      </c>
      <c r="P100" s="660"/>
      <c r="Q100" s="639">
        <v>807.24999999999989</v>
      </c>
    </row>
    <row r="101" spans="1:17" ht="14.4" customHeight="1" x14ac:dyDescent="0.3">
      <c r="A101" s="634" t="s">
        <v>487</v>
      </c>
      <c r="B101" s="635" t="s">
        <v>1967</v>
      </c>
      <c r="C101" s="635" t="s">
        <v>1968</v>
      </c>
      <c r="D101" s="635" t="s">
        <v>2007</v>
      </c>
      <c r="E101" s="635" t="s">
        <v>2008</v>
      </c>
      <c r="F101" s="638"/>
      <c r="G101" s="638"/>
      <c r="H101" s="638"/>
      <c r="I101" s="638"/>
      <c r="J101" s="638"/>
      <c r="K101" s="638"/>
      <c r="L101" s="638"/>
      <c r="M101" s="638"/>
      <c r="N101" s="638">
        <v>2.74</v>
      </c>
      <c r="O101" s="638">
        <v>9962.5400000000009</v>
      </c>
      <c r="P101" s="660"/>
      <c r="Q101" s="639">
        <v>3635.9635036496352</v>
      </c>
    </row>
    <row r="102" spans="1:17" ht="14.4" customHeight="1" x14ac:dyDescent="0.3">
      <c r="A102" s="634" t="s">
        <v>487</v>
      </c>
      <c r="B102" s="635" t="s">
        <v>1967</v>
      </c>
      <c r="C102" s="635" t="s">
        <v>1968</v>
      </c>
      <c r="D102" s="635" t="s">
        <v>1261</v>
      </c>
      <c r="E102" s="635" t="s">
        <v>2009</v>
      </c>
      <c r="F102" s="638"/>
      <c r="G102" s="638"/>
      <c r="H102" s="638"/>
      <c r="I102" s="638"/>
      <c r="J102" s="638"/>
      <c r="K102" s="638"/>
      <c r="L102" s="638"/>
      <c r="M102" s="638"/>
      <c r="N102" s="638">
        <v>3</v>
      </c>
      <c r="O102" s="638">
        <v>10510.17</v>
      </c>
      <c r="P102" s="660"/>
      <c r="Q102" s="639">
        <v>3503.39</v>
      </c>
    </row>
    <row r="103" spans="1:17" ht="14.4" customHeight="1" x14ac:dyDescent="0.3">
      <c r="A103" s="634" t="s">
        <v>487</v>
      </c>
      <c r="B103" s="635" t="s">
        <v>1967</v>
      </c>
      <c r="C103" s="635" t="s">
        <v>1968</v>
      </c>
      <c r="D103" s="635" t="s">
        <v>2010</v>
      </c>
      <c r="E103" s="635" t="s">
        <v>1193</v>
      </c>
      <c r="F103" s="638"/>
      <c r="G103" s="638"/>
      <c r="H103" s="638"/>
      <c r="I103" s="638"/>
      <c r="J103" s="638"/>
      <c r="K103" s="638"/>
      <c r="L103" s="638"/>
      <c r="M103" s="638"/>
      <c r="N103" s="638">
        <v>2.9</v>
      </c>
      <c r="O103" s="638">
        <v>8518.17</v>
      </c>
      <c r="P103" s="660"/>
      <c r="Q103" s="639">
        <v>2937.3</v>
      </c>
    </row>
    <row r="104" spans="1:17" ht="14.4" customHeight="1" x14ac:dyDescent="0.3">
      <c r="A104" s="634" t="s">
        <v>487</v>
      </c>
      <c r="B104" s="635" t="s">
        <v>1967</v>
      </c>
      <c r="C104" s="635" t="s">
        <v>2011</v>
      </c>
      <c r="D104" s="635" t="s">
        <v>2012</v>
      </c>
      <c r="E104" s="635" t="s">
        <v>2013</v>
      </c>
      <c r="F104" s="638"/>
      <c r="G104" s="638"/>
      <c r="H104" s="638"/>
      <c r="I104" s="638"/>
      <c r="J104" s="638"/>
      <c r="K104" s="638"/>
      <c r="L104" s="638"/>
      <c r="M104" s="638"/>
      <c r="N104" s="638">
        <v>109</v>
      </c>
      <c r="O104" s="638">
        <v>203348.22000000003</v>
      </c>
      <c r="P104" s="660"/>
      <c r="Q104" s="639">
        <v>1865.5800000000004</v>
      </c>
    </row>
    <row r="105" spans="1:17" ht="14.4" customHeight="1" x14ac:dyDescent="0.3">
      <c r="A105" s="634" t="s">
        <v>487</v>
      </c>
      <c r="B105" s="635" t="s">
        <v>1967</v>
      </c>
      <c r="C105" s="635" t="s">
        <v>2011</v>
      </c>
      <c r="D105" s="635" t="s">
        <v>2014</v>
      </c>
      <c r="E105" s="635" t="s">
        <v>2015</v>
      </c>
      <c r="F105" s="638"/>
      <c r="G105" s="638"/>
      <c r="H105" s="638"/>
      <c r="I105" s="638"/>
      <c r="J105" s="638"/>
      <c r="K105" s="638"/>
      <c r="L105" s="638"/>
      <c r="M105" s="638"/>
      <c r="N105" s="638">
        <v>6</v>
      </c>
      <c r="O105" s="638">
        <v>16372.26</v>
      </c>
      <c r="P105" s="660"/>
      <c r="Q105" s="639">
        <v>2728.71</v>
      </c>
    </row>
    <row r="106" spans="1:17" ht="14.4" customHeight="1" x14ac:dyDescent="0.3">
      <c r="A106" s="634" t="s">
        <v>487</v>
      </c>
      <c r="B106" s="635" t="s">
        <v>1967</v>
      </c>
      <c r="C106" s="635" t="s">
        <v>2011</v>
      </c>
      <c r="D106" s="635" t="s">
        <v>2016</v>
      </c>
      <c r="E106" s="635" t="s">
        <v>2017</v>
      </c>
      <c r="F106" s="638"/>
      <c r="G106" s="638"/>
      <c r="H106" s="638"/>
      <c r="I106" s="638"/>
      <c r="J106" s="638"/>
      <c r="K106" s="638"/>
      <c r="L106" s="638"/>
      <c r="M106" s="638"/>
      <c r="N106" s="638">
        <v>1</v>
      </c>
      <c r="O106" s="638">
        <v>1865.58</v>
      </c>
      <c r="P106" s="660"/>
      <c r="Q106" s="639">
        <v>1865.58</v>
      </c>
    </row>
    <row r="107" spans="1:17" ht="14.4" customHeight="1" x14ac:dyDescent="0.3">
      <c r="A107" s="634" t="s">
        <v>487</v>
      </c>
      <c r="B107" s="635" t="s">
        <v>1967</v>
      </c>
      <c r="C107" s="635" t="s">
        <v>2011</v>
      </c>
      <c r="D107" s="635" t="s">
        <v>2018</v>
      </c>
      <c r="E107" s="635" t="s">
        <v>2019</v>
      </c>
      <c r="F107" s="638"/>
      <c r="G107" s="638"/>
      <c r="H107" s="638"/>
      <c r="I107" s="638"/>
      <c r="J107" s="638"/>
      <c r="K107" s="638"/>
      <c r="L107" s="638"/>
      <c r="M107" s="638"/>
      <c r="N107" s="638">
        <v>1</v>
      </c>
      <c r="O107" s="638">
        <v>8074.36</v>
      </c>
      <c r="P107" s="660"/>
      <c r="Q107" s="639">
        <v>8074.36</v>
      </c>
    </row>
    <row r="108" spans="1:17" ht="14.4" customHeight="1" x14ac:dyDescent="0.3">
      <c r="A108" s="634" t="s">
        <v>487</v>
      </c>
      <c r="B108" s="635" t="s">
        <v>1967</v>
      </c>
      <c r="C108" s="635" t="s">
        <v>2011</v>
      </c>
      <c r="D108" s="635" t="s">
        <v>2020</v>
      </c>
      <c r="E108" s="635" t="s">
        <v>2021</v>
      </c>
      <c r="F108" s="638"/>
      <c r="G108" s="638"/>
      <c r="H108" s="638"/>
      <c r="I108" s="638"/>
      <c r="J108" s="638"/>
      <c r="K108" s="638"/>
      <c r="L108" s="638"/>
      <c r="M108" s="638"/>
      <c r="N108" s="638">
        <v>8</v>
      </c>
      <c r="O108" s="638">
        <v>77488.800000000003</v>
      </c>
      <c r="P108" s="660"/>
      <c r="Q108" s="639">
        <v>9686.1</v>
      </c>
    </row>
    <row r="109" spans="1:17" ht="14.4" customHeight="1" x14ac:dyDescent="0.3">
      <c r="A109" s="634" t="s">
        <v>487</v>
      </c>
      <c r="B109" s="635" t="s">
        <v>1967</v>
      </c>
      <c r="C109" s="635" t="s">
        <v>2011</v>
      </c>
      <c r="D109" s="635" t="s">
        <v>2022</v>
      </c>
      <c r="E109" s="635" t="s">
        <v>2023</v>
      </c>
      <c r="F109" s="638"/>
      <c r="G109" s="638"/>
      <c r="H109" s="638"/>
      <c r="I109" s="638"/>
      <c r="J109" s="638"/>
      <c r="K109" s="638"/>
      <c r="L109" s="638"/>
      <c r="M109" s="638"/>
      <c r="N109" s="638">
        <v>67</v>
      </c>
      <c r="O109" s="638">
        <v>62013.19</v>
      </c>
      <c r="P109" s="660"/>
      <c r="Q109" s="639">
        <v>925.57</v>
      </c>
    </row>
    <row r="110" spans="1:17" ht="14.4" customHeight="1" x14ac:dyDescent="0.3">
      <c r="A110" s="634" t="s">
        <v>487</v>
      </c>
      <c r="B110" s="635" t="s">
        <v>1967</v>
      </c>
      <c r="C110" s="635" t="s">
        <v>2024</v>
      </c>
      <c r="D110" s="635" t="s">
        <v>2025</v>
      </c>
      <c r="E110" s="635" t="s">
        <v>2026</v>
      </c>
      <c r="F110" s="638"/>
      <c r="G110" s="638"/>
      <c r="H110" s="638"/>
      <c r="I110" s="638"/>
      <c r="J110" s="638"/>
      <c r="K110" s="638"/>
      <c r="L110" s="638"/>
      <c r="M110" s="638"/>
      <c r="N110" s="638">
        <v>0.2</v>
      </c>
      <c r="O110" s="638">
        <v>192.55</v>
      </c>
      <c r="P110" s="660"/>
      <c r="Q110" s="639">
        <v>962.75</v>
      </c>
    </row>
    <row r="111" spans="1:17" ht="14.4" customHeight="1" x14ac:dyDescent="0.3">
      <c r="A111" s="634" t="s">
        <v>487</v>
      </c>
      <c r="B111" s="635" t="s">
        <v>1967</v>
      </c>
      <c r="C111" s="635" t="s">
        <v>2024</v>
      </c>
      <c r="D111" s="635" t="s">
        <v>2027</v>
      </c>
      <c r="E111" s="635" t="s">
        <v>2026</v>
      </c>
      <c r="F111" s="638"/>
      <c r="G111" s="638"/>
      <c r="H111" s="638"/>
      <c r="I111" s="638"/>
      <c r="J111" s="638"/>
      <c r="K111" s="638"/>
      <c r="L111" s="638"/>
      <c r="M111" s="638"/>
      <c r="N111" s="638">
        <v>1.4</v>
      </c>
      <c r="O111" s="638">
        <v>881.41</v>
      </c>
      <c r="P111" s="660"/>
      <c r="Q111" s="639">
        <v>629.57857142857142</v>
      </c>
    </row>
    <row r="112" spans="1:17" ht="14.4" customHeight="1" x14ac:dyDescent="0.3">
      <c r="A112" s="634" t="s">
        <v>487</v>
      </c>
      <c r="B112" s="635" t="s">
        <v>1967</v>
      </c>
      <c r="C112" s="635" t="s">
        <v>2024</v>
      </c>
      <c r="D112" s="635" t="s">
        <v>2028</v>
      </c>
      <c r="E112" s="635" t="s">
        <v>2029</v>
      </c>
      <c r="F112" s="638"/>
      <c r="G112" s="638"/>
      <c r="H112" s="638"/>
      <c r="I112" s="638"/>
      <c r="J112" s="638"/>
      <c r="K112" s="638"/>
      <c r="L112" s="638"/>
      <c r="M112" s="638"/>
      <c r="N112" s="638">
        <v>6</v>
      </c>
      <c r="O112" s="638">
        <v>15387</v>
      </c>
      <c r="P112" s="660"/>
      <c r="Q112" s="639">
        <v>2564.5</v>
      </c>
    </row>
    <row r="113" spans="1:17" ht="14.4" customHeight="1" x14ac:dyDescent="0.3">
      <c r="A113" s="634" t="s">
        <v>487</v>
      </c>
      <c r="B113" s="635" t="s">
        <v>1967</v>
      </c>
      <c r="C113" s="635" t="s">
        <v>2024</v>
      </c>
      <c r="D113" s="635" t="s">
        <v>2030</v>
      </c>
      <c r="E113" s="635" t="s">
        <v>2031</v>
      </c>
      <c r="F113" s="638"/>
      <c r="G113" s="638"/>
      <c r="H113" s="638"/>
      <c r="I113" s="638"/>
      <c r="J113" s="638"/>
      <c r="K113" s="638"/>
      <c r="L113" s="638"/>
      <c r="M113" s="638"/>
      <c r="N113" s="638">
        <v>2</v>
      </c>
      <c r="O113" s="638">
        <v>3887.8</v>
      </c>
      <c r="P113" s="660"/>
      <c r="Q113" s="639">
        <v>1943.9</v>
      </c>
    </row>
    <row r="114" spans="1:17" ht="14.4" customHeight="1" x14ac:dyDescent="0.3">
      <c r="A114" s="634" t="s">
        <v>487</v>
      </c>
      <c r="B114" s="635" t="s">
        <v>1967</v>
      </c>
      <c r="C114" s="635" t="s">
        <v>2024</v>
      </c>
      <c r="D114" s="635" t="s">
        <v>2032</v>
      </c>
      <c r="E114" s="635" t="s">
        <v>2033</v>
      </c>
      <c r="F114" s="638"/>
      <c r="G114" s="638"/>
      <c r="H114" s="638"/>
      <c r="I114" s="638"/>
      <c r="J114" s="638"/>
      <c r="K114" s="638"/>
      <c r="L114" s="638"/>
      <c r="M114" s="638"/>
      <c r="N114" s="638">
        <v>2</v>
      </c>
      <c r="O114" s="638">
        <v>3887.8</v>
      </c>
      <c r="P114" s="660"/>
      <c r="Q114" s="639">
        <v>1943.9</v>
      </c>
    </row>
    <row r="115" spans="1:17" ht="14.4" customHeight="1" x14ac:dyDescent="0.3">
      <c r="A115" s="634" t="s">
        <v>487</v>
      </c>
      <c r="B115" s="635" t="s">
        <v>1967</v>
      </c>
      <c r="C115" s="635" t="s">
        <v>2024</v>
      </c>
      <c r="D115" s="635" t="s">
        <v>2034</v>
      </c>
      <c r="E115" s="635" t="s">
        <v>2035</v>
      </c>
      <c r="F115" s="638"/>
      <c r="G115" s="638"/>
      <c r="H115" s="638"/>
      <c r="I115" s="638"/>
      <c r="J115" s="638"/>
      <c r="K115" s="638"/>
      <c r="L115" s="638"/>
      <c r="M115" s="638"/>
      <c r="N115" s="638">
        <v>5</v>
      </c>
      <c r="O115" s="638">
        <v>345.1</v>
      </c>
      <c r="P115" s="660"/>
      <c r="Q115" s="639">
        <v>69.02000000000001</v>
      </c>
    </row>
    <row r="116" spans="1:17" ht="14.4" customHeight="1" x14ac:dyDescent="0.3">
      <c r="A116" s="634" t="s">
        <v>487</v>
      </c>
      <c r="B116" s="635" t="s">
        <v>1967</v>
      </c>
      <c r="C116" s="635" t="s">
        <v>2024</v>
      </c>
      <c r="D116" s="635" t="s">
        <v>2036</v>
      </c>
      <c r="E116" s="635" t="s">
        <v>2037</v>
      </c>
      <c r="F116" s="638"/>
      <c r="G116" s="638"/>
      <c r="H116" s="638"/>
      <c r="I116" s="638"/>
      <c r="J116" s="638"/>
      <c r="K116" s="638"/>
      <c r="L116" s="638"/>
      <c r="M116" s="638"/>
      <c r="N116" s="638">
        <v>1</v>
      </c>
      <c r="O116" s="638">
        <v>6832.75</v>
      </c>
      <c r="P116" s="660"/>
      <c r="Q116" s="639">
        <v>6832.75</v>
      </c>
    </row>
    <row r="117" spans="1:17" ht="14.4" customHeight="1" x14ac:dyDescent="0.3">
      <c r="A117" s="634" t="s">
        <v>487</v>
      </c>
      <c r="B117" s="635" t="s">
        <v>1967</v>
      </c>
      <c r="C117" s="635" t="s">
        <v>2024</v>
      </c>
      <c r="D117" s="635" t="s">
        <v>2038</v>
      </c>
      <c r="E117" s="635" t="s">
        <v>2039</v>
      </c>
      <c r="F117" s="638"/>
      <c r="G117" s="638"/>
      <c r="H117" s="638"/>
      <c r="I117" s="638"/>
      <c r="J117" s="638"/>
      <c r="K117" s="638"/>
      <c r="L117" s="638"/>
      <c r="M117" s="638"/>
      <c r="N117" s="638">
        <v>1</v>
      </c>
      <c r="O117" s="638">
        <v>789.29</v>
      </c>
      <c r="P117" s="660"/>
      <c r="Q117" s="639">
        <v>789.29</v>
      </c>
    </row>
    <row r="118" spans="1:17" ht="14.4" customHeight="1" x14ac:dyDescent="0.3">
      <c r="A118" s="634" t="s">
        <v>487</v>
      </c>
      <c r="B118" s="635" t="s">
        <v>1967</v>
      </c>
      <c r="C118" s="635" t="s">
        <v>2024</v>
      </c>
      <c r="D118" s="635" t="s">
        <v>2040</v>
      </c>
      <c r="E118" s="635" t="s">
        <v>2041</v>
      </c>
      <c r="F118" s="638"/>
      <c r="G118" s="638"/>
      <c r="H118" s="638"/>
      <c r="I118" s="638"/>
      <c r="J118" s="638"/>
      <c r="K118" s="638"/>
      <c r="L118" s="638"/>
      <c r="M118" s="638"/>
      <c r="N118" s="638">
        <v>1</v>
      </c>
      <c r="O118" s="638">
        <v>68578</v>
      </c>
      <c r="P118" s="660"/>
      <c r="Q118" s="639">
        <v>68578</v>
      </c>
    </row>
    <row r="119" spans="1:17" ht="14.4" customHeight="1" x14ac:dyDescent="0.3">
      <c r="A119" s="634" t="s">
        <v>487</v>
      </c>
      <c r="B119" s="635" t="s">
        <v>1967</v>
      </c>
      <c r="C119" s="635" t="s">
        <v>2024</v>
      </c>
      <c r="D119" s="635" t="s">
        <v>2042</v>
      </c>
      <c r="E119" s="635" t="s">
        <v>2043</v>
      </c>
      <c r="F119" s="638"/>
      <c r="G119" s="638"/>
      <c r="H119" s="638"/>
      <c r="I119" s="638"/>
      <c r="J119" s="638"/>
      <c r="K119" s="638"/>
      <c r="L119" s="638"/>
      <c r="M119" s="638"/>
      <c r="N119" s="638">
        <v>1</v>
      </c>
      <c r="O119" s="638">
        <v>15998.9</v>
      </c>
      <c r="P119" s="660"/>
      <c r="Q119" s="639">
        <v>15998.9</v>
      </c>
    </row>
    <row r="120" spans="1:17" ht="14.4" customHeight="1" x14ac:dyDescent="0.3">
      <c r="A120" s="634" t="s">
        <v>487</v>
      </c>
      <c r="B120" s="635" t="s">
        <v>1967</v>
      </c>
      <c r="C120" s="635" t="s">
        <v>2024</v>
      </c>
      <c r="D120" s="635" t="s">
        <v>2044</v>
      </c>
      <c r="E120" s="635" t="s">
        <v>2045</v>
      </c>
      <c r="F120" s="638"/>
      <c r="G120" s="638"/>
      <c r="H120" s="638"/>
      <c r="I120" s="638"/>
      <c r="J120" s="638"/>
      <c r="K120" s="638"/>
      <c r="L120" s="638"/>
      <c r="M120" s="638"/>
      <c r="N120" s="638">
        <v>1</v>
      </c>
      <c r="O120" s="638">
        <v>1796</v>
      </c>
      <c r="P120" s="660"/>
      <c r="Q120" s="639">
        <v>1796</v>
      </c>
    </row>
    <row r="121" spans="1:17" ht="14.4" customHeight="1" x14ac:dyDescent="0.3">
      <c r="A121" s="634" t="s">
        <v>487</v>
      </c>
      <c r="B121" s="635" t="s">
        <v>1967</v>
      </c>
      <c r="C121" s="635" t="s">
        <v>2024</v>
      </c>
      <c r="D121" s="635" t="s">
        <v>2046</v>
      </c>
      <c r="E121" s="635" t="s">
        <v>2047</v>
      </c>
      <c r="F121" s="638"/>
      <c r="G121" s="638"/>
      <c r="H121" s="638"/>
      <c r="I121" s="638"/>
      <c r="J121" s="638"/>
      <c r="K121" s="638"/>
      <c r="L121" s="638"/>
      <c r="M121" s="638"/>
      <c r="N121" s="638">
        <v>1</v>
      </c>
      <c r="O121" s="638">
        <v>1796</v>
      </c>
      <c r="P121" s="660"/>
      <c r="Q121" s="639">
        <v>1796</v>
      </c>
    </row>
    <row r="122" spans="1:17" ht="14.4" customHeight="1" x14ac:dyDescent="0.3">
      <c r="A122" s="634" t="s">
        <v>487</v>
      </c>
      <c r="B122" s="635" t="s">
        <v>1967</v>
      </c>
      <c r="C122" s="635" t="s">
        <v>2024</v>
      </c>
      <c r="D122" s="635" t="s">
        <v>2048</v>
      </c>
      <c r="E122" s="635" t="s">
        <v>2026</v>
      </c>
      <c r="F122" s="638"/>
      <c r="G122" s="638"/>
      <c r="H122" s="638"/>
      <c r="I122" s="638"/>
      <c r="J122" s="638"/>
      <c r="K122" s="638"/>
      <c r="L122" s="638"/>
      <c r="M122" s="638"/>
      <c r="N122" s="638">
        <v>0.6</v>
      </c>
      <c r="O122" s="638">
        <v>151.21</v>
      </c>
      <c r="P122" s="660"/>
      <c r="Q122" s="639">
        <v>252.01666666666668</v>
      </c>
    </row>
    <row r="123" spans="1:17" ht="14.4" customHeight="1" x14ac:dyDescent="0.3">
      <c r="A123" s="634" t="s">
        <v>487</v>
      </c>
      <c r="B123" s="635" t="s">
        <v>1967</v>
      </c>
      <c r="C123" s="635" t="s">
        <v>2024</v>
      </c>
      <c r="D123" s="635" t="s">
        <v>2049</v>
      </c>
      <c r="E123" s="635" t="s">
        <v>2026</v>
      </c>
      <c r="F123" s="638"/>
      <c r="G123" s="638"/>
      <c r="H123" s="638"/>
      <c r="I123" s="638"/>
      <c r="J123" s="638"/>
      <c r="K123" s="638"/>
      <c r="L123" s="638"/>
      <c r="M123" s="638"/>
      <c r="N123" s="638">
        <v>8</v>
      </c>
      <c r="O123" s="638">
        <v>14790.96</v>
      </c>
      <c r="P123" s="660"/>
      <c r="Q123" s="639">
        <v>1848.87</v>
      </c>
    </row>
    <row r="124" spans="1:17" ht="14.4" customHeight="1" x14ac:dyDescent="0.3">
      <c r="A124" s="634" t="s">
        <v>487</v>
      </c>
      <c r="B124" s="635" t="s">
        <v>1967</v>
      </c>
      <c r="C124" s="635" t="s">
        <v>2024</v>
      </c>
      <c r="D124" s="635" t="s">
        <v>2050</v>
      </c>
      <c r="E124" s="635" t="s">
        <v>2051</v>
      </c>
      <c r="F124" s="638"/>
      <c r="G124" s="638"/>
      <c r="H124" s="638"/>
      <c r="I124" s="638"/>
      <c r="J124" s="638"/>
      <c r="K124" s="638"/>
      <c r="L124" s="638"/>
      <c r="M124" s="638"/>
      <c r="N124" s="638">
        <v>5</v>
      </c>
      <c r="O124" s="638">
        <v>6560</v>
      </c>
      <c r="P124" s="660"/>
      <c r="Q124" s="639">
        <v>1312</v>
      </c>
    </row>
    <row r="125" spans="1:17" ht="14.4" customHeight="1" x14ac:dyDescent="0.3">
      <c r="A125" s="634" t="s">
        <v>487</v>
      </c>
      <c r="B125" s="635" t="s">
        <v>1967</v>
      </c>
      <c r="C125" s="635" t="s">
        <v>2024</v>
      </c>
      <c r="D125" s="635" t="s">
        <v>2052</v>
      </c>
      <c r="E125" s="635" t="s">
        <v>2053</v>
      </c>
      <c r="F125" s="638"/>
      <c r="G125" s="638"/>
      <c r="H125" s="638"/>
      <c r="I125" s="638"/>
      <c r="J125" s="638"/>
      <c r="K125" s="638"/>
      <c r="L125" s="638"/>
      <c r="M125" s="638"/>
      <c r="N125" s="638">
        <v>3</v>
      </c>
      <c r="O125" s="638">
        <v>4680</v>
      </c>
      <c r="P125" s="660"/>
      <c r="Q125" s="639">
        <v>1560</v>
      </c>
    </row>
    <row r="126" spans="1:17" ht="14.4" customHeight="1" x14ac:dyDescent="0.3">
      <c r="A126" s="634" t="s">
        <v>487</v>
      </c>
      <c r="B126" s="635" t="s">
        <v>1967</v>
      </c>
      <c r="C126" s="635" t="s">
        <v>2024</v>
      </c>
      <c r="D126" s="635" t="s">
        <v>2054</v>
      </c>
      <c r="E126" s="635" t="s">
        <v>2055</v>
      </c>
      <c r="F126" s="638"/>
      <c r="G126" s="638"/>
      <c r="H126" s="638"/>
      <c r="I126" s="638"/>
      <c r="J126" s="638"/>
      <c r="K126" s="638"/>
      <c r="L126" s="638"/>
      <c r="M126" s="638"/>
      <c r="N126" s="638">
        <v>1</v>
      </c>
      <c r="O126" s="638">
        <v>3960</v>
      </c>
      <c r="P126" s="660"/>
      <c r="Q126" s="639">
        <v>3960</v>
      </c>
    </row>
    <row r="127" spans="1:17" ht="14.4" customHeight="1" x14ac:dyDescent="0.3">
      <c r="A127" s="634" t="s">
        <v>487</v>
      </c>
      <c r="B127" s="635" t="s">
        <v>1967</v>
      </c>
      <c r="C127" s="635" t="s">
        <v>2024</v>
      </c>
      <c r="D127" s="635" t="s">
        <v>2056</v>
      </c>
      <c r="E127" s="635" t="s">
        <v>2055</v>
      </c>
      <c r="F127" s="638"/>
      <c r="G127" s="638"/>
      <c r="H127" s="638"/>
      <c r="I127" s="638"/>
      <c r="J127" s="638"/>
      <c r="K127" s="638"/>
      <c r="L127" s="638"/>
      <c r="M127" s="638"/>
      <c r="N127" s="638">
        <v>1</v>
      </c>
      <c r="O127" s="638">
        <v>5400</v>
      </c>
      <c r="P127" s="660"/>
      <c r="Q127" s="639">
        <v>5400</v>
      </c>
    </row>
    <row r="128" spans="1:17" ht="14.4" customHeight="1" x14ac:dyDescent="0.3">
      <c r="A128" s="634" t="s">
        <v>487</v>
      </c>
      <c r="B128" s="635" t="s">
        <v>1967</v>
      </c>
      <c r="C128" s="635" t="s">
        <v>2024</v>
      </c>
      <c r="D128" s="635" t="s">
        <v>2057</v>
      </c>
      <c r="E128" s="635" t="s">
        <v>2058</v>
      </c>
      <c r="F128" s="638"/>
      <c r="G128" s="638"/>
      <c r="H128" s="638"/>
      <c r="I128" s="638"/>
      <c r="J128" s="638"/>
      <c r="K128" s="638"/>
      <c r="L128" s="638"/>
      <c r="M128" s="638"/>
      <c r="N128" s="638">
        <v>10</v>
      </c>
      <c r="O128" s="638">
        <v>5503</v>
      </c>
      <c r="P128" s="660"/>
      <c r="Q128" s="639">
        <v>550.29999999999995</v>
      </c>
    </row>
    <row r="129" spans="1:17" ht="14.4" customHeight="1" x14ac:dyDescent="0.3">
      <c r="A129" s="634" t="s">
        <v>487</v>
      </c>
      <c r="B129" s="635" t="s">
        <v>1967</v>
      </c>
      <c r="C129" s="635" t="s">
        <v>2024</v>
      </c>
      <c r="D129" s="635" t="s">
        <v>2059</v>
      </c>
      <c r="E129" s="635" t="s">
        <v>2060</v>
      </c>
      <c r="F129" s="638"/>
      <c r="G129" s="638"/>
      <c r="H129" s="638"/>
      <c r="I129" s="638"/>
      <c r="J129" s="638"/>
      <c r="K129" s="638"/>
      <c r="L129" s="638"/>
      <c r="M129" s="638"/>
      <c r="N129" s="638">
        <v>9</v>
      </c>
      <c r="O129" s="638">
        <v>5436</v>
      </c>
      <c r="P129" s="660"/>
      <c r="Q129" s="639">
        <v>604</v>
      </c>
    </row>
    <row r="130" spans="1:17" ht="14.4" customHeight="1" x14ac:dyDescent="0.3">
      <c r="A130" s="634" t="s">
        <v>487</v>
      </c>
      <c r="B130" s="635" t="s">
        <v>1967</v>
      </c>
      <c r="C130" s="635" t="s">
        <v>2024</v>
      </c>
      <c r="D130" s="635" t="s">
        <v>2061</v>
      </c>
      <c r="E130" s="635" t="s">
        <v>2062</v>
      </c>
      <c r="F130" s="638"/>
      <c r="G130" s="638"/>
      <c r="H130" s="638"/>
      <c r="I130" s="638"/>
      <c r="J130" s="638"/>
      <c r="K130" s="638"/>
      <c r="L130" s="638"/>
      <c r="M130" s="638"/>
      <c r="N130" s="638">
        <v>2</v>
      </c>
      <c r="O130" s="638">
        <v>6810.98</v>
      </c>
      <c r="P130" s="660"/>
      <c r="Q130" s="639">
        <v>3405.49</v>
      </c>
    </row>
    <row r="131" spans="1:17" ht="14.4" customHeight="1" x14ac:dyDescent="0.3">
      <c r="A131" s="634" t="s">
        <v>487</v>
      </c>
      <c r="B131" s="635" t="s">
        <v>1967</v>
      </c>
      <c r="C131" s="635" t="s">
        <v>2024</v>
      </c>
      <c r="D131" s="635" t="s">
        <v>2063</v>
      </c>
      <c r="E131" s="635" t="s">
        <v>2064</v>
      </c>
      <c r="F131" s="638"/>
      <c r="G131" s="638"/>
      <c r="H131" s="638"/>
      <c r="I131" s="638"/>
      <c r="J131" s="638"/>
      <c r="K131" s="638"/>
      <c r="L131" s="638"/>
      <c r="M131" s="638"/>
      <c r="N131" s="638">
        <v>1</v>
      </c>
      <c r="O131" s="638">
        <v>19433.599999999999</v>
      </c>
      <c r="P131" s="660"/>
      <c r="Q131" s="639">
        <v>19433.599999999999</v>
      </c>
    </row>
    <row r="132" spans="1:17" ht="14.4" customHeight="1" x14ac:dyDescent="0.3">
      <c r="A132" s="634" t="s">
        <v>487</v>
      </c>
      <c r="B132" s="635" t="s">
        <v>1967</v>
      </c>
      <c r="C132" s="635" t="s">
        <v>2024</v>
      </c>
      <c r="D132" s="635" t="s">
        <v>2065</v>
      </c>
      <c r="E132" s="635" t="s">
        <v>2066</v>
      </c>
      <c r="F132" s="638"/>
      <c r="G132" s="638"/>
      <c r="H132" s="638"/>
      <c r="I132" s="638"/>
      <c r="J132" s="638"/>
      <c r="K132" s="638"/>
      <c r="L132" s="638"/>
      <c r="M132" s="638"/>
      <c r="N132" s="638">
        <v>0.1</v>
      </c>
      <c r="O132" s="638">
        <v>633.25</v>
      </c>
      <c r="P132" s="660"/>
      <c r="Q132" s="639">
        <v>6332.5</v>
      </c>
    </row>
    <row r="133" spans="1:17" ht="14.4" customHeight="1" x14ac:dyDescent="0.3">
      <c r="A133" s="634" t="s">
        <v>487</v>
      </c>
      <c r="B133" s="635" t="s">
        <v>1967</v>
      </c>
      <c r="C133" s="635" t="s">
        <v>1819</v>
      </c>
      <c r="D133" s="635" t="s">
        <v>2067</v>
      </c>
      <c r="E133" s="635" t="s">
        <v>2068</v>
      </c>
      <c r="F133" s="638"/>
      <c r="G133" s="638"/>
      <c r="H133" s="638"/>
      <c r="I133" s="638"/>
      <c r="J133" s="638"/>
      <c r="K133" s="638"/>
      <c r="L133" s="638"/>
      <c r="M133" s="638"/>
      <c r="N133" s="638">
        <v>352</v>
      </c>
      <c r="O133" s="638">
        <v>4187744</v>
      </c>
      <c r="P133" s="660"/>
      <c r="Q133" s="639">
        <v>11897</v>
      </c>
    </row>
    <row r="134" spans="1:17" ht="14.4" customHeight="1" x14ac:dyDescent="0.3">
      <c r="A134" s="634" t="s">
        <v>487</v>
      </c>
      <c r="B134" s="635" t="s">
        <v>1967</v>
      </c>
      <c r="C134" s="635" t="s">
        <v>1819</v>
      </c>
      <c r="D134" s="635" t="s">
        <v>2069</v>
      </c>
      <c r="E134" s="635" t="s">
        <v>2070</v>
      </c>
      <c r="F134" s="638"/>
      <c r="G134" s="638"/>
      <c r="H134" s="638"/>
      <c r="I134" s="638"/>
      <c r="J134" s="638"/>
      <c r="K134" s="638"/>
      <c r="L134" s="638"/>
      <c r="M134" s="638"/>
      <c r="N134" s="638">
        <v>13</v>
      </c>
      <c r="O134" s="638">
        <v>5551</v>
      </c>
      <c r="P134" s="660"/>
      <c r="Q134" s="639">
        <v>427</v>
      </c>
    </row>
    <row r="135" spans="1:17" ht="14.4" customHeight="1" x14ac:dyDescent="0.3">
      <c r="A135" s="634" t="s">
        <v>487</v>
      </c>
      <c r="B135" s="635" t="s">
        <v>1967</v>
      </c>
      <c r="C135" s="635" t="s">
        <v>1819</v>
      </c>
      <c r="D135" s="635" t="s">
        <v>2071</v>
      </c>
      <c r="E135" s="635" t="s">
        <v>2072</v>
      </c>
      <c r="F135" s="638"/>
      <c r="G135" s="638"/>
      <c r="H135" s="638"/>
      <c r="I135" s="638"/>
      <c r="J135" s="638"/>
      <c r="K135" s="638"/>
      <c r="L135" s="638"/>
      <c r="M135" s="638"/>
      <c r="N135" s="638">
        <v>173</v>
      </c>
      <c r="O135" s="638">
        <v>66086</v>
      </c>
      <c r="P135" s="660"/>
      <c r="Q135" s="639">
        <v>382</v>
      </c>
    </row>
    <row r="136" spans="1:17" ht="14.4" customHeight="1" x14ac:dyDescent="0.3">
      <c r="A136" s="634" t="s">
        <v>487</v>
      </c>
      <c r="B136" s="635" t="s">
        <v>1967</v>
      </c>
      <c r="C136" s="635" t="s">
        <v>1819</v>
      </c>
      <c r="D136" s="635" t="s">
        <v>2073</v>
      </c>
      <c r="E136" s="635" t="s">
        <v>2074</v>
      </c>
      <c r="F136" s="638"/>
      <c r="G136" s="638"/>
      <c r="H136" s="638"/>
      <c r="I136" s="638"/>
      <c r="J136" s="638"/>
      <c r="K136" s="638"/>
      <c r="L136" s="638"/>
      <c r="M136" s="638"/>
      <c r="N136" s="638">
        <v>233</v>
      </c>
      <c r="O136" s="638">
        <v>54056</v>
      </c>
      <c r="P136" s="660"/>
      <c r="Q136" s="639">
        <v>232</v>
      </c>
    </row>
    <row r="137" spans="1:17" ht="14.4" customHeight="1" x14ac:dyDescent="0.3">
      <c r="A137" s="634" t="s">
        <v>487</v>
      </c>
      <c r="B137" s="635" t="s">
        <v>1967</v>
      </c>
      <c r="C137" s="635" t="s">
        <v>1819</v>
      </c>
      <c r="D137" s="635" t="s">
        <v>2075</v>
      </c>
      <c r="E137" s="635" t="s">
        <v>2076</v>
      </c>
      <c r="F137" s="638"/>
      <c r="G137" s="638"/>
      <c r="H137" s="638"/>
      <c r="I137" s="638"/>
      <c r="J137" s="638"/>
      <c r="K137" s="638"/>
      <c r="L137" s="638"/>
      <c r="M137" s="638"/>
      <c r="N137" s="638">
        <v>0</v>
      </c>
      <c r="O137" s="638">
        <v>0</v>
      </c>
      <c r="P137" s="660"/>
      <c r="Q137" s="639"/>
    </row>
    <row r="138" spans="1:17" ht="14.4" customHeight="1" x14ac:dyDescent="0.3">
      <c r="A138" s="634" t="s">
        <v>487</v>
      </c>
      <c r="B138" s="635" t="s">
        <v>1967</v>
      </c>
      <c r="C138" s="635" t="s">
        <v>1819</v>
      </c>
      <c r="D138" s="635" t="s">
        <v>2077</v>
      </c>
      <c r="E138" s="635" t="s">
        <v>2078</v>
      </c>
      <c r="F138" s="638"/>
      <c r="G138" s="638"/>
      <c r="H138" s="638"/>
      <c r="I138" s="638"/>
      <c r="J138" s="638"/>
      <c r="K138" s="638"/>
      <c r="L138" s="638"/>
      <c r="M138" s="638"/>
      <c r="N138" s="638">
        <v>156</v>
      </c>
      <c r="O138" s="638">
        <v>0</v>
      </c>
      <c r="P138" s="660"/>
      <c r="Q138" s="639">
        <v>0</v>
      </c>
    </row>
    <row r="139" spans="1:17" ht="14.4" customHeight="1" x14ac:dyDescent="0.3">
      <c r="A139" s="634" t="s">
        <v>487</v>
      </c>
      <c r="B139" s="635" t="s">
        <v>1967</v>
      </c>
      <c r="C139" s="635" t="s">
        <v>1819</v>
      </c>
      <c r="D139" s="635" t="s">
        <v>2079</v>
      </c>
      <c r="E139" s="635" t="s">
        <v>2080</v>
      </c>
      <c r="F139" s="638"/>
      <c r="G139" s="638"/>
      <c r="H139" s="638"/>
      <c r="I139" s="638"/>
      <c r="J139" s="638"/>
      <c r="K139" s="638"/>
      <c r="L139" s="638"/>
      <c r="M139" s="638"/>
      <c r="N139" s="638">
        <v>33</v>
      </c>
      <c r="O139" s="638">
        <v>0</v>
      </c>
      <c r="P139" s="660"/>
      <c r="Q139" s="639">
        <v>0</v>
      </c>
    </row>
    <row r="140" spans="1:17" ht="14.4" customHeight="1" x14ac:dyDescent="0.3">
      <c r="A140" s="634" t="s">
        <v>487</v>
      </c>
      <c r="B140" s="635" t="s">
        <v>1967</v>
      </c>
      <c r="C140" s="635" t="s">
        <v>1819</v>
      </c>
      <c r="D140" s="635" t="s">
        <v>2081</v>
      </c>
      <c r="E140" s="635" t="s">
        <v>2082</v>
      </c>
      <c r="F140" s="638"/>
      <c r="G140" s="638"/>
      <c r="H140" s="638"/>
      <c r="I140" s="638"/>
      <c r="J140" s="638"/>
      <c r="K140" s="638"/>
      <c r="L140" s="638"/>
      <c r="M140" s="638"/>
      <c r="N140" s="638">
        <v>7</v>
      </c>
      <c r="O140" s="638">
        <v>0</v>
      </c>
      <c r="P140" s="660"/>
      <c r="Q140" s="639">
        <v>0</v>
      </c>
    </row>
    <row r="141" spans="1:17" ht="14.4" customHeight="1" x14ac:dyDescent="0.3">
      <c r="A141" s="634" t="s">
        <v>487</v>
      </c>
      <c r="B141" s="635" t="s">
        <v>1967</v>
      </c>
      <c r="C141" s="635" t="s">
        <v>1819</v>
      </c>
      <c r="D141" s="635" t="s">
        <v>2083</v>
      </c>
      <c r="E141" s="635" t="s">
        <v>2084</v>
      </c>
      <c r="F141" s="638"/>
      <c r="G141" s="638"/>
      <c r="H141" s="638"/>
      <c r="I141" s="638"/>
      <c r="J141" s="638"/>
      <c r="K141" s="638"/>
      <c r="L141" s="638"/>
      <c r="M141" s="638"/>
      <c r="N141" s="638">
        <v>2</v>
      </c>
      <c r="O141" s="638">
        <v>0</v>
      </c>
      <c r="P141" s="660"/>
      <c r="Q141" s="639">
        <v>0</v>
      </c>
    </row>
    <row r="142" spans="1:17" ht="14.4" customHeight="1" x14ac:dyDescent="0.3">
      <c r="A142" s="634" t="s">
        <v>487</v>
      </c>
      <c r="B142" s="635" t="s">
        <v>1967</v>
      </c>
      <c r="C142" s="635" t="s">
        <v>1819</v>
      </c>
      <c r="D142" s="635" t="s">
        <v>2085</v>
      </c>
      <c r="E142" s="635" t="s">
        <v>2082</v>
      </c>
      <c r="F142" s="638"/>
      <c r="G142" s="638"/>
      <c r="H142" s="638"/>
      <c r="I142" s="638"/>
      <c r="J142" s="638"/>
      <c r="K142" s="638"/>
      <c r="L142" s="638"/>
      <c r="M142" s="638"/>
      <c r="N142" s="638">
        <v>2</v>
      </c>
      <c r="O142" s="638">
        <v>0</v>
      </c>
      <c r="P142" s="660"/>
      <c r="Q142" s="639">
        <v>0</v>
      </c>
    </row>
    <row r="143" spans="1:17" ht="14.4" customHeight="1" x14ac:dyDescent="0.3">
      <c r="A143" s="634" t="s">
        <v>487</v>
      </c>
      <c r="B143" s="635" t="s">
        <v>1967</v>
      </c>
      <c r="C143" s="635" t="s">
        <v>1819</v>
      </c>
      <c r="D143" s="635" t="s">
        <v>2086</v>
      </c>
      <c r="E143" s="635" t="s">
        <v>2087</v>
      </c>
      <c r="F143" s="638"/>
      <c r="G143" s="638"/>
      <c r="H143" s="638"/>
      <c r="I143" s="638"/>
      <c r="J143" s="638"/>
      <c r="K143" s="638"/>
      <c r="L143" s="638"/>
      <c r="M143" s="638"/>
      <c r="N143" s="638">
        <v>9</v>
      </c>
      <c r="O143" s="638">
        <v>49284</v>
      </c>
      <c r="P143" s="660"/>
      <c r="Q143" s="639">
        <v>5476</v>
      </c>
    </row>
    <row r="144" spans="1:17" ht="14.4" customHeight="1" x14ac:dyDescent="0.3">
      <c r="A144" s="634" t="s">
        <v>487</v>
      </c>
      <c r="B144" s="635" t="s">
        <v>1967</v>
      </c>
      <c r="C144" s="635" t="s">
        <v>1819</v>
      </c>
      <c r="D144" s="635" t="s">
        <v>2088</v>
      </c>
      <c r="E144" s="635" t="s">
        <v>2089</v>
      </c>
      <c r="F144" s="638"/>
      <c r="G144" s="638"/>
      <c r="H144" s="638"/>
      <c r="I144" s="638"/>
      <c r="J144" s="638"/>
      <c r="K144" s="638"/>
      <c r="L144" s="638"/>
      <c r="M144" s="638"/>
      <c r="N144" s="638">
        <v>1</v>
      </c>
      <c r="O144" s="638">
        <v>0</v>
      </c>
      <c r="P144" s="660"/>
      <c r="Q144" s="639">
        <v>0</v>
      </c>
    </row>
    <row r="145" spans="1:17" ht="14.4" customHeight="1" x14ac:dyDescent="0.3">
      <c r="A145" s="634" t="s">
        <v>487</v>
      </c>
      <c r="B145" s="635" t="s">
        <v>1967</v>
      </c>
      <c r="C145" s="635" t="s">
        <v>1819</v>
      </c>
      <c r="D145" s="635" t="s">
        <v>2090</v>
      </c>
      <c r="E145" s="635" t="s">
        <v>2091</v>
      </c>
      <c r="F145" s="638"/>
      <c r="G145" s="638"/>
      <c r="H145" s="638"/>
      <c r="I145" s="638"/>
      <c r="J145" s="638"/>
      <c r="K145" s="638"/>
      <c r="L145" s="638"/>
      <c r="M145" s="638"/>
      <c r="N145" s="638">
        <v>8</v>
      </c>
      <c r="O145" s="638">
        <v>191728</v>
      </c>
      <c r="P145" s="660"/>
      <c r="Q145" s="639">
        <v>23966</v>
      </c>
    </row>
    <row r="146" spans="1:17" ht="14.4" customHeight="1" x14ac:dyDescent="0.3">
      <c r="A146" s="634" t="s">
        <v>487</v>
      </c>
      <c r="B146" s="635" t="s">
        <v>1967</v>
      </c>
      <c r="C146" s="635" t="s">
        <v>1819</v>
      </c>
      <c r="D146" s="635" t="s">
        <v>2092</v>
      </c>
      <c r="E146" s="635" t="s">
        <v>2093</v>
      </c>
      <c r="F146" s="638"/>
      <c r="G146" s="638"/>
      <c r="H146" s="638"/>
      <c r="I146" s="638"/>
      <c r="J146" s="638"/>
      <c r="K146" s="638"/>
      <c r="L146" s="638"/>
      <c r="M146" s="638"/>
      <c r="N146" s="638">
        <v>55</v>
      </c>
      <c r="O146" s="638">
        <v>367180</v>
      </c>
      <c r="P146" s="660"/>
      <c r="Q146" s="639">
        <v>6676</v>
      </c>
    </row>
    <row r="147" spans="1:17" ht="14.4" customHeight="1" x14ac:dyDescent="0.3">
      <c r="A147" s="634" t="s">
        <v>487</v>
      </c>
      <c r="B147" s="635" t="s">
        <v>1967</v>
      </c>
      <c r="C147" s="635" t="s">
        <v>1819</v>
      </c>
      <c r="D147" s="635" t="s">
        <v>2094</v>
      </c>
      <c r="E147" s="635" t="s">
        <v>2095</v>
      </c>
      <c r="F147" s="638"/>
      <c r="G147" s="638"/>
      <c r="H147" s="638"/>
      <c r="I147" s="638"/>
      <c r="J147" s="638"/>
      <c r="K147" s="638"/>
      <c r="L147" s="638"/>
      <c r="M147" s="638"/>
      <c r="N147" s="638">
        <v>88</v>
      </c>
      <c r="O147" s="638">
        <v>30272</v>
      </c>
      <c r="P147" s="660"/>
      <c r="Q147" s="639">
        <v>344</v>
      </c>
    </row>
    <row r="148" spans="1:17" ht="14.4" customHeight="1" x14ac:dyDescent="0.3">
      <c r="A148" s="634" t="s">
        <v>487</v>
      </c>
      <c r="B148" s="635" t="s">
        <v>1967</v>
      </c>
      <c r="C148" s="635" t="s">
        <v>1819</v>
      </c>
      <c r="D148" s="635" t="s">
        <v>2096</v>
      </c>
      <c r="E148" s="635" t="s">
        <v>2097</v>
      </c>
      <c r="F148" s="638"/>
      <c r="G148" s="638"/>
      <c r="H148" s="638"/>
      <c r="I148" s="638"/>
      <c r="J148" s="638"/>
      <c r="K148" s="638"/>
      <c r="L148" s="638"/>
      <c r="M148" s="638"/>
      <c r="N148" s="638">
        <v>1</v>
      </c>
      <c r="O148" s="638">
        <v>0</v>
      </c>
      <c r="P148" s="660"/>
      <c r="Q148" s="639">
        <v>0</v>
      </c>
    </row>
    <row r="149" spans="1:17" ht="14.4" customHeight="1" x14ac:dyDescent="0.3">
      <c r="A149" s="634" t="s">
        <v>487</v>
      </c>
      <c r="B149" s="635" t="s">
        <v>2098</v>
      </c>
      <c r="C149" s="635" t="s">
        <v>1819</v>
      </c>
      <c r="D149" s="635" t="s">
        <v>1889</v>
      </c>
      <c r="E149" s="635" t="s">
        <v>1890</v>
      </c>
      <c r="F149" s="638"/>
      <c r="G149" s="638"/>
      <c r="H149" s="638"/>
      <c r="I149" s="638"/>
      <c r="J149" s="638"/>
      <c r="K149" s="638"/>
      <c r="L149" s="638"/>
      <c r="M149" s="638"/>
      <c r="N149" s="638">
        <v>1</v>
      </c>
      <c r="O149" s="638">
        <v>668</v>
      </c>
      <c r="P149" s="660"/>
      <c r="Q149" s="639">
        <v>668</v>
      </c>
    </row>
    <row r="150" spans="1:17" ht="14.4" customHeight="1" x14ac:dyDescent="0.3">
      <c r="A150" s="634" t="s">
        <v>487</v>
      </c>
      <c r="B150" s="635" t="s">
        <v>2098</v>
      </c>
      <c r="C150" s="635" t="s">
        <v>1819</v>
      </c>
      <c r="D150" s="635" t="s">
        <v>2099</v>
      </c>
      <c r="E150" s="635" t="s">
        <v>2100</v>
      </c>
      <c r="F150" s="638"/>
      <c r="G150" s="638"/>
      <c r="H150" s="638"/>
      <c r="I150" s="638"/>
      <c r="J150" s="638"/>
      <c r="K150" s="638"/>
      <c r="L150" s="638"/>
      <c r="M150" s="638"/>
      <c r="N150" s="638">
        <v>1</v>
      </c>
      <c r="O150" s="638">
        <v>1653</v>
      </c>
      <c r="P150" s="660"/>
      <c r="Q150" s="639">
        <v>1653</v>
      </c>
    </row>
    <row r="151" spans="1:17" ht="14.4" customHeight="1" x14ac:dyDescent="0.3">
      <c r="A151" s="634" t="s">
        <v>487</v>
      </c>
      <c r="B151" s="635" t="s">
        <v>2101</v>
      </c>
      <c r="C151" s="635" t="s">
        <v>1819</v>
      </c>
      <c r="D151" s="635" t="s">
        <v>2102</v>
      </c>
      <c r="E151" s="635" t="s">
        <v>2103</v>
      </c>
      <c r="F151" s="638"/>
      <c r="G151" s="638"/>
      <c r="H151" s="638"/>
      <c r="I151" s="638"/>
      <c r="J151" s="638"/>
      <c r="K151" s="638"/>
      <c r="L151" s="638"/>
      <c r="M151" s="638"/>
      <c r="N151" s="638">
        <v>1</v>
      </c>
      <c r="O151" s="638">
        <v>5143</v>
      </c>
      <c r="P151" s="660"/>
      <c r="Q151" s="639">
        <v>5143</v>
      </c>
    </row>
    <row r="152" spans="1:17" ht="14.4" customHeight="1" x14ac:dyDescent="0.3">
      <c r="A152" s="634" t="s">
        <v>487</v>
      </c>
      <c r="B152" s="635" t="s">
        <v>2101</v>
      </c>
      <c r="C152" s="635" t="s">
        <v>1819</v>
      </c>
      <c r="D152" s="635" t="s">
        <v>2104</v>
      </c>
      <c r="E152" s="635" t="s">
        <v>2105</v>
      </c>
      <c r="F152" s="638"/>
      <c r="G152" s="638"/>
      <c r="H152" s="638"/>
      <c r="I152" s="638"/>
      <c r="J152" s="638"/>
      <c r="K152" s="638"/>
      <c r="L152" s="638"/>
      <c r="M152" s="638"/>
      <c r="N152" s="638">
        <v>1</v>
      </c>
      <c r="O152" s="638">
        <v>109</v>
      </c>
      <c r="P152" s="660"/>
      <c r="Q152" s="639">
        <v>109</v>
      </c>
    </row>
    <row r="153" spans="1:17" ht="14.4" customHeight="1" x14ac:dyDescent="0.3">
      <c r="A153" s="634" t="s">
        <v>487</v>
      </c>
      <c r="B153" s="635" t="s">
        <v>2101</v>
      </c>
      <c r="C153" s="635" t="s">
        <v>1819</v>
      </c>
      <c r="D153" s="635" t="s">
        <v>1920</v>
      </c>
      <c r="E153" s="635" t="s">
        <v>1921</v>
      </c>
      <c r="F153" s="638"/>
      <c r="G153" s="638"/>
      <c r="H153" s="638"/>
      <c r="I153" s="638"/>
      <c r="J153" s="638"/>
      <c r="K153" s="638"/>
      <c r="L153" s="638"/>
      <c r="M153" s="638"/>
      <c r="N153" s="638">
        <v>1</v>
      </c>
      <c r="O153" s="638">
        <v>4340</v>
      </c>
      <c r="P153" s="660"/>
      <c r="Q153" s="639">
        <v>4340</v>
      </c>
    </row>
    <row r="154" spans="1:17" ht="14.4" customHeight="1" x14ac:dyDescent="0.3">
      <c r="A154" s="634" t="s">
        <v>487</v>
      </c>
      <c r="B154" s="635" t="s">
        <v>2106</v>
      </c>
      <c r="C154" s="635" t="s">
        <v>1819</v>
      </c>
      <c r="D154" s="635" t="s">
        <v>2107</v>
      </c>
      <c r="E154" s="635" t="s">
        <v>2108</v>
      </c>
      <c r="F154" s="638">
        <v>1</v>
      </c>
      <c r="G154" s="638">
        <v>245</v>
      </c>
      <c r="H154" s="638">
        <v>1</v>
      </c>
      <c r="I154" s="638">
        <v>245</v>
      </c>
      <c r="J154" s="638">
        <v>1</v>
      </c>
      <c r="K154" s="638">
        <v>248</v>
      </c>
      <c r="L154" s="638">
        <v>1.0122448979591836</v>
      </c>
      <c r="M154" s="638">
        <v>248</v>
      </c>
      <c r="N154" s="638"/>
      <c r="O154" s="638"/>
      <c r="P154" s="660"/>
      <c r="Q154" s="639"/>
    </row>
    <row r="155" spans="1:17" ht="14.4" customHeight="1" x14ac:dyDescent="0.3">
      <c r="A155" s="634" t="s">
        <v>487</v>
      </c>
      <c r="B155" s="635" t="s">
        <v>2106</v>
      </c>
      <c r="C155" s="635" t="s">
        <v>1819</v>
      </c>
      <c r="D155" s="635" t="s">
        <v>1865</v>
      </c>
      <c r="E155" s="635" t="s">
        <v>1866</v>
      </c>
      <c r="F155" s="638"/>
      <c r="G155" s="638"/>
      <c r="H155" s="638"/>
      <c r="I155" s="638"/>
      <c r="J155" s="638">
        <v>2</v>
      </c>
      <c r="K155" s="638">
        <v>1612</v>
      </c>
      <c r="L155" s="638"/>
      <c r="M155" s="638">
        <v>806</v>
      </c>
      <c r="N155" s="638"/>
      <c r="O155" s="638"/>
      <c r="P155" s="660"/>
      <c r="Q155" s="639"/>
    </row>
    <row r="156" spans="1:17" ht="14.4" customHeight="1" x14ac:dyDescent="0.3">
      <c r="A156" s="634" t="s">
        <v>487</v>
      </c>
      <c r="B156" s="635" t="s">
        <v>2106</v>
      </c>
      <c r="C156" s="635" t="s">
        <v>1819</v>
      </c>
      <c r="D156" s="635" t="s">
        <v>2109</v>
      </c>
      <c r="E156" s="635" t="s">
        <v>2110</v>
      </c>
      <c r="F156" s="638">
        <v>1</v>
      </c>
      <c r="G156" s="638">
        <v>1174</v>
      </c>
      <c r="H156" s="638">
        <v>1</v>
      </c>
      <c r="I156" s="638">
        <v>1174</v>
      </c>
      <c r="J156" s="638"/>
      <c r="K156" s="638"/>
      <c r="L156" s="638"/>
      <c r="M156" s="638"/>
      <c r="N156" s="638"/>
      <c r="O156" s="638"/>
      <c r="P156" s="660"/>
      <c r="Q156" s="639"/>
    </row>
    <row r="157" spans="1:17" ht="14.4" customHeight="1" x14ac:dyDescent="0.3">
      <c r="A157" s="634" t="s">
        <v>487</v>
      </c>
      <c r="B157" s="635" t="s">
        <v>2111</v>
      </c>
      <c r="C157" s="635" t="s">
        <v>1819</v>
      </c>
      <c r="D157" s="635" t="s">
        <v>1857</v>
      </c>
      <c r="E157" s="635" t="s">
        <v>1858</v>
      </c>
      <c r="F157" s="638"/>
      <c r="G157" s="638"/>
      <c r="H157" s="638"/>
      <c r="I157" s="638"/>
      <c r="J157" s="638">
        <v>2</v>
      </c>
      <c r="K157" s="638">
        <v>4106</v>
      </c>
      <c r="L157" s="638"/>
      <c r="M157" s="638">
        <v>2053</v>
      </c>
      <c r="N157" s="638"/>
      <c r="O157" s="638"/>
      <c r="P157" s="660"/>
      <c r="Q157" s="639"/>
    </row>
    <row r="158" spans="1:17" ht="14.4" customHeight="1" x14ac:dyDescent="0.3">
      <c r="A158" s="634" t="s">
        <v>487</v>
      </c>
      <c r="B158" s="635" t="s">
        <v>2111</v>
      </c>
      <c r="C158" s="635" t="s">
        <v>1819</v>
      </c>
      <c r="D158" s="635" t="s">
        <v>2112</v>
      </c>
      <c r="E158" s="635" t="s">
        <v>2113</v>
      </c>
      <c r="F158" s="638"/>
      <c r="G158" s="638"/>
      <c r="H158" s="638"/>
      <c r="I158" s="638"/>
      <c r="J158" s="638">
        <v>1</v>
      </c>
      <c r="K158" s="638">
        <v>6363</v>
      </c>
      <c r="L158" s="638"/>
      <c r="M158" s="638">
        <v>6363</v>
      </c>
      <c r="N158" s="638"/>
      <c r="O158" s="638"/>
      <c r="P158" s="660"/>
      <c r="Q158" s="639"/>
    </row>
    <row r="159" spans="1:17" ht="14.4" customHeight="1" x14ac:dyDescent="0.3">
      <c r="A159" s="634" t="s">
        <v>487</v>
      </c>
      <c r="B159" s="635" t="s">
        <v>2111</v>
      </c>
      <c r="C159" s="635" t="s">
        <v>1819</v>
      </c>
      <c r="D159" s="635" t="s">
        <v>2114</v>
      </c>
      <c r="E159" s="635" t="s">
        <v>2115</v>
      </c>
      <c r="F159" s="638"/>
      <c r="G159" s="638"/>
      <c r="H159" s="638"/>
      <c r="I159" s="638"/>
      <c r="J159" s="638">
        <v>1</v>
      </c>
      <c r="K159" s="638">
        <v>303</v>
      </c>
      <c r="L159" s="638"/>
      <c r="M159" s="638">
        <v>303</v>
      </c>
      <c r="N159" s="638"/>
      <c r="O159" s="638"/>
      <c r="P159" s="660"/>
      <c r="Q159" s="639"/>
    </row>
    <row r="160" spans="1:17" ht="14.4" customHeight="1" x14ac:dyDescent="0.3">
      <c r="A160" s="634" t="s">
        <v>487</v>
      </c>
      <c r="B160" s="635" t="s">
        <v>2111</v>
      </c>
      <c r="C160" s="635" t="s">
        <v>1819</v>
      </c>
      <c r="D160" s="635" t="s">
        <v>2116</v>
      </c>
      <c r="E160" s="635" t="s">
        <v>2117</v>
      </c>
      <c r="F160" s="638"/>
      <c r="G160" s="638"/>
      <c r="H160" s="638"/>
      <c r="I160" s="638"/>
      <c r="J160" s="638">
        <v>1</v>
      </c>
      <c r="K160" s="638">
        <v>3002</v>
      </c>
      <c r="L160" s="638"/>
      <c r="M160" s="638">
        <v>3002</v>
      </c>
      <c r="N160" s="638"/>
      <c r="O160" s="638"/>
      <c r="P160" s="660"/>
      <c r="Q160" s="639"/>
    </row>
    <row r="161" spans="1:17" ht="14.4" customHeight="1" x14ac:dyDescent="0.3">
      <c r="A161" s="634" t="s">
        <v>487</v>
      </c>
      <c r="B161" s="635" t="s">
        <v>2118</v>
      </c>
      <c r="C161" s="635" t="s">
        <v>1968</v>
      </c>
      <c r="D161" s="635" t="s">
        <v>1969</v>
      </c>
      <c r="E161" s="635" t="s">
        <v>1970</v>
      </c>
      <c r="F161" s="638">
        <v>13</v>
      </c>
      <c r="G161" s="638">
        <v>2117.83</v>
      </c>
      <c r="H161" s="638">
        <v>1</v>
      </c>
      <c r="I161" s="638">
        <v>162.91</v>
      </c>
      <c r="J161" s="638">
        <v>11</v>
      </c>
      <c r="K161" s="638">
        <v>916.3</v>
      </c>
      <c r="L161" s="638">
        <v>0.43265984521892692</v>
      </c>
      <c r="M161" s="638">
        <v>83.3</v>
      </c>
      <c r="N161" s="638"/>
      <c r="O161" s="638"/>
      <c r="P161" s="660"/>
      <c r="Q161" s="639"/>
    </row>
    <row r="162" spans="1:17" ht="14.4" customHeight="1" x14ac:dyDescent="0.3">
      <c r="A162" s="634" t="s">
        <v>487</v>
      </c>
      <c r="B162" s="635" t="s">
        <v>2118</v>
      </c>
      <c r="C162" s="635" t="s">
        <v>1968</v>
      </c>
      <c r="D162" s="635" t="s">
        <v>1971</v>
      </c>
      <c r="E162" s="635" t="s">
        <v>1972</v>
      </c>
      <c r="F162" s="638"/>
      <c r="G162" s="638"/>
      <c r="H162" s="638"/>
      <c r="I162" s="638"/>
      <c r="J162" s="638">
        <v>4</v>
      </c>
      <c r="K162" s="638">
        <v>20859.28</v>
      </c>
      <c r="L162" s="638"/>
      <c r="M162" s="638">
        <v>5214.82</v>
      </c>
      <c r="N162" s="638"/>
      <c r="O162" s="638"/>
      <c r="P162" s="660"/>
      <c r="Q162" s="639"/>
    </row>
    <row r="163" spans="1:17" ht="14.4" customHeight="1" x14ac:dyDescent="0.3">
      <c r="A163" s="634" t="s">
        <v>487</v>
      </c>
      <c r="B163" s="635" t="s">
        <v>2118</v>
      </c>
      <c r="C163" s="635" t="s">
        <v>1968</v>
      </c>
      <c r="D163" s="635" t="s">
        <v>1973</v>
      </c>
      <c r="E163" s="635" t="s">
        <v>1237</v>
      </c>
      <c r="F163" s="638">
        <v>13</v>
      </c>
      <c r="G163" s="638">
        <v>1797.99</v>
      </c>
      <c r="H163" s="638">
        <v>1</v>
      </c>
      <c r="I163" s="638">
        <v>138.30692307692308</v>
      </c>
      <c r="J163" s="638">
        <v>41</v>
      </c>
      <c r="K163" s="638">
        <v>5705.15</v>
      </c>
      <c r="L163" s="638">
        <v>3.1730710404396016</v>
      </c>
      <c r="M163" s="638">
        <v>139.14999999999998</v>
      </c>
      <c r="N163" s="638"/>
      <c r="O163" s="638"/>
      <c r="P163" s="660"/>
      <c r="Q163" s="639"/>
    </row>
    <row r="164" spans="1:17" ht="14.4" customHeight="1" x14ac:dyDescent="0.3">
      <c r="A164" s="634" t="s">
        <v>487</v>
      </c>
      <c r="B164" s="635" t="s">
        <v>2118</v>
      </c>
      <c r="C164" s="635" t="s">
        <v>1968</v>
      </c>
      <c r="D164" s="635" t="s">
        <v>1974</v>
      </c>
      <c r="E164" s="635" t="s">
        <v>1237</v>
      </c>
      <c r="F164" s="638"/>
      <c r="G164" s="638"/>
      <c r="H164" s="638"/>
      <c r="I164" s="638"/>
      <c r="J164" s="638">
        <v>20</v>
      </c>
      <c r="K164" s="638">
        <v>3654</v>
      </c>
      <c r="L164" s="638"/>
      <c r="M164" s="638">
        <v>182.7</v>
      </c>
      <c r="N164" s="638"/>
      <c r="O164" s="638"/>
      <c r="P164" s="660"/>
      <c r="Q164" s="639"/>
    </row>
    <row r="165" spans="1:17" ht="14.4" customHeight="1" x14ac:dyDescent="0.3">
      <c r="A165" s="634" t="s">
        <v>487</v>
      </c>
      <c r="B165" s="635" t="s">
        <v>2118</v>
      </c>
      <c r="C165" s="635" t="s">
        <v>1968</v>
      </c>
      <c r="D165" s="635" t="s">
        <v>1975</v>
      </c>
      <c r="E165" s="635" t="s">
        <v>1976</v>
      </c>
      <c r="F165" s="638"/>
      <c r="G165" s="638"/>
      <c r="H165" s="638"/>
      <c r="I165" s="638"/>
      <c r="J165" s="638">
        <v>15.3</v>
      </c>
      <c r="K165" s="638">
        <v>9463.0500000000011</v>
      </c>
      <c r="L165" s="638"/>
      <c r="M165" s="638">
        <v>618.5</v>
      </c>
      <c r="N165" s="638"/>
      <c r="O165" s="638"/>
      <c r="P165" s="660"/>
      <c r="Q165" s="639"/>
    </row>
    <row r="166" spans="1:17" ht="14.4" customHeight="1" x14ac:dyDescent="0.3">
      <c r="A166" s="634" t="s">
        <v>487</v>
      </c>
      <c r="B166" s="635" t="s">
        <v>2118</v>
      </c>
      <c r="C166" s="635" t="s">
        <v>1968</v>
      </c>
      <c r="D166" s="635" t="s">
        <v>2119</v>
      </c>
      <c r="E166" s="635" t="s">
        <v>1815</v>
      </c>
      <c r="F166" s="638">
        <v>9.2000000000000011</v>
      </c>
      <c r="G166" s="638">
        <v>5303.43</v>
      </c>
      <c r="H166" s="638">
        <v>1</v>
      </c>
      <c r="I166" s="638">
        <v>576.4597826086956</v>
      </c>
      <c r="J166" s="638"/>
      <c r="K166" s="638"/>
      <c r="L166" s="638"/>
      <c r="M166" s="638"/>
      <c r="N166" s="638"/>
      <c r="O166" s="638"/>
      <c r="P166" s="660"/>
      <c r="Q166" s="639"/>
    </row>
    <row r="167" spans="1:17" ht="14.4" customHeight="1" x14ac:dyDescent="0.3">
      <c r="A167" s="634" t="s">
        <v>487</v>
      </c>
      <c r="B167" s="635" t="s">
        <v>2118</v>
      </c>
      <c r="C167" s="635" t="s">
        <v>1968</v>
      </c>
      <c r="D167" s="635" t="s">
        <v>1977</v>
      </c>
      <c r="E167" s="635" t="s">
        <v>1978</v>
      </c>
      <c r="F167" s="638">
        <v>22</v>
      </c>
      <c r="G167" s="638">
        <v>6642.2400000000007</v>
      </c>
      <c r="H167" s="638">
        <v>1</v>
      </c>
      <c r="I167" s="638">
        <v>301.92</v>
      </c>
      <c r="J167" s="638">
        <v>25.5</v>
      </c>
      <c r="K167" s="638">
        <v>2144.04</v>
      </c>
      <c r="L167" s="638">
        <v>0.32278869778869773</v>
      </c>
      <c r="M167" s="638">
        <v>84.08</v>
      </c>
      <c r="N167" s="638"/>
      <c r="O167" s="638"/>
      <c r="P167" s="660"/>
      <c r="Q167" s="639"/>
    </row>
    <row r="168" spans="1:17" ht="14.4" customHeight="1" x14ac:dyDescent="0.3">
      <c r="A168" s="634" t="s">
        <v>487</v>
      </c>
      <c r="B168" s="635" t="s">
        <v>2118</v>
      </c>
      <c r="C168" s="635" t="s">
        <v>1968</v>
      </c>
      <c r="D168" s="635" t="s">
        <v>2120</v>
      </c>
      <c r="E168" s="635" t="s">
        <v>2121</v>
      </c>
      <c r="F168" s="638">
        <v>15.200000000000001</v>
      </c>
      <c r="G168" s="638">
        <v>16437.72</v>
      </c>
      <c r="H168" s="638">
        <v>1</v>
      </c>
      <c r="I168" s="638">
        <v>1081.4289473684209</v>
      </c>
      <c r="J168" s="638">
        <v>14.2</v>
      </c>
      <c r="K168" s="638">
        <v>15326.229999999998</v>
      </c>
      <c r="L168" s="638">
        <v>0.93238174150672948</v>
      </c>
      <c r="M168" s="638">
        <v>1079.3119718309858</v>
      </c>
      <c r="N168" s="638"/>
      <c r="O168" s="638"/>
      <c r="P168" s="660"/>
      <c r="Q168" s="639"/>
    </row>
    <row r="169" spans="1:17" ht="14.4" customHeight="1" x14ac:dyDescent="0.3">
      <c r="A169" s="634" t="s">
        <v>487</v>
      </c>
      <c r="B169" s="635" t="s">
        <v>2118</v>
      </c>
      <c r="C169" s="635" t="s">
        <v>1968</v>
      </c>
      <c r="D169" s="635" t="s">
        <v>1979</v>
      </c>
      <c r="E169" s="635" t="s">
        <v>1204</v>
      </c>
      <c r="F169" s="638">
        <v>137</v>
      </c>
      <c r="G169" s="638">
        <v>13263.01</v>
      </c>
      <c r="H169" s="638">
        <v>1</v>
      </c>
      <c r="I169" s="638">
        <v>96.810291970802922</v>
      </c>
      <c r="J169" s="638">
        <v>71</v>
      </c>
      <c r="K169" s="638">
        <v>4887.9499999999989</v>
      </c>
      <c r="L169" s="638">
        <v>0.36854002221215237</v>
      </c>
      <c r="M169" s="638">
        <v>68.844366197183078</v>
      </c>
      <c r="N169" s="638"/>
      <c r="O169" s="638"/>
      <c r="P169" s="660"/>
      <c r="Q169" s="639"/>
    </row>
    <row r="170" spans="1:17" ht="14.4" customHeight="1" x14ac:dyDescent="0.3">
      <c r="A170" s="634" t="s">
        <v>487</v>
      </c>
      <c r="B170" s="635" t="s">
        <v>2118</v>
      </c>
      <c r="C170" s="635" t="s">
        <v>1968</v>
      </c>
      <c r="D170" s="635" t="s">
        <v>2122</v>
      </c>
      <c r="E170" s="635" t="s">
        <v>1815</v>
      </c>
      <c r="F170" s="638">
        <v>9.75</v>
      </c>
      <c r="G170" s="638">
        <v>43577.99</v>
      </c>
      <c r="H170" s="638">
        <v>1</v>
      </c>
      <c r="I170" s="638">
        <v>4469.5374358974359</v>
      </c>
      <c r="J170" s="638"/>
      <c r="K170" s="638"/>
      <c r="L170" s="638"/>
      <c r="M170" s="638"/>
      <c r="N170" s="638"/>
      <c r="O170" s="638"/>
      <c r="P170" s="660"/>
      <c r="Q170" s="639"/>
    </row>
    <row r="171" spans="1:17" ht="14.4" customHeight="1" x14ac:dyDescent="0.3">
      <c r="A171" s="634" t="s">
        <v>487</v>
      </c>
      <c r="B171" s="635" t="s">
        <v>2118</v>
      </c>
      <c r="C171" s="635" t="s">
        <v>1968</v>
      </c>
      <c r="D171" s="635" t="s">
        <v>1980</v>
      </c>
      <c r="E171" s="635" t="s">
        <v>1156</v>
      </c>
      <c r="F171" s="638">
        <v>2.6999999999999997</v>
      </c>
      <c r="G171" s="638">
        <v>3147.3899999999994</v>
      </c>
      <c r="H171" s="638">
        <v>1</v>
      </c>
      <c r="I171" s="638">
        <v>1165.6999999999998</v>
      </c>
      <c r="J171" s="638">
        <v>11</v>
      </c>
      <c r="K171" s="638">
        <v>8905.6</v>
      </c>
      <c r="L171" s="638">
        <v>2.829519061825831</v>
      </c>
      <c r="M171" s="638">
        <v>809.6</v>
      </c>
      <c r="N171" s="638"/>
      <c r="O171" s="638"/>
      <c r="P171" s="660"/>
      <c r="Q171" s="639"/>
    </row>
    <row r="172" spans="1:17" ht="14.4" customHeight="1" x14ac:dyDescent="0.3">
      <c r="A172" s="634" t="s">
        <v>487</v>
      </c>
      <c r="B172" s="635" t="s">
        <v>2118</v>
      </c>
      <c r="C172" s="635" t="s">
        <v>1968</v>
      </c>
      <c r="D172" s="635" t="s">
        <v>2123</v>
      </c>
      <c r="E172" s="635" t="s">
        <v>2124</v>
      </c>
      <c r="F172" s="638"/>
      <c r="G172" s="638"/>
      <c r="H172" s="638"/>
      <c r="I172" s="638"/>
      <c r="J172" s="638">
        <v>2</v>
      </c>
      <c r="K172" s="638">
        <v>12940.04</v>
      </c>
      <c r="L172" s="638"/>
      <c r="M172" s="638">
        <v>6470.02</v>
      </c>
      <c r="N172" s="638"/>
      <c r="O172" s="638"/>
      <c r="P172" s="660"/>
      <c r="Q172" s="639"/>
    </row>
    <row r="173" spans="1:17" ht="14.4" customHeight="1" x14ac:dyDescent="0.3">
      <c r="A173" s="634" t="s">
        <v>487</v>
      </c>
      <c r="B173" s="635" t="s">
        <v>2118</v>
      </c>
      <c r="C173" s="635" t="s">
        <v>1968</v>
      </c>
      <c r="D173" s="635" t="s">
        <v>1981</v>
      </c>
      <c r="E173" s="635" t="s">
        <v>1241</v>
      </c>
      <c r="F173" s="638">
        <v>4.0999999999999996</v>
      </c>
      <c r="G173" s="638">
        <v>57020.77</v>
      </c>
      <c r="H173" s="638">
        <v>1</v>
      </c>
      <c r="I173" s="638">
        <v>13907.504878048781</v>
      </c>
      <c r="J173" s="638"/>
      <c r="K173" s="638"/>
      <c r="L173" s="638"/>
      <c r="M173" s="638"/>
      <c r="N173" s="638"/>
      <c r="O173" s="638"/>
      <c r="P173" s="660"/>
      <c r="Q173" s="639"/>
    </row>
    <row r="174" spans="1:17" ht="14.4" customHeight="1" x14ac:dyDescent="0.3">
      <c r="A174" s="634" t="s">
        <v>487</v>
      </c>
      <c r="B174" s="635" t="s">
        <v>2118</v>
      </c>
      <c r="C174" s="635" t="s">
        <v>1968</v>
      </c>
      <c r="D174" s="635" t="s">
        <v>2125</v>
      </c>
      <c r="E174" s="635" t="s">
        <v>2126</v>
      </c>
      <c r="F174" s="638">
        <v>0.1</v>
      </c>
      <c r="G174" s="638">
        <v>526.45000000000005</v>
      </c>
      <c r="H174" s="638">
        <v>1</v>
      </c>
      <c r="I174" s="638">
        <v>5264.5</v>
      </c>
      <c r="J174" s="638"/>
      <c r="K174" s="638"/>
      <c r="L174" s="638"/>
      <c r="M174" s="638"/>
      <c r="N174" s="638"/>
      <c r="O174" s="638"/>
      <c r="P174" s="660"/>
      <c r="Q174" s="639"/>
    </row>
    <row r="175" spans="1:17" ht="14.4" customHeight="1" x14ac:dyDescent="0.3">
      <c r="A175" s="634" t="s">
        <v>487</v>
      </c>
      <c r="B175" s="635" t="s">
        <v>2118</v>
      </c>
      <c r="C175" s="635" t="s">
        <v>1968</v>
      </c>
      <c r="D175" s="635" t="s">
        <v>1983</v>
      </c>
      <c r="E175" s="635" t="s">
        <v>1346</v>
      </c>
      <c r="F175" s="638">
        <v>76</v>
      </c>
      <c r="G175" s="638">
        <v>6558.0400000000009</v>
      </c>
      <c r="H175" s="638">
        <v>1</v>
      </c>
      <c r="I175" s="638">
        <v>86.29</v>
      </c>
      <c r="J175" s="638">
        <v>104</v>
      </c>
      <c r="K175" s="638">
        <v>6033.04</v>
      </c>
      <c r="L175" s="638">
        <v>0.91994559350049698</v>
      </c>
      <c r="M175" s="638">
        <v>58.01</v>
      </c>
      <c r="N175" s="638"/>
      <c r="O175" s="638"/>
      <c r="P175" s="660"/>
      <c r="Q175" s="639"/>
    </row>
    <row r="176" spans="1:17" ht="14.4" customHeight="1" x14ac:dyDescent="0.3">
      <c r="A176" s="634" t="s">
        <v>487</v>
      </c>
      <c r="B176" s="635" t="s">
        <v>2118</v>
      </c>
      <c r="C176" s="635" t="s">
        <v>1968</v>
      </c>
      <c r="D176" s="635" t="s">
        <v>1984</v>
      </c>
      <c r="E176" s="635" t="s">
        <v>1216</v>
      </c>
      <c r="F176" s="638">
        <v>2</v>
      </c>
      <c r="G176" s="638">
        <v>758</v>
      </c>
      <c r="H176" s="638">
        <v>1</v>
      </c>
      <c r="I176" s="638">
        <v>379</v>
      </c>
      <c r="J176" s="638">
        <v>4.5999999999999996</v>
      </c>
      <c r="K176" s="638">
        <v>1857.22</v>
      </c>
      <c r="L176" s="638">
        <v>2.4501583113456467</v>
      </c>
      <c r="M176" s="638">
        <v>403.74347826086961</v>
      </c>
      <c r="N176" s="638"/>
      <c r="O176" s="638"/>
      <c r="P176" s="660"/>
      <c r="Q176" s="639"/>
    </row>
    <row r="177" spans="1:17" ht="14.4" customHeight="1" x14ac:dyDescent="0.3">
      <c r="A177" s="634" t="s">
        <v>487</v>
      </c>
      <c r="B177" s="635" t="s">
        <v>2118</v>
      </c>
      <c r="C177" s="635" t="s">
        <v>1968</v>
      </c>
      <c r="D177" s="635" t="s">
        <v>1263</v>
      </c>
      <c r="E177" s="635" t="s">
        <v>1985</v>
      </c>
      <c r="F177" s="638">
        <v>2</v>
      </c>
      <c r="G177" s="638">
        <v>13190</v>
      </c>
      <c r="H177" s="638">
        <v>1</v>
      </c>
      <c r="I177" s="638">
        <v>6595</v>
      </c>
      <c r="J177" s="638"/>
      <c r="K177" s="638"/>
      <c r="L177" s="638"/>
      <c r="M177" s="638"/>
      <c r="N177" s="638"/>
      <c r="O177" s="638"/>
      <c r="P177" s="660"/>
      <c r="Q177" s="639"/>
    </row>
    <row r="178" spans="1:17" ht="14.4" customHeight="1" x14ac:dyDescent="0.3">
      <c r="A178" s="634" t="s">
        <v>487</v>
      </c>
      <c r="B178" s="635" t="s">
        <v>2118</v>
      </c>
      <c r="C178" s="635" t="s">
        <v>1968</v>
      </c>
      <c r="D178" s="635" t="s">
        <v>1986</v>
      </c>
      <c r="E178" s="635" t="s">
        <v>1352</v>
      </c>
      <c r="F178" s="638">
        <v>117</v>
      </c>
      <c r="G178" s="638">
        <v>25104.16</v>
      </c>
      <c r="H178" s="638">
        <v>1</v>
      </c>
      <c r="I178" s="638">
        <v>214.56547008547008</v>
      </c>
      <c r="J178" s="638">
        <v>180</v>
      </c>
      <c r="K178" s="638">
        <v>8550</v>
      </c>
      <c r="L178" s="638">
        <v>0.34058100330781832</v>
      </c>
      <c r="M178" s="638">
        <v>47.5</v>
      </c>
      <c r="N178" s="638"/>
      <c r="O178" s="638"/>
      <c r="P178" s="660"/>
      <c r="Q178" s="639"/>
    </row>
    <row r="179" spans="1:17" ht="14.4" customHeight="1" x14ac:dyDescent="0.3">
      <c r="A179" s="634" t="s">
        <v>487</v>
      </c>
      <c r="B179" s="635" t="s">
        <v>2118</v>
      </c>
      <c r="C179" s="635" t="s">
        <v>1968</v>
      </c>
      <c r="D179" s="635" t="s">
        <v>1987</v>
      </c>
      <c r="E179" s="635" t="s">
        <v>1231</v>
      </c>
      <c r="F179" s="638"/>
      <c r="G179" s="638"/>
      <c r="H179" s="638"/>
      <c r="I179" s="638"/>
      <c r="J179" s="638">
        <v>10</v>
      </c>
      <c r="K179" s="638">
        <v>1160</v>
      </c>
      <c r="L179" s="638"/>
      <c r="M179" s="638">
        <v>116</v>
      </c>
      <c r="N179" s="638"/>
      <c r="O179" s="638"/>
      <c r="P179" s="660"/>
      <c r="Q179" s="639"/>
    </row>
    <row r="180" spans="1:17" ht="14.4" customHeight="1" x14ac:dyDescent="0.3">
      <c r="A180" s="634" t="s">
        <v>487</v>
      </c>
      <c r="B180" s="635" t="s">
        <v>2118</v>
      </c>
      <c r="C180" s="635" t="s">
        <v>1968</v>
      </c>
      <c r="D180" s="635" t="s">
        <v>1988</v>
      </c>
      <c r="E180" s="635" t="s">
        <v>1328</v>
      </c>
      <c r="F180" s="638">
        <v>66.8</v>
      </c>
      <c r="G180" s="638">
        <v>39688.449999999997</v>
      </c>
      <c r="H180" s="638">
        <v>1</v>
      </c>
      <c r="I180" s="638">
        <v>594.1384730538922</v>
      </c>
      <c r="J180" s="638">
        <v>70.8</v>
      </c>
      <c r="K180" s="638">
        <v>26878.379999999997</v>
      </c>
      <c r="L180" s="638">
        <v>0.67723430872205892</v>
      </c>
      <c r="M180" s="638">
        <v>379.63813559322034</v>
      </c>
      <c r="N180" s="638"/>
      <c r="O180" s="638"/>
      <c r="P180" s="660"/>
      <c r="Q180" s="639"/>
    </row>
    <row r="181" spans="1:17" ht="14.4" customHeight="1" x14ac:dyDescent="0.3">
      <c r="A181" s="634" t="s">
        <v>487</v>
      </c>
      <c r="B181" s="635" t="s">
        <v>2118</v>
      </c>
      <c r="C181" s="635" t="s">
        <v>1968</v>
      </c>
      <c r="D181" s="635" t="s">
        <v>2127</v>
      </c>
      <c r="E181" s="635" t="s">
        <v>2128</v>
      </c>
      <c r="F181" s="638">
        <v>30</v>
      </c>
      <c r="G181" s="638">
        <v>7422.8600000000006</v>
      </c>
      <c r="H181" s="638">
        <v>1</v>
      </c>
      <c r="I181" s="638">
        <v>247.42866666666669</v>
      </c>
      <c r="J181" s="638">
        <v>18</v>
      </c>
      <c r="K181" s="638">
        <v>1128.78</v>
      </c>
      <c r="L181" s="638">
        <v>0.15206807079750931</v>
      </c>
      <c r="M181" s="638">
        <v>62.71</v>
      </c>
      <c r="N181" s="638"/>
      <c r="O181" s="638"/>
      <c r="P181" s="660"/>
      <c r="Q181" s="639"/>
    </row>
    <row r="182" spans="1:17" ht="14.4" customHeight="1" x14ac:dyDescent="0.3">
      <c r="A182" s="634" t="s">
        <v>487</v>
      </c>
      <c r="B182" s="635" t="s">
        <v>2118</v>
      </c>
      <c r="C182" s="635" t="s">
        <v>1968</v>
      </c>
      <c r="D182" s="635" t="s">
        <v>2129</v>
      </c>
      <c r="E182" s="635" t="s">
        <v>2130</v>
      </c>
      <c r="F182" s="638">
        <v>4</v>
      </c>
      <c r="G182" s="638">
        <v>2072.12</v>
      </c>
      <c r="H182" s="638">
        <v>1</v>
      </c>
      <c r="I182" s="638">
        <v>518.03</v>
      </c>
      <c r="J182" s="638">
        <v>23</v>
      </c>
      <c r="K182" s="638">
        <v>2714.31</v>
      </c>
      <c r="L182" s="638">
        <v>1.3099193096924888</v>
      </c>
      <c r="M182" s="638">
        <v>118.01347826086956</v>
      </c>
      <c r="N182" s="638"/>
      <c r="O182" s="638"/>
      <c r="P182" s="660"/>
      <c r="Q182" s="639"/>
    </row>
    <row r="183" spans="1:17" ht="14.4" customHeight="1" x14ac:dyDescent="0.3">
      <c r="A183" s="634" t="s">
        <v>487</v>
      </c>
      <c r="B183" s="635" t="s">
        <v>2118</v>
      </c>
      <c r="C183" s="635" t="s">
        <v>1968</v>
      </c>
      <c r="D183" s="635" t="s">
        <v>1989</v>
      </c>
      <c r="E183" s="635" t="s">
        <v>1335</v>
      </c>
      <c r="F183" s="638">
        <v>14</v>
      </c>
      <c r="G183" s="638">
        <v>765.08999999999992</v>
      </c>
      <c r="H183" s="638">
        <v>1</v>
      </c>
      <c r="I183" s="638">
        <v>54.64928571428571</v>
      </c>
      <c r="J183" s="638">
        <v>53</v>
      </c>
      <c r="K183" s="638">
        <v>2170.35</v>
      </c>
      <c r="L183" s="638">
        <v>2.8367250911657456</v>
      </c>
      <c r="M183" s="638">
        <v>40.949999999999996</v>
      </c>
      <c r="N183" s="638"/>
      <c r="O183" s="638"/>
      <c r="P183" s="660"/>
      <c r="Q183" s="639"/>
    </row>
    <row r="184" spans="1:17" ht="14.4" customHeight="1" x14ac:dyDescent="0.3">
      <c r="A184" s="634" t="s">
        <v>487</v>
      </c>
      <c r="B184" s="635" t="s">
        <v>2118</v>
      </c>
      <c r="C184" s="635" t="s">
        <v>1968</v>
      </c>
      <c r="D184" s="635" t="s">
        <v>2131</v>
      </c>
      <c r="E184" s="635" t="s">
        <v>2132</v>
      </c>
      <c r="F184" s="638">
        <v>1</v>
      </c>
      <c r="G184" s="638">
        <v>52.44</v>
      </c>
      <c r="H184" s="638">
        <v>1</v>
      </c>
      <c r="I184" s="638">
        <v>52.44</v>
      </c>
      <c r="J184" s="638">
        <v>2</v>
      </c>
      <c r="K184" s="638">
        <v>40.96</v>
      </c>
      <c r="L184" s="638">
        <v>0.78108314263920675</v>
      </c>
      <c r="M184" s="638">
        <v>20.48</v>
      </c>
      <c r="N184" s="638"/>
      <c r="O184" s="638"/>
      <c r="P184" s="660"/>
      <c r="Q184" s="639"/>
    </row>
    <row r="185" spans="1:17" ht="14.4" customHeight="1" x14ac:dyDescent="0.3">
      <c r="A185" s="634" t="s">
        <v>487</v>
      </c>
      <c r="B185" s="635" t="s">
        <v>2118</v>
      </c>
      <c r="C185" s="635" t="s">
        <v>1968</v>
      </c>
      <c r="D185" s="635" t="s">
        <v>1990</v>
      </c>
      <c r="E185" s="635" t="s">
        <v>1991</v>
      </c>
      <c r="F185" s="638">
        <v>6.1000000000000005</v>
      </c>
      <c r="G185" s="638">
        <v>44241.06</v>
      </c>
      <c r="H185" s="638">
        <v>1</v>
      </c>
      <c r="I185" s="638">
        <v>7252.632786885245</v>
      </c>
      <c r="J185" s="638">
        <v>4.0999999999999996</v>
      </c>
      <c r="K185" s="638">
        <v>16096.19</v>
      </c>
      <c r="L185" s="638">
        <v>0.36382921204871677</v>
      </c>
      <c r="M185" s="638">
        <v>3925.9000000000005</v>
      </c>
      <c r="N185" s="638"/>
      <c r="O185" s="638"/>
      <c r="P185" s="660"/>
      <c r="Q185" s="639"/>
    </row>
    <row r="186" spans="1:17" ht="14.4" customHeight="1" x14ac:dyDescent="0.3">
      <c r="A186" s="634" t="s">
        <v>487</v>
      </c>
      <c r="B186" s="635" t="s">
        <v>2118</v>
      </c>
      <c r="C186" s="635" t="s">
        <v>1968</v>
      </c>
      <c r="D186" s="635" t="s">
        <v>2133</v>
      </c>
      <c r="E186" s="635" t="s">
        <v>1350</v>
      </c>
      <c r="F186" s="638"/>
      <c r="G186" s="638"/>
      <c r="H186" s="638"/>
      <c r="I186" s="638"/>
      <c r="J186" s="638">
        <v>29</v>
      </c>
      <c r="K186" s="638">
        <v>6645.6399999999994</v>
      </c>
      <c r="L186" s="638"/>
      <c r="M186" s="638">
        <v>229.15999999999997</v>
      </c>
      <c r="N186" s="638"/>
      <c r="O186" s="638"/>
      <c r="P186" s="660"/>
      <c r="Q186" s="639"/>
    </row>
    <row r="187" spans="1:17" ht="14.4" customHeight="1" x14ac:dyDescent="0.3">
      <c r="A187" s="634" t="s">
        <v>487</v>
      </c>
      <c r="B187" s="635" t="s">
        <v>2118</v>
      </c>
      <c r="C187" s="635" t="s">
        <v>1968</v>
      </c>
      <c r="D187" s="635" t="s">
        <v>1995</v>
      </c>
      <c r="E187" s="635" t="s">
        <v>1996</v>
      </c>
      <c r="F187" s="638">
        <v>3.3999999999999995</v>
      </c>
      <c r="G187" s="638">
        <v>1606.4099999999999</v>
      </c>
      <c r="H187" s="638">
        <v>1</v>
      </c>
      <c r="I187" s="638">
        <v>472.47352941176473</v>
      </c>
      <c r="J187" s="638">
        <v>1.5</v>
      </c>
      <c r="K187" s="638">
        <v>325.12</v>
      </c>
      <c r="L187" s="638">
        <v>0.20238917835421844</v>
      </c>
      <c r="M187" s="638">
        <v>216.74666666666667</v>
      </c>
      <c r="N187" s="638"/>
      <c r="O187" s="638"/>
      <c r="P187" s="660"/>
      <c r="Q187" s="639"/>
    </row>
    <row r="188" spans="1:17" ht="14.4" customHeight="1" x14ac:dyDescent="0.3">
      <c r="A188" s="634" t="s">
        <v>487</v>
      </c>
      <c r="B188" s="635" t="s">
        <v>2118</v>
      </c>
      <c r="C188" s="635" t="s">
        <v>1968</v>
      </c>
      <c r="D188" s="635" t="s">
        <v>1999</v>
      </c>
      <c r="E188" s="635" t="s">
        <v>1136</v>
      </c>
      <c r="F188" s="638">
        <v>18.899999999999999</v>
      </c>
      <c r="G188" s="638">
        <v>1681.4899999999998</v>
      </c>
      <c r="H188" s="638">
        <v>1</v>
      </c>
      <c r="I188" s="638">
        <v>88.967724867724868</v>
      </c>
      <c r="J188" s="638"/>
      <c r="K188" s="638"/>
      <c r="L188" s="638"/>
      <c r="M188" s="638"/>
      <c r="N188" s="638"/>
      <c r="O188" s="638"/>
      <c r="P188" s="660"/>
      <c r="Q188" s="639"/>
    </row>
    <row r="189" spans="1:17" ht="14.4" customHeight="1" x14ac:dyDescent="0.3">
      <c r="A189" s="634" t="s">
        <v>487</v>
      </c>
      <c r="B189" s="635" t="s">
        <v>2118</v>
      </c>
      <c r="C189" s="635" t="s">
        <v>1968</v>
      </c>
      <c r="D189" s="635" t="s">
        <v>2000</v>
      </c>
      <c r="E189" s="635" t="s">
        <v>2001</v>
      </c>
      <c r="F189" s="638"/>
      <c r="G189" s="638"/>
      <c r="H189" s="638"/>
      <c r="I189" s="638"/>
      <c r="J189" s="638">
        <v>24</v>
      </c>
      <c r="K189" s="638">
        <v>32301.119999999999</v>
      </c>
      <c r="L189" s="638"/>
      <c r="M189" s="638">
        <v>1345.8799999999999</v>
      </c>
      <c r="N189" s="638"/>
      <c r="O189" s="638"/>
      <c r="P189" s="660"/>
      <c r="Q189" s="639"/>
    </row>
    <row r="190" spans="1:17" ht="14.4" customHeight="1" x14ac:dyDescent="0.3">
      <c r="A190" s="634" t="s">
        <v>487</v>
      </c>
      <c r="B190" s="635" t="s">
        <v>2118</v>
      </c>
      <c r="C190" s="635" t="s">
        <v>1968</v>
      </c>
      <c r="D190" s="635" t="s">
        <v>2134</v>
      </c>
      <c r="E190" s="635" t="s">
        <v>1237</v>
      </c>
      <c r="F190" s="638">
        <v>2.34</v>
      </c>
      <c r="G190" s="638">
        <v>1468.39</v>
      </c>
      <c r="H190" s="638">
        <v>1</v>
      </c>
      <c r="I190" s="638">
        <v>627.51709401709411</v>
      </c>
      <c r="J190" s="638"/>
      <c r="K190" s="638"/>
      <c r="L190" s="638"/>
      <c r="M190" s="638"/>
      <c r="N190" s="638"/>
      <c r="O190" s="638"/>
      <c r="P190" s="660"/>
      <c r="Q190" s="639"/>
    </row>
    <row r="191" spans="1:17" ht="14.4" customHeight="1" x14ac:dyDescent="0.3">
      <c r="A191" s="634" t="s">
        <v>487</v>
      </c>
      <c r="B191" s="635" t="s">
        <v>2118</v>
      </c>
      <c r="C191" s="635" t="s">
        <v>1968</v>
      </c>
      <c r="D191" s="635" t="s">
        <v>2002</v>
      </c>
      <c r="E191" s="635" t="s">
        <v>2003</v>
      </c>
      <c r="F191" s="638"/>
      <c r="G191" s="638"/>
      <c r="H191" s="638"/>
      <c r="I191" s="638"/>
      <c r="J191" s="638">
        <v>1.75</v>
      </c>
      <c r="K191" s="638">
        <v>1400</v>
      </c>
      <c r="L191" s="638"/>
      <c r="M191" s="638">
        <v>800</v>
      </c>
      <c r="N191" s="638"/>
      <c r="O191" s="638"/>
      <c r="P191" s="660"/>
      <c r="Q191" s="639"/>
    </row>
    <row r="192" spans="1:17" ht="14.4" customHeight="1" x14ac:dyDescent="0.3">
      <c r="A192" s="634" t="s">
        <v>487</v>
      </c>
      <c r="B192" s="635" t="s">
        <v>2118</v>
      </c>
      <c r="C192" s="635" t="s">
        <v>1968</v>
      </c>
      <c r="D192" s="635" t="s">
        <v>2135</v>
      </c>
      <c r="E192" s="635" t="s">
        <v>1244</v>
      </c>
      <c r="F192" s="638"/>
      <c r="G192" s="638"/>
      <c r="H192" s="638"/>
      <c r="I192" s="638"/>
      <c r="J192" s="638">
        <v>4.8</v>
      </c>
      <c r="K192" s="638">
        <v>10361.39</v>
      </c>
      <c r="L192" s="638"/>
      <c r="M192" s="638">
        <v>2158.6229166666667</v>
      </c>
      <c r="N192" s="638"/>
      <c r="O192" s="638"/>
      <c r="P192" s="660"/>
      <c r="Q192" s="639"/>
    </row>
    <row r="193" spans="1:17" ht="14.4" customHeight="1" x14ac:dyDescent="0.3">
      <c r="A193" s="634" t="s">
        <v>487</v>
      </c>
      <c r="B193" s="635" t="s">
        <v>2118</v>
      </c>
      <c r="C193" s="635" t="s">
        <v>1968</v>
      </c>
      <c r="D193" s="635" t="s">
        <v>2136</v>
      </c>
      <c r="E193" s="635" t="s">
        <v>2137</v>
      </c>
      <c r="F193" s="638"/>
      <c r="G193" s="638"/>
      <c r="H193" s="638"/>
      <c r="I193" s="638"/>
      <c r="J193" s="638">
        <v>0.3</v>
      </c>
      <c r="K193" s="638">
        <v>181.53</v>
      </c>
      <c r="L193" s="638"/>
      <c r="M193" s="638">
        <v>605.1</v>
      </c>
      <c r="N193" s="638"/>
      <c r="O193" s="638"/>
      <c r="P193" s="660"/>
      <c r="Q193" s="639"/>
    </row>
    <row r="194" spans="1:17" ht="14.4" customHeight="1" x14ac:dyDescent="0.3">
      <c r="A194" s="634" t="s">
        <v>487</v>
      </c>
      <c r="B194" s="635" t="s">
        <v>2118</v>
      </c>
      <c r="C194" s="635" t="s">
        <v>1968</v>
      </c>
      <c r="D194" s="635" t="s">
        <v>2004</v>
      </c>
      <c r="E194" s="635" t="s">
        <v>1179</v>
      </c>
      <c r="F194" s="638"/>
      <c r="G194" s="638"/>
      <c r="H194" s="638"/>
      <c r="I194" s="638"/>
      <c r="J194" s="638">
        <v>5.2</v>
      </c>
      <c r="K194" s="638">
        <v>4268.6100000000006</v>
      </c>
      <c r="L194" s="638"/>
      <c r="M194" s="638">
        <v>820.88653846153852</v>
      </c>
      <c r="N194" s="638"/>
      <c r="O194" s="638"/>
      <c r="P194" s="660"/>
      <c r="Q194" s="639"/>
    </row>
    <row r="195" spans="1:17" ht="14.4" customHeight="1" x14ac:dyDescent="0.3">
      <c r="A195" s="634" t="s">
        <v>487</v>
      </c>
      <c r="B195" s="635" t="s">
        <v>2118</v>
      </c>
      <c r="C195" s="635" t="s">
        <v>1968</v>
      </c>
      <c r="D195" s="635" t="s">
        <v>2138</v>
      </c>
      <c r="E195" s="635" t="s">
        <v>2139</v>
      </c>
      <c r="F195" s="638">
        <v>2</v>
      </c>
      <c r="G195" s="638">
        <v>6760.92</v>
      </c>
      <c r="H195" s="638">
        <v>1</v>
      </c>
      <c r="I195" s="638">
        <v>3380.46</v>
      </c>
      <c r="J195" s="638"/>
      <c r="K195" s="638"/>
      <c r="L195" s="638"/>
      <c r="M195" s="638"/>
      <c r="N195" s="638"/>
      <c r="O195" s="638"/>
      <c r="P195" s="660"/>
      <c r="Q195" s="639"/>
    </row>
    <row r="196" spans="1:17" ht="14.4" customHeight="1" x14ac:dyDescent="0.3">
      <c r="A196" s="634" t="s">
        <v>487</v>
      </c>
      <c r="B196" s="635" t="s">
        <v>2118</v>
      </c>
      <c r="C196" s="635" t="s">
        <v>1968</v>
      </c>
      <c r="D196" s="635" t="s">
        <v>2005</v>
      </c>
      <c r="E196" s="635" t="s">
        <v>2006</v>
      </c>
      <c r="F196" s="638"/>
      <c r="G196" s="638"/>
      <c r="H196" s="638"/>
      <c r="I196" s="638"/>
      <c r="J196" s="638">
        <v>2.1</v>
      </c>
      <c r="K196" s="638">
        <v>2414.86</v>
      </c>
      <c r="L196" s="638"/>
      <c r="M196" s="638">
        <v>1149.9333333333334</v>
      </c>
      <c r="N196" s="638"/>
      <c r="O196" s="638"/>
      <c r="P196" s="660"/>
      <c r="Q196" s="639"/>
    </row>
    <row r="197" spans="1:17" ht="14.4" customHeight="1" x14ac:dyDescent="0.3">
      <c r="A197" s="634" t="s">
        <v>487</v>
      </c>
      <c r="B197" s="635" t="s">
        <v>2118</v>
      </c>
      <c r="C197" s="635" t="s">
        <v>1968</v>
      </c>
      <c r="D197" s="635" t="s">
        <v>2007</v>
      </c>
      <c r="E197" s="635" t="s">
        <v>2008</v>
      </c>
      <c r="F197" s="638"/>
      <c r="G197" s="638"/>
      <c r="H197" s="638"/>
      <c r="I197" s="638"/>
      <c r="J197" s="638">
        <v>17.22</v>
      </c>
      <c r="K197" s="638">
        <v>62217.1</v>
      </c>
      <c r="L197" s="638"/>
      <c r="M197" s="638">
        <v>3613.0720092915217</v>
      </c>
      <c r="N197" s="638"/>
      <c r="O197" s="638"/>
      <c r="P197" s="660"/>
      <c r="Q197" s="639"/>
    </row>
    <row r="198" spans="1:17" ht="14.4" customHeight="1" x14ac:dyDescent="0.3">
      <c r="A198" s="634" t="s">
        <v>487</v>
      </c>
      <c r="B198" s="635" t="s">
        <v>2118</v>
      </c>
      <c r="C198" s="635" t="s">
        <v>2011</v>
      </c>
      <c r="D198" s="635" t="s">
        <v>2140</v>
      </c>
      <c r="E198" s="635" t="s">
        <v>2141</v>
      </c>
      <c r="F198" s="638"/>
      <c r="G198" s="638"/>
      <c r="H198" s="638"/>
      <c r="I198" s="638"/>
      <c r="J198" s="638">
        <v>1</v>
      </c>
      <c r="K198" s="638">
        <v>1176.6600000000001</v>
      </c>
      <c r="L198" s="638"/>
      <c r="M198" s="638">
        <v>1176.6600000000001</v>
      </c>
      <c r="N198" s="638"/>
      <c r="O198" s="638"/>
      <c r="P198" s="660"/>
      <c r="Q198" s="639"/>
    </row>
    <row r="199" spans="1:17" ht="14.4" customHeight="1" x14ac:dyDescent="0.3">
      <c r="A199" s="634" t="s">
        <v>487</v>
      </c>
      <c r="B199" s="635" t="s">
        <v>2118</v>
      </c>
      <c r="C199" s="635" t="s">
        <v>2011</v>
      </c>
      <c r="D199" s="635" t="s">
        <v>2012</v>
      </c>
      <c r="E199" s="635" t="s">
        <v>2013</v>
      </c>
      <c r="F199" s="638">
        <v>131</v>
      </c>
      <c r="G199" s="638">
        <v>233462.96000000002</v>
      </c>
      <c r="H199" s="638">
        <v>1</v>
      </c>
      <c r="I199" s="638">
        <v>1782.16</v>
      </c>
      <c r="J199" s="638">
        <v>157</v>
      </c>
      <c r="K199" s="638">
        <v>288570.3</v>
      </c>
      <c r="L199" s="638">
        <v>1.2360431821818758</v>
      </c>
      <c r="M199" s="638">
        <v>1838.0273885350318</v>
      </c>
      <c r="N199" s="638"/>
      <c r="O199" s="638"/>
      <c r="P199" s="660"/>
      <c r="Q199" s="639"/>
    </row>
    <row r="200" spans="1:17" ht="14.4" customHeight="1" x14ac:dyDescent="0.3">
      <c r="A200" s="634" t="s">
        <v>487</v>
      </c>
      <c r="B200" s="635" t="s">
        <v>2118</v>
      </c>
      <c r="C200" s="635" t="s">
        <v>2011</v>
      </c>
      <c r="D200" s="635" t="s">
        <v>2014</v>
      </c>
      <c r="E200" s="635" t="s">
        <v>2015</v>
      </c>
      <c r="F200" s="638">
        <v>3</v>
      </c>
      <c r="G200" s="638">
        <v>7739.4600000000009</v>
      </c>
      <c r="H200" s="638">
        <v>1</v>
      </c>
      <c r="I200" s="638">
        <v>2579.8200000000002</v>
      </c>
      <c r="J200" s="638">
        <v>12</v>
      </c>
      <c r="K200" s="638">
        <v>32264.07</v>
      </c>
      <c r="L200" s="638">
        <v>4.168775340915257</v>
      </c>
      <c r="M200" s="638">
        <v>2688.6725000000001</v>
      </c>
      <c r="N200" s="638"/>
      <c r="O200" s="638"/>
      <c r="P200" s="660"/>
      <c r="Q200" s="639"/>
    </row>
    <row r="201" spans="1:17" ht="14.4" customHeight="1" x14ac:dyDescent="0.3">
      <c r="A201" s="634" t="s">
        <v>487</v>
      </c>
      <c r="B201" s="635" t="s">
        <v>2118</v>
      </c>
      <c r="C201" s="635" t="s">
        <v>2011</v>
      </c>
      <c r="D201" s="635" t="s">
        <v>2142</v>
      </c>
      <c r="E201" s="635" t="s">
        <v>2015</v>
      </c>
      <c r="F201" s="638">
        <v>1</v>
      </c>
      <c r="G201" s="638">
        <v>1546.24</v>
      </c>
      <c r="H201" s="638">
        <v>1</v>
      </c>
      <c r="I201" s="638">
        <v>1546.24</v>
      </c>
      <c r="J201" s="638"/>
      <c r="K201" s="638"/>
      <c r="L201" s="638"/>
      <c r="M201" s="638"/>
      <c r="N201" s="638"/>
      <c r="O201" s="638"/>
      <c r="P201" s="660"/>
      <c r="Q201" s="639"/>
    </row>
    <row r="202" spans="1:17" ht="14.4" customHeight="1" x14ac:dyDescent="0.3">
      <c r="A202" s="634" t="s">
        <v>487</v>
      </c>
      <c r="B202" s="635" t="s">
        <v>2118</v>
      </c>
      <c r="C202" s="635" t="s">
        <v>2011</v>
      </c>
      <c r="D202" s="635" t="s">
        <v>2016</v>
      </c>
      <c r="E202" s="635" t="s">
        <v>2017</v>
      </c>
      <c r="F202" s="638">
        <v>9</v>
      </c>
      <c r="G202" s="638">
        <v>16039.44</v>
      </c>
      <c r="H202" s="638">
        <v>1</v>
      </c>
      <c r="I202" s="638">
        <v>1782.16</v>
      </c>
      <c r="J202" s="638">
        <v>3</v>
      </c>
      <c r="K202" s="638">
        <v>5596.74</v>
      </c>
      <c r="L202" s="638">
        <v>0.34893612245814065</v>
      </c>
      <c r="M202" s="638">
        <v>1865.58</v>
      </c>
      <c r="N202" s="638"/>
      <c r="O202" s="638"/>
      <c r="P202" s="660"/>
      <c r="Q202" s="639"/>
    </row>
    <row r="203" spans="1:17" ht="14.4" customHeight="1" x14ac:dyDescent="0.3">
      <c r="A203" s="634" t="s">
        <v>487</v>
      </c>
      <c r="B203" s="635" t="s">
        <v>2118</v>
      </c>
      <c r="C203" s="635" t="s">
        <v>2011</v>
      </c>
      <c r="D203" s="635" t="s">
        <v>2018</v>
      </c>
      <c r="E203" s="635" t="s">
        <v>2019</v>
      </c>
      <c r="F203" s="638">
        <v>2</v>
      </c>
      <c r="G203" s="638">
        <v>15445.5</v>
      </c>
      <c r="H203" s="638">
        <v>1</v>
      </c>
      <c r="I203" s="638">
        <v>7722.75</v>
      </c>
      <c r="J203" s="638">
        <v>1</v>
      </c>
      <c r="K203" s="638">
        <v>7778.18</v>
      </c>
      <c r="L203" s="638">
        <v>0.50358874753164351</v>
      </c>
      <c r="M203" s="638">
        <v>7778.18</v>
      </c>
      <c r="N203" s="638"/>
      <c r="O203" s="638"/>
      <c r="P203" s="660"/>
      <c r="Q203" s="639"/>
    </row>
    <row r="204" spans="1:17" ht="14.4" customHeight="1" x14ac:dyDescent="0.3">
      <c r="A204" s="634" t="s">
        <v>487</v>
      </c>
      <c r="B204" s="635" t="s">
        <v>2118</v>
      </c>
      <c r="C204" s="635" t="s">
        <v>2011</v>
      </c>
      <c r="D204" s="635" t="s">
        <v>2020</v>
      </c>
      <c r="E204" s="635" t="s">
        <v>2021</v>
      </c>
      <c r="F204" s="638">
        <v>5</v>
      </c>
      <c r="G204" s="638">
        <v>45195.05</v>
      </c>
      <c r="H204" s="638">
        <v>1</v>
      </c>
      <c r="I204" s="638">
        <v>9039.01</v>
      </c>
      <c r="J204" s="638">
        <v>8</v>
      </c>
      <c r="K204" s="638">
        <v>74908.259999999995</v>
      </c>
      <c r="L204" s="638">
        <v>1.6574439014892115</v>
      </c>
      <c r="M204" s="638">
        <v>9363.5324999999993</v>
      </c>
      <c r="N204" s="638"/>
      <c r="O204" s="638"/>
      <c r="P204" s="660"/>
      <c r="Q204" s="639"/>
    </row>
    <row r="205" spans="1:17" ht="14.4" customHeight="1" x14ac:dyDescent="0.3">
      <c r="A205" s="634" t="s">
        <v>487</v>
      </c>
      <c r="B205" s="635" t="s">
        <v>2118</v>
      </c>
      <c r="C205" s="635" t="s">
        <v>2011</v>
      </c>
      <c r="D205" s="635" t="s">
        <v>2022</v>
      </c>
      <c r="E205" s="635" t="s">
        <v>2023</v>
      </c>
      <c r="F205" s="638">
        <v>50</v>
      </c>
      <c r="G205" s="638">
        <v>42986</v>
      </c>
      <c r="H205" s="638">
        <v>1</v>
      </c>
      <c r="I205" s="638">
        <v>859.72</v>
      </c>
      <c r="J205" s="638">
        <v>79</v>
      </c>
      <c r="K205" s="638">
        <v>71653.62999999999</v>
      </c>
      <c r="L205" s="638">
        <v>1.6669062020192618</v>
      </c>
      <c r="M205" s="638">
        <v>907.00797468354415</v>
      </c>
      <c r="N205" s="638"/>
      <c r="O205" s="638"/>
      <c r="P205" s="660"/>
      <c r="Q205" s="639"/>
    </row>
    <row r="206" spans="1:17" ht="14.4" customHeight="1" x14ac:dyDescent="0.3">
      <c r="A206" s="634" t="s">
        <v>487</v>
      </c>
      <c r="B206" s="635" t="s">
        <v>2118</v>
      </c>
      <c r="C206" s="635" t="s">
        <v>2011</v>
      </c>
      <c r="D206" s="635" t="s">
        <v>2143</v>
      </c>
      <c r="E206" s="635" t="s">
        <v>2144</v>
      </c>
      <c r="F206" s="638"/>
      <c r="G206" s="638"/>
      <c r="H206" s="638"/>
      <c r="I206" s="638"/>
      <c r="J206" s="638">
        <v>17</v>
      </c>
      <c r="K206" s="638">
        <v>4029.6400000000003</v>
      </c>
      <c r="L206" s="638"/>
      <c r="M206" s="638">
        <v>237.03764705882355</v>
      </c>
      <c r="N206" s="638"/>
      <c r="O206" s="638"/>
      <c r="P206" s="660"/>
      <c r="Q206" s="639"/>
    </row>
    <row r="207" spans="1:17" ht="14.4" customHeight="1" x14ac:dyDescent="0.3">
      <c r="A207" s="634" t="s">
        <v>487</v>
      </c>
      <c r="B207" s="635" t="s">
        <v>2118</v>
      </c>
      <c r="C207" s="635" t="s">
        <v>2024</v>
      </c>
      <c r="D207" s="635" t="s">
        <v>2036</v>
      </c>
      <c r="E207" s="635" t="s">
        <v>2037</v>
      </c>
      <c r="F207" s="638"/>
      <c r="G207" s="638"/>
      <c r="H207" s="638"/>
      <c r="I207" s="638"/>
      <c r="J207" s="638">
        <v>1</v>
      </c>
      <c r="K207" s="638">
        <v>6832.75</v>
      </c>
      <c r="L207" s="638"/>
      <c r="M207" s="638">
        <v>6832.75</v>
      </c>
      <c r="N207" s="638"/>
      <c r="O207" s="638"/>
      <c r="P207" s="660"/>
      <c r="Q207" s="639"/>
    </row>
    <row r="208" spans="1:17" ht="14.4" customHeight="1" x14ac:dyDescent="0.3">
      <c r="A208" s="634" t="s">
        <v>487</v>
      </c>
      <c r="B208" s="635" t="s">
        <v>2118</v>
      </c>
      <c r="C208" s="635" t="s">
        <v>2024</v>
      </c>
      <c r="D208" s="635" t="s">
        <v>2145</v>
      </c>
      <c r="E208" s="635" t="s">
        <v>2146</v>
      </c>
      <c r="F208" s="638">
        <v>1</v>
      </c>
      <c r="G208" s="638">
        <v>91.2</v>
      </c>
      <c r="H208" s="638">
        <v>1</v>
      </c>
      <c r="I208" s="638">
        <v>91.2</v>
      </c>
      <c r="J208" s="638"/>
      <c r="K208" s="638"/>
      <c r="L208" s="638"/>
      <c r="M208" s="638"/>
      <c r="N208" s="638"/>
      <c r="O208" s="638"/>
      <c r="P208" s="660"/>
      <c r="Q208" s="639"/>
    </row>
    <row r="209" spans="1:17" ht="14.4" customHeight="1" x14ac:dyDescent="0.3">
      <c r="A209" s="634" t="s">
        <v>487</v>
      </c>
      <c r="B209" s="635" t="s">
        <v>2118</v>
      </c>
      <c r="C209" s="635" t="s">
        <v>2024</v>
      </c>
      <c r="D209" s="635" t="s">
        <v>2147</v>
      </c>
      <c r="E209" s="635" t="s">
        <v>2035</v>
      </c>
      <c r="F209" s="638">
        <v>2</v>
      </c>
      <c r="G209" s="638">
        <v>242.5</v>
      </c>
      <c r="H209" s="638">
        <v>1</v>
      </c>
      <c r="I209" s="638">
        <v>121.25</v>
      </c>
      <c r="J209" s="638"/>
      <c r="K209" s="638"/>
      <c r="L209" s="638"/>
      <c r="M209" s="638"/>
      <c r="N209" s="638"/>
      <c r="O209" s="638"/>
      <c r="P209" s="660"/>
      <c r="Q209" s="639"/>
    </row>
    <row r="210" spans="1:17" ht="14.4" customHeight="1" x14ac:dyDescent="0.3">
      <c r="A210" s="634" t="s">
        <v>487</v>
      </c>
      <c r="B210" s="635" t="s">
        <v>2118</v>
      </c>
      <c r="C210" s="635" t="s">
        <v>2024</v>
      </c>
      <c r="D210" s="635" t="s">
        <v>2148</v>
      </c>
      <c r="E210" s="635" t="s">
        <v>2149</v>
      </c>
      <c r="F210" s="638">
        <v>1</v>
      </c>
      <c r="G210" s="638">
        <v>28950</v>
      </c>
      <c r="H210" s="638">
        <v>1</v>
      </c>
      <c r="I210" s="638">
        <v>28950</v>
      </c>
      <c r="J210" s="638"/>
      <c r="K210" s="638"/>
      <c r="L210" s="638"/>
      <c r="M210" s="638"/>
      <c r="N210" s="638"/>
      <c r="O210" s="638"/>
      <c r="P210" s="660"/>
      <c r="Q210" s="639"/>
    </row>
    <row r="211" spans="1:17" ht="14.4" customHeight="1" x14ac:dyDescent="0.3">
      <c r="A211" s="634" t="s">
        <v>487</v>
      </c>
      <c r="B211" s="635" t="s">
        <v>2118</v>
      </c>
      <c r="C211" s="635" t="s">
        <v>2024</v>
      </c>
      <c r="D211" s="635" t="s">
        <v>2150</v>
      </c>
      <c r="E211" s="635" t="s">
        <v>2151</v>
      </c>
      <c r="F211" s="638">
        <v>1</v>
      </c>
      <c r="G211" s="638">
        <v>23608.2</v>
      </c>
      <c r="H211" s="638">
        <v>1</v>
      </c>
      <c r="I211" s="638">
        <v>23608.2</v>
      </c>
      <c r="J211" s="638">
        <v>1</v>
      </c>
      <c r="K211" s="638">
        <v>23608.2</v>
      </c>
      <c r="L211" s="638">
        <v>1</v>
      </c>
      <c r="M211" s="638">
        <v>23608.2</v>
      </c>
      <c r="N211" s="638"/>
      <c r="O211" s="638"/>
      <c r="P211" s="660"/>
      <c r="Q211" s="639"/>
    </row>
    <row r="212" spans="1:17" ht="14.4" customHeight="1" x14ac:dyDescent="0.3">
      <c r="A212" s="634" t="s">
        <v>487</v>
      </c>
      <c r="B212" s="635" t="s">
        <v>2118</v>
      </c>
      <c r="C212" s="635" t="s">
        <v>2024</v>
      </c>
      <c r="D212" s="635" t="s">
        <v>2152</v>
      </c>
      <c r="E212" s="635" t="s">
        <v>2153</v>
      </c>
      <c r="F212" s="638">
        <v>1</v>
      </c>
      <c r="G212" s="638">
        <v>1796</v>
      </c>
      <c r="H212" s="638">
        <v>1</v>
      </c>
      <c r="I212" s="638">
        <v>1796</v>
      </c>
      <c r="J212" s="638">
        <v>2</v>
      </c>
      <c r="K212" s="638">
        <v>3592</v>
      </c>
      <c r="L212" s="638">
        <v>2</v>
      </c>
      <c r="M212" s="638">
        <v>1796</v>
      </c>
      <c r="N212" s="638"/>
      <c r="O212" s="638"/>
      <c r="P212" s="660"/>
      <c r="Q212" s="639"/>
    </row>
    <row r="213" spans="1:17" ht="14.4" customHeight="1" x14ac:dyDescent="0.3">
      <c r="A213" s="634" t="s">
        <v>487</v>
      </c>
      <c r="B213" s="635" t="s">
        <v>2118</v>
      </c>
      <c r="C213" s="635" t="s">
        <v>2024</v>
      </c>
      <c r="D213" s="635" t="s">
        <v>2044</v>
      </c>
      <c r="E213" s="635" t="s">
        <v>2045</v>
      </c>
      <c r="F213" s="638">
        <v>1</v>
      </c>
      <c r="G213" s="638">
        <v>1796</v>
      </c>
      <c r="H213" s="638">
        <v>1</v>
      </c>
      <c r="I213" s="638">
        <v>1796</v>
      </c>
      <c r="J213" s="638">
        <v>2</v>
      </c>
      <c r="K213" s="638">
        <v>3592</v>
      </c>
      <c r="L213" s="638">
        <v>2</v>
      </c>
      <c r="M213" s="638">
        <v>1796</v>
      </c>
      <c r="N213" s="638"/>
      <c r="O213" s="638"/>
      <c r="P213" s="660"/>
      <c r="Q213" s="639"/>
    </row>
    <row r="214" spans="1:17" ht="14.4" customHeight="1" x14ac:dyDescent="0.3">
      <c r="A214" s="634" t="s">
        <v>487</v>
      </c>
      <c r="B214" s="635" t="s">
        <v>2118</v>
      </c>
      <c r="C214" s="635" t="s">
        <v>2024</v>
      </c>
      <c r="D214" s="635" t="s">
        <v>2046</v>
      </c>
      <c r="E214" s="635" t="s">
        <v>2047</v>
      </c>
      <c r="F214" s="638">
        <v>2</v>
      </c>
      <c r="G214" s="638">
        <v>3592</v>
      </c>
      <c r="H214" s="638">
        <v>1</v>
      </c>
      <c r="I214" s="638">
        <v>1796</v>
      </c>
      <c r="J214" s="638">
        <v>1</v>
      </c>
      <c r="K214" s="638">
        <v>1796</v>
      </c>
      <c r="L214" s="638">
        <v>0.5</v>
      </c>
      <c r="M214" s="638">
        <v>1796</v>
      </c>
      <c r="N214" s="638"/>
      <c r="O214" s="638"/>
      <c r="P214" s="660"/>
      <c r="Q214" s="639"/>
    </row>
    <row r="215" spans="1:17" ht="14.4" customHeight="1" x14ac:dyDescent="0.3">
      <c r="A215" s="634" t="s">
        <v>487</v>
      </c>
      <c r="B215" s="635" t="s">
        <v>2118</v>
      </c>
      <c r="C215" s="635" t="s">
        <v>2024</v>
      </c>
      <c r="D215" s="635" t="s">
        <v>2154</v>
      </c>
      <c r="E215" s="635" t="s">
        <v>2155</v>
      </c>
      <c r="F215" s="638"/>
      <c r="G215" s="638"/>
      <c r="H215" s="638"/>
      <c r="I215" s="638"/>
      <c r="J215" s="638">
        <v>1</v>
      </c>
      <c r="K215" s="638">
        <v>530.62</v>
      </c>
      <c r="L215" s="638"/>
      <c r="M215" s="638">
        <v>530.62</v>
      </c>
      <c r="N215" s="638"/>
      <c r="O215" s="638"/>
      <c r="P215" s="660"/>
      <c r="Q215" s="639"/>
    </row>
    <row r="216" spans="1:17" ht="14.4" customHeight="1" x14ac:dyDescent="0.3">
      <c r="A216" s="634" t="s">
        <v>487</v>
      </c>
      <c r="B216" s="635" t="s">
        <v>2118</v>
      </c>
      <c r="C216" s="635" t="s">
        <v>2024</v>
      </c>
      <c r="D216" s="635" t="s">
        <v>2156</v>
      </c>
      <c r="E216" s="635" t="s">
        <v>2157</v>
      </c>
      <c r="F216" s="638"/>
      <c r="G216" s="638"/>
      <c r="H216" s="638"/>
      <c r="I216" s="638"/>
      <c r="J216" s="638">
        <v>6</v>
      </c>
      <c r="K216" s="638">
        <v>3339</v>
      </c>
      <c r="L216" s="638"/>
      <c r="M216" s="638">
        <v>556.5</v>
      </c>
      <c r="N216" s="638"/>
      <c r="O216" s="638"/>
      <c r="P216" s="660"/>
      <c r="Q216" s="639"/>
    </row>
    <row r="217" spans="1:17" ht="14.4" customHeight="1" x14ac:dyDescent="0.3">
      <c r="A217" s="634" t="s">
        <v>487</v>
      </c>
      <c r="B217" s="635" t="s">
        <v>2118</v>
      </c>
      <c r="C217" s="635" t="s">
        <v>2024</v>
      </c>
      <c r="D217" s="635" t="s">
        <v>2158</v>
      </c>
      <c r="E217" s="635" t="s">
        <v>2159</v>
      </c>
      <c r="F217" s="638">
        <v>1</v>
      </c>
      <c r="G217" s="638">
        <v>1380</v>
      </c>
      <c r="H217" s="638">
        <v>1</v>
      </c>
      <c r="I217" s="638">
        <v>1380</v>
      </c>
      <c r="J217" s="638"/>
      <c r="K217" s="638"/>
      <c r="L217" s="638"/>
      <c r="M217" s="638"/>
      <c r="N217" s="638"/>
      <c r="O217" s="638"/>
      <c r="P217" s="660"/>
      <c r="Q217" s="639"/>
    </row>
    <row r="218" spans="1:17" ht="14.4" customHeight="1" x14ac:dyDescent="0.3">
      <c r="A218" s="634" t="s">
        <v>487</v>
      </c>
      <c r="B218" s="635" t="s">
        <v>2118</v>
      </c>
      <c r="C218" s="635" t="s">
        <v>2024</v>
      </c>
      <c r="D218" s="635" t="s">
        <v>2050</v>
      </c>
      <c r="E218" s="635" t="s">
        <v>2051</v>
      </c>
      <c r="F218" s="638">
        <v>1</v>
      </c>
      <c r="G218" s="638">
        <v>1312</v>
      </c>
      <c r="H218" s="638">
        <v>1</v>
      </c>
      <c r="I218" s="638">
        <v>1312</v>
      </c>
      <c r="J218" s="638"/>
      <c r="K218" s="638"/>
      <c r="L218" s="638"/>
      <c r="M218" s="638"/>
      <c r="N218" s="638"/>
      <c r="O218" s="638"/>
      <c r="P218" s="660"/>
      <c r="Q218" s="639"/>
    </row>
    <row r="219" spans="1:17" ht="14.4" customHeight="1" x14ac:dyDescent="0.3">
      <c r="A219" s="634" t="s">
        <v>487</v>
      </c>
      <c r="B219" s="635" t="s">
        <v>2118</v>
      </c>
      <c r="C219" s="635" t="s">
        <v>2024</v>
      </c>
      <c r="D219" s="635" t="s">
        <v>2160</v>
      </c>
      <c r="E219" s="635" t="s">
        <v>2161</v>
      </c>
      <c r="F219" s="638">
        <v>2</v>
      </c>
      <c r="G219" s="638">
        <v>294</v>
      </c>
      <c r="H219" s="638">
        <v>1</v>
      </c>
      <c r="I219" s="638">
        <v>147</v>
      </c>
      <c r="J219" s="638">
        <v>1</v>
      </c>
      <c r="K219" s="638">
        <v>147</v>
      </c>
      <c r="L219" s="638">
        <v>0.5</v>
      </c>
      <c r="M219" s="638">
        <v>147</v>
      </c>
      <c r="N219" s="638"/>
      <c r="O219" s="638"/>
      <c r="P219" s="660"/>
      <c r="Q219" s="639"/>
    </row>
    <row r="220" spans="1:17" ht="14.4" customHeight="1" x14ac:dyDescent="0.3">
      <c r="A220" s="634" t="s">
        <v>487</v>
      </c>
      <c r="B220" s="635" t="s">
        <v>2118</v>
      </c>
      <c r="C220" s="635" t="s">
        <v>1819</v>
      </c>
      <c r="D220" s="635" t="s">
        <v>2067</v>
      </c>
      <c r="E220" s="635" t="s">
        <v>2068</v>
      </c>
      <c r="F220" s="638">
        <v>382</v>
      </c>
      <c r="G220" s="638">
        <v>4540834</v>
      </c>
      <c r="H220" s="638">
        <v>1</v>
      </c>
      <c r="I220" s="638">
        <v>11887</v>
      </c>
      <c r="J220" s="638">
        <v>437</v>
      </c>
      <c r="K220" s="638">
        <v>5198585</v>
      </c>
      <c r="L220" s="638">
        <v>1.1448524654281571</v>
      </c>
      <c r="M220" s="638">
        <v>11896.075514874143</v>
      </c>
      <c r="N220" s="638"/>
      <c r="O220" s="638"/>
      <c r="P220" s="660"/>
      <c r="Q220" s="639"/>
    </row>
    <row r="221" spans="1:17" ht="14.4" customHeight="1" x14ac:dyDescent="0.3">
      <c r="A221" s="634" t="s">
        <v>487</v>
      </c>
      <c r="B221" s="635" t="s">
        <v>2118</v>
      </c>
      <c r="C221" s="635" t="s">
        <v>1819</v>
      </c>
      <c r="D221" s="635" t="s">
        <v>2069</v>
      </c>
      <c r="E221" s="635" t="s">
        <v>2070</v>
      </c>
      <c r="F221" s="638">
        <v>6</v>
      </c>
      <c r="G221" s="638">
        <v>2556</v>
      </c>
      <c r="H221" s="638">
        <v>1</v>
      </c>
      <c r="I221" s="638">
        <v>426</v>
      </c>
      <c r="J221" s="638"/>
      <c r="K221" s="638"/>
      <c r="L221" s="638"/>
      <c r="M221" s="638"/>
      <c r="N221" s="638"/>
      <c r="O221" s="638"/>
      <c r="P221" s="660"/>
      <c r="Q221" s="639"/>
    </row>
    <row r="222" spans="1:17" ht="14.4" customHeight="1" x14ac:dyDescent="0.3">
      <c r="A222" s="634" t="s">
        <v>487</v>
      </c>
      <c r="B222" s="635" t="s">
        <v>2118</v>
      </c>
      <c r="C222" s="635" t="s">
        <v>1819</v>
      </c>
      <c r="D222" s="635" t="s">
        <v>2071</v>
      </c>
      <c r="E222" s="635" t="s">
        <v>2072</v>
      </c>
      <c r="F222" s="638">
        <v>123</v>
      </c>
      <c r="G222" s="638">
        <v>46863</v>
      </c>
      <c r="H222" s="638">
        <v>1</v>
      </c>
      <c r="I222" s="638">
        <v>381</v>
      </c>
      <c r="J222" s="638">
        <v>140</v>
      </c>
      <c r="K222" s="638">
        <v>53480</v>
      </c>
      <c r="L222" s="638">
        <v>1.1411988135629387</v>
      </c>
      <c r="M222" s="638">
        <v>382</v>
      </c>
      <c r="N222" s="638"/>
      <c r="O222" s="638"/>
      <c r="P222" s="660"/>
      <c r="Q222" s="639"/>
    </row>
    <row r="223" spans="1:17" ht="14.4" customHeight="1" x14ac:dyDescent="0.3">
      <c r="A223" s="634" t="s">
        <v>487</v>
      </c>
      <c r="B223" s="635" t="s">
        <v>2118</v>
      </c>
      <c r="C223" s="635" t="s">
        <v>1819</v>
      </c>
      <c r="D223" s="635" t="s">
        <v>1824</v>
      </c>
      <c r="E223" s="635" t="s">
        <v>1825</v>
      </c>
      <c r="F223" s="638">
        <v>173</v>
      </c>
      <c r="G223" s="638">
        <v>39963</v>
      </c>
      <c r="H223" s="638">
        <v>1</v>
      </c>
      <c r="I223" s="638">
        <v>231</v>
      </c>
      <c r="J223" s="638">
        <v>194</v>
      </c>
      <c r="K223" s="638">
        <v>45008</v>
      </c>
      <c r="L223" s="638">
        <v>1.1262417736406176</v>
      </c>
      <c r="M223" s="638">
        <v>232</v>
      </c>
      <c r="N223" s="638"/>
      <c r="O223" s="638"/>
      <c r="P223" s="660"/>
      <c r="Q223" s="639"/>
    </row>
    <row r="224" spans="1:17" ht="14.4" customHeight="1" x14ac:dyDescent="0.3">
      <c r="A224" s="634" t="s">
        <v>487</v>
      </c>
      <c r="B224" s="635" t="s">
        <v>2118</v>
      </c>
      <c r="C224" s="635" t="s">
        <v>1819</v>
      </c>
      <c r="D224" s="635" t="s">
        <v>2075</v>
      </c>
      <c r="E224" s="635" t="s">
        <v>2076</v>
      </c>
      <c r="F224" s="638">
        <v>0</v>
      </c>
      <c r="G224" s="638">
        <v>0</v>
      </c>
      <c r="H224" s="638"/>
      <c r="I224" s="638"/>
      <c r="J224" s="638">
        <v>0</v>
      </c>
      <c r="K224" s="638">
        <v>0</v>
      </c>
      <c r="L224" s="638"/>
      <c r="M224" s="638"/>
      <c r="N224" s="638"/>
      <c r="O224" s="638"/>
      <c r="P224" s="660"/>
      <c r="Q224" s="639"/>
    </row>
    <row r="225" spans="1:17" ht="14.4" customHeight="1" x14ac:dyDescent="0.3">
      <c r="A225" s="634" t="s">
        <v>487</v>
      </c>
      <c r="B225" s="635" t="s">
        <v>2118</v>
      </c>
      <c r="C225" s="635" t="s">
        <v>1819</v>
      </c>
      <c r="D225" s="635" t="s">
        <v>2077</v>
      </c>
      <c r="E225" s="635" t="s">
        <v>2078</v>
      </c>
      <c r="F225" s="638">
        <v>26</v>
      </c>
      <c r="G225" s="638">
        <v>0</v>
      </c>
      <c r="H225" s="638"/>
      <c r="I225" s="638">
        <v>0</v>
      </c>
      <c r="J225" s="638">
        <v>53</v>
      </c>
      <c r="K225" s="638">
        <v>0</v>
      </c>
      <c r="L225" s="638"/>
      <c r="M225" s="638">
        <v>0</v>
      </c>
      <c r="N225" s="638"/>
      <c r="O225" s="638"/>
      <c r="P225" s="660"/>
      <c r="Q225" s="639"/>
    </row>
    <row r="226" spans="1:17" ht="14.4" customHeight="1" x14ac:dyDescent="0.3">
      <c r="A226" s="634" t="s">
        <v>487</v>
      </c>
      <c r="B226" s="635" t="s">
        <v>2118</v>
      </c>
      <c r="C226" s="635" t="s">
        <v>1819</v>
      </c>
      <c r="D226" s="635" t="s">
        <v>2162</v>
      </c>
      <c r="E226" s="635" t="s">
        <v>2163</v>
      </c>
      <c r="F226" s="638">
        <v>11</v>
      </c>
      <c r="G226" s="638">
        <v>0</v>
      </c>
      <c r="H226" s="638"/>
      <c r="I226" s="638">
        <v>0</v>
      </c>
      <c r="J226" s="638"/>
      <c r="K226" s="638"/>
      <c r="L226" s="638"/>
      <c r="M226" s="638"/>
      <c r="N226" s="638"/>
      <c r="O226" s="638"/>
      <c r="P226" s="660"/>
      <c r="Q226" s="639"/>
    </row>
    <row r="227" spans="1:17" ht="14.4" customHeight="1" x14ac:dyDescent="0.3">
      <c r="A227" s="634" t="s">
        <v>487</v>
      </c>
      <c r="B227" s="635" t="s">
        <v>2118</v>
      </c>
      <c r="C227" s="635" t="s">
        <v>1819</v>
      </c>
      <c r="D227" s="635" t="s">
        <v>2079</v>
      </c>
      <c r="E227" s="635" t="s">
        <v>2080</v>
      </c>
      <c r="F227" s="638">
        <v>26</v>
      </c>
      <c r="G227" s="638">
        <v>0</v>
      </c>
      <c r="H227" s="638"/>
      <c r="I227" s="638">
        <v>0</v>
      </c>
      <c r="J227" s="638">
        <v>13</v>
      </c>
      <c r="K227" s="638">
        <v>0</v>
      </c>
      <c r="L227" s="638"/>
      <c r="M227" s="638">
        <v>0</v>
      </c>
      <c r="N227" s="638"/>
      <c r="O227" s="638"/>
      <c r="P227" s="660"/>
      <c r="Q227" s="639"/>
    </row>
    <row r="228" spans="1:17" ht="14.4" customHeight="1" x14ac:dyDescent="0.3">
      <c r="A228" s="634" t="s">
        <v>487</v>
      </c>
      <c r="B228" s="635" t="s">
        <v>2118</v>
      </c>
      <c r="C228" s="635" t="s">
        <v>1819</v>
      </c>
      <c r="D228" s="635" t="s">
        <v>2081</v>
      </c>
      <c r="E228" s="635" t="s">
        <v>2082</v>
      </c>
      <c r="F228" s="638">
        <v>17</v>
      </c>
      <c r="G228" s="638">
        <v>0</v>
      </c>
      <c r="H228" s="638"/>
      <c r="I228" s="638">
        <v>0</v>
      </c>
      <c r="J228" s="638">
        <v>11</v>
      </c>
      <c r="K228" s="638">
        <v>0</v>
      </c>
      <c r="L228" s="638"/>
      <c r="M228" s="638">
        <v>0</v>
      </c>
      <c r="N228" s="638"/>
      <c r="O228" s="638"/>
      <c r="P228" s="660"/>
      <c r="Q228" s="639"/>
    </row>
    <row r="229" spans="1:17" ht="14.4" customHeight="1" x14ac:dyDescent="0.3">
      <c r="A229" s="634" t="s">
        <v>487</v>
      </c>
      <c r="B229" s="635" t="s">
        <v>2118</v>
      </c>
      <c r="C229" s="635" t="s">
        <v>1819</v>
      </c>
      <c r="D229" s="635" t="s">
        <v>2083</v>
      </c>
      <c r="E229" s="635" t="s">
        <v>2084</v>
      </c>
      <c r="F229" s="638">
        <v>2</v>
      </c>
      <c r="G229" s="638">
        <v>0</v>
      </c>
      <c r="H229" s="638"/>
      <c r="I229" s="638">
        <v>0</v>
      </c>
      <c r="J229" s="638">
        <v>2</v>
      </c>
      <c r="K229" s="638">
        <v>0</v>
      </c>
      <c r="L229" s="638"/>
      <c r="M229" s="638">
        <v>0</v>
      </c>
      <c r="N229" s="638"/>
      <c r="O229" s="638"/>
      <c r="P229" s="660"/>
      <c r="Q229" s="639"/>
    </row>
    <row r="230" spans="1:17" ht="14.4" customHeight="1" x14ac:dyDescent="0.3">
      <c r="A230" s="634" t="s">
        <v>487</v>
      </c>
      <c r="B230" s="635" t="s">
        <v>2118</v>
      </c>
      <c r="C230" s="635" t="s">
        <v>1819</v>
      </c>
      <c r="D230" s="635" t="s">
        <v>2164</v>
      </c>
      <c r="E230" s="635" t="s">
        <v>2165</v>
      </c>
      <c r="F230" s="638">
        <v>227</v>
      </c>
      <c r="G230" s="638">
        <v>0</v>
      </c>
      <c r="H230" s="638"/>
      <c r="I230" s="638">
        <v>0</v>
      </c>
      <c r="J230" s="638">
        <v>406</v>
      </c>
      <c r="K230" s="638">
        <v>0</v>
      </c>
      <c r="L230" s="638"/>
      <c r="M230" s="638">
        <v>0</v>
      </c>
      <c r="N230" s="638"/>
      <c r="O230" s="638"/>
      <c r="P230" s="660"/>
      <c r="Q230" s="639"/>
    </row>
    <row r="231" spans="1:17" ht="14.4" customHeight="1" x14ac:dyDescent="0.3">
      <c r="A231" s="634" t="s">
        <v>487</v>
      </c>
      <c r="B231" s="635" t="s">
        <v>2118</v>
      </c>
      <c r="C231" s="635" t="s">
        <v>1819</v>
      </c>
      <c r="D231" s="635" t="s">
        <v>2085</v>
      </c>
      <c r="E231" s="635" t="s">
        <v>2082</v>
      </c>
      <c r="F231" s="638">
        <v>2</v>
      </c>
      <c r="G231" s="638">
        <v>0</v>
      </c>
      <c r="H231" s="638"/>
      <c r="I231" s="638">
        <v>0</v>
      </c>
      <c r="J231" s="638">
        <v>8</v>
      </c>
      <c r="K231" s="638">
        <v>0</v>
      </c>
      <c r="L231" s="638"/>
      <c r="M231" s="638">
        <v>0</v>
      </c>
      <c r="N231" s="638"/>
      <c r="O231" s="638"/>
      <c r="P231" s="660"/>
      <c r="Q231" s="639"/>
    </row>
    <row r="232" spans="1:17" ht="14.4" customHeight="1" x14ac:dyDescent="0.3">
      <c r="A232" s="634" t="s">
        <v>487</v>
      </c>
      <c r="B232" s="635" t="s">
        <v>2118</v>
      </c>
      <c r="C232" s="635" t="s">
        <v>1819</v>
      </c>
      <c r="D232" s="635" t="s">
        <v>2086</v>
      </c>
      <c r="E232" s="635" t="s">
        <v>2087</v>
      </c>
      <c r="F232" s="638">
        <v>10</v>
      </c>
      <c r="G232" s="638">
        <v>54660</v>
      </c>
      <c r="H232" s="638">
        <v>1</v>
      </c>
      <c r="I232" s="638">
        <v>5466</v>
      </c>
      <c r="J232" s="638">
        <v>6</v>
      </c>
      <c r="K232" s="638">
        <v>32854</v>
      </c>
      <c r="L232" s="638">
        <v>0.60106110501280641</v>
      </c>
      <c r="M232" s="638">
        <v>5475.666666666667</v>
      </c>
      <c r="N232" s="638"/>
      <c r="O232" s="638"/>
      <c r="P232" s="660"/>
      <c r="Q232" s="639"/>
    </row>
    <row r="233" spans="1:17" ht="14.4" customHeight="1" x14ac:dyDescent="0.3">
      <c r="A233" s="634" t="s">
        <v>487</v>
      </c>
      <c r="B233" s="635" t="s">
        <v>2118</v>
      </c>
      <c r="C233" s="635" t="s">
        <v>1819</v>
      </c>
      <c r="D233" s="635" t="s">
        <v>2090</v>
      </c>
      <c r="E233" s="635" t="s">
        <v>2091</v>
      </c>
      <c r="F233" s="638">
        <v>17</v>
      </c>
      <c r="G233" s="638">
        <v>407252</v>
      </c>
      <c r="H233" s="638">
        <v>1</v>
      </c>
      <c r="I233" s="638">
        <v>23956</v>
      </c>
      <c r="J233" s="638">
        <v>16</v>
      </c>
      <c r="K233" s="638">
        <v>383450</v>
      </c>
      <c r="L233" s="638">
        <v>0.94155461483307634</v>
      </c>
      <c r="M233" s="638">
        <v>23965.625</v>
      </c>
      <c r="N233" s="638"/>
      <c r="O233" s="638"/>
      <c r="P233" s="660"/>
      <c r="Q233" s="639"/>
    </row>
    <row r="234" spans="1:17" ht="14.4" customHeight="1" x14ac:dyDescent="0.3">
      <c r="A234" s="634" t="s">
        <v>487</v>
      </c>
      <c r="B234" s="635" t="s">
        <v>2118</v>
      </c>
      <c r="C234" s="635" t="s">
        <v>1819</v>
      </c>
      <c r="D234" s="635" t="s">
        <v>2092</v>
      </c>
      <c r="E234" s="635" t="s">
        <v>2093</v>
      </c>
      <c r="F234" s="638">
        <v>49</v>
      </c>
      <c r="G234" s="638">
        <v>326634</v>
      </c>
      <c r="H234" s="638">
        <v>1</v>
      </c>
      <c r="I234" s="638">
        <v>6666</v>
      </c>
      <c r="J234" s="638">
        <v>79</v>
      </c>
      <c r="K234" s="638">
        <v>527332</v>
      </c>
      <c r="L234" s="638">
        <v>1.6144430769607574</v>
      </c>
      <c r="M234" s="638">
        <v>6675.0886075949365</v>
      </c>
      <c r="N234" s="638"/>
      <c r="O234" s="638"/>
      <c r="P234" s="660"/>
      <c r="Q234" s="639"/>
    </row>
    <row r="235" spans="1:17" ht="14.4" customHeight="1" x14ac:dyDescent="0.3">
      <c r="A235" s="634" t="s">
        <v>487</v>
      </c>
      <c r="B235" s="635" t="s">
        <v>2118</v>
      </c>
      <c r="C235" s="635" t="s">
        <v>1819</v>
      </c>
      <c r="D235" s="635" t="s">
        <v>2166</v>
      </c>
      <c r="E235" s="635" t="s">
        <v>2082</v>
      </c>
      <c r="F235" s="638"/>
      <c r="G235" s="638"/>
      <c r="H235" s="638"/>
      <c r="I235" s="638"/>
      <c r="J235" s="638">
        <v>3</v>
      </c>
      <c r="K235" s="638">
        <v>0</v>
      </c>
      <c r="L235" s="638"/>
      <c r="M235" s="638">
        <v>0</v>
      </c>
      <c r="N235" s="638"/>
      <c r="O235" s="638"/>
      <c r="P235" s="660"/>
      <c r="Q235" s="639"/>
    </row>
    <row r="236" spans="1:17" ht="14.4" customHeight="1" x14ac:dyDescent="0.3">
      <c r="A236" s="634" t="s">
        <v>487</v>
      </c>
      <c r="B236" s="635" t="s">
        <v>2118</v>
      </c>
      <c r="C236" s="635" t="s">
        <v>1819</v>
      </c>
      <c r="D236" s="635" t="s">
        <v>2167</v>
      </c>
      <c r="E236" s="635" t="s">
        <v>2168</v>
      </c>
      <c r="F236" s="638">
        <v>2</v>
      </c>
      <c r="G236" s="638">
        <v>55912</v>
      </c>
      <c r="H236" s="638">
        <v>1</v>
      </c>
      <c r="I236" s="638">
        <v>27956</v>
      </c>
      <c r="J236" s="638">
        <v>2</v>
      </c>
      <c r="K236" s="638">
        <v>55932</v>
      </c>
      <c r="L236" s="638">
        <v>1.0003577049649448</v>
      </c>
      <c r="M236" s="638">
        <v>27966</v>
      </c>
      <c r="N236" s="638"/>
      <c r="O236" s="638"/>
      <c r="P236" s="660"/>
      <c r="Q236" s="639"/>
    </row>
    <row r="237" spans="1:17" ht="14.4" customHeight="1" x14ac:dyDescent="0.3">
      <c r="A237" s="634" t="s">
        <v>487</v>
      </c>
      <c r="B237" s="635" t="s">
        <v>2118</v>
      </c>
      <c r="C237" s="635" t="s">
        <v>1819</v>
      </c>
      <c r="D237" s="635" t="s">
        <v>2096</v>
      </c>
      <c r="E237" s="635" t="s">
        <v>2097</v>
      </c>
      <c r="F237" s="638">
        <v>1</v>
      </c>
      <c r="G237" s="638">
        <v>0</v>
      </c>
      <c r="H237" s="638"/>
      <c r="I237" s="638">
        <v>0</v>
      </c>
      <c r="J237" s="638">
        <v>1</v>
      </c>
      <c r="K237" s="638">
        <v>0</v>
      </c>
      <c r="L237" s="638"/>
      <c r="M237" s="638">
        <v>0</v>
      </c>
      <c r="N237" s="638"/>
      <c r="O237" s="638"/>
      <c r="P237" s="660"/>
      <c r="Q237" s="639"/>
    </row>
    <row r="238" spans="1:17" ht="14.4" customHeight="1" x14ac:dyDescent="0.3">
      <c r="A238" s="634" t="s">
        <v>487</v>
      </c>
      <c r="B238" s="635" t="s">
        <v>2118</v>
      </c>
      <c r="C238" s="635" t="s">
        <v>1819</v>
      </c>
      <c r="D238" s="635" t="s">
        <v>2169</v>
      </c>
      <c r="E238" s="635" t="s">
        <v>2170</v>
      </c>
      <c r="F238" s="638">
        <v>150</v>
      </c>
      <c r="G238" s="638">
        <v>51300</v>
      </c>
      <c r="H238" s="638">
        <v>1</v>
      </c>
      <c r="I238" s="638">
        <v>342</v>
      </c>
      <c r="J238" s="638">
        <v>182</v>
      </c>
      <c r="K238" s="638">
        <v>62608</v>
      </c>
      <c r="L238" s="638">
        <v>1.2204288499025342</v>
      </c>
      <c r="M238" s="638">
        <v>344</v>
      </c>
      <c r="N238" s="638"/>
      <c r="O238" s="638"/>
      <c r="P238" s="660"/>
      <c r="Q238" s="639"/>
    </row>
    <row r="239" spans="1:17" ht="14.4" customHeight="1" thickBot="1" x14ac:dyDescent="0.35">
      <c r="A239" s="640" t="s">
        <v>487</v>
      </c>
      <c r="B239" s="641" t="s">
        <v>2118</v>
      </c>
      <c r="C239" s="641" t="s">
        <v>1819</v>
      </c>
      <c r="D239" s="641" t="s">
        <v>2171</v>
      </c>
      <c r="E239" s="641" t="s">
        <v>2172</v>
      </c>
      <c r="F239" s="644">
        <v>1</v>
      </c>
      <c r="G239" s="644">
        <v>604</v>
      </c>
      <c r="H239" s="644">
        <v>1</v>
      </c>
      <c r="I239" s="644">
        <v>604</v>
      </c>
      <c r="J239" s="644"/>
      <c r="K239" s="644"/>
      <c r="L239" s="644"/>
      <c r="M239" s="644"/>
      <c r="N239" s="644"/>
      <c r="O239" s="644"/>
      <c r="P239" s="652"/>
      <c r="Q239" s="64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2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7" customWidth="1"/>
    <col min="2" max="4" width="7.88671875" style="367" customWidth="1"/>
    <col min="5" max="5" width="7.88671875" style="376" customWidth="1"/>
    <col min="6" max="8" width="7.88671875" style="367" customWidth="1"/>
    <col min="9" max="9" width="7.88671875" style="377" customWidth="1"/>
    <col min="10" max="13" width="7.88671875" style="367" customWidth="1"/>
    <col min="14" max="16384" width="9.33203125" style="367"/>
  </cols>
  <sheetData>
    <row r="1" spans="1:13" ht="18.600000000000001" customHeight="1" thickBot="1" x14ac:dyDescent="0.4">
      <c r="A1" s="551" t="s">
        <v>139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4.4" customHeight="1" thickBot="1" x14ac:dyDescent="0.35">
      <c r="A2" s="389" t="s">
        <v>298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ht="14.4" customHeight="1" thickBot="1" x14ac:dyDescent="0.35">
      <c r="A3" s="552" t="s">
        <v>73</v>
      </c>
      <c r="B3" s="531" t="s">
        <v>74</v>
      </c>
      <c r="C3" s="532"/>
      <c r="D3" s="532"/>
      <c r="E3" s="533"/>
      <c r="F3" s="531" t="s">
        <v>242</v>
      </c>
      <c r="G3" s="532"/>
      <c r="H3" s="532"/>
      <c r="I3" s="533"/>
      <c r="J3" s="123"/>
      <c r="K3" s="124"/>
      <c r="L3" s="123"/>
      <c r="M3" s="125"/>
    </row>
    <row r="4" spans="1:13" ht="14.4" customHeight="1" thickBot="1" x14ac:dyDescent="0.35">
      <c r="A4" s="553"/>
      <c r="B4" s="126">
        <v>2012</v>
      </c>
      <c r="C4" s="127">
        <v>2013</v>
      </c>
      <c r="D4" s="127">
        <v>2014</v>
      </c>
      <c r="E4" s="128" t="s">
        <v>5</v>
      </c>
      <c r="F4" s="127">
        <v>2012</v>
      </c>
      <c r="G4" s="127">
        <v>2013</v>
      </c>
      <c r="H4" s="127">
        <v>2014</v>
      </c>
      <c r="I4" s="128" t="s">
        <v>5</v>
      </c>
      <c r="J4" s="123"/>
      <c r="K4" s="123"/>
      <c r="L4" s="129" t="s">
        <v>75</v>
      </c>
      <c r="M4" s="130" t="s">
        <v>76</v>
      </c>
    </row>
    <row r="5" spans="1:13" ht="14.4" hidden="1" customHeight="1" outlineLevel="1" x14ac:dyDescent="0.3">
      <c r="A5" s="118" t="s">
        <v>172</v>
      </c>
      <c r="B5" s="121">
        <v>72.433999999999997</v>
      </c>
      <c r="C5" s="114">
        <v>54.923999999999999</v>
      </c>
      <c r="D5" s="114">
        <v>57.158999999999999</v>
      </c>
      <c r="E5" s="131">
        <v>0.78911836982632466</v>
      </c>
      <c r="F5" s="132">
        <v>5</v>
      </c>
      <c r="G5" s="114">
        <v>3</v>
      </c>
      <c r="H5" s="114">
        <v>12</v>
      </c>
      <c r="I5" s="133">
        <v>2.4</v>
      </c>
      <c r="J5" s="123"/>
      <c r="K5" s="123"/>
      <c r="L5" s="7">
        <f>D5-B5</f>
        <v>-15.274999999999999</v>
      </c>
      <c r="M5" s="8">
        <f>H5-F5</f>
        <v>7</v>
      </c>
    </row>
    <row r="6" spans="1:13" ht="14.4" hidden="1" customHeight="1" outlineLevel="1" x14ac:dyDescent="0.3">
      <c r="A6" s="119" t="s">
        <v>173</v>
      </c>
      <c r="B6" s="122">
        <v>0.85099999999999998</v>
      </c>
      <c r="C6" s="113">
        <v>0</v>
      </c>
      <c r="D6" s="113">
        <v>0</v>
      </c>
      <c r="E6" s="134" t="s">
        <v>488</v>
      </c>
      <c r="F6" s="135">
        <v>1</v>
      </c>
      <c r="G6" s="113">
        <v>0</v>
      </c>
      <c r="H6" s="113">
        <v>0</v>
      </c>
      <c r="I6" s="136" t="s">
        <v>488</v>
      </c>
      <c r="J6" s="123"/>
      <c r="K6" s="123"/>
      <c r="L6" s="5">
        <f t="shared" ref="L6:L11" si="0">D6-B6</f>
        <v>-0.85099999999999998</v>
      </c>
      <c r="M6" s="6">
        <f t="shared" ref="M6:M13" si="1">H6-F6</f>
        <v>-1</v>
      </c>
    </row>
    <row r="7" spans="1:13" ht="14.4" hidden="1" customHeight="1" outlineLevel="1" x14ac:dyDescent="0.3">
      <c r="A7" s="119" t="s">
        <v>174</v>
      </c>
      <c r="B7" s="122">
        <v>25.535</v>
      </c>
      <c r="C7" s="113">
        <v>0</v>
      </c>
      <c r="D7" s="113">
        <v>2.9409999999999998</v>
      </c>
      <c r="E7" s="134">
        <v>0.11517524965733307</v>
      </c>
      <c r="F7" s="135">
        <v>4</v>
      </c>
      <c r="G7" s="113">
        <v>0</v>
      </c>
      <c r="H7" s="113">
        <v>2</v>
      </c>
      <c r="I7" s="136">
        <v>0.5</v>
      </c>
      <c r="J7" s="123"/>
      <c r="K7" s="123"/>
      <c r="L7" s="5">
        <f t="shared" si="0"/>
        <v>-22.594000000000001</v>
      </c>
      <c r="M7" s="6">
        <f t="shared" si="1"/>
        <v>-2</v>
      </c>
    </row>
    <row r="8" spans="1:13" ht="14.4" hidden="1" customHeight="1" outlineLevel="1" x14ac:dyDescent="0.3">
      <c r="A8" s="119" t="s">
        <v>175</v>
      </c>
      <c r="B8" s="122">
        <v>0</v>
      </c>
      <c r="C8" s="113">
        <v>0</v>
      </c>
      <c r="D8" s="113">
        <v>2.875</v>
      </c>
      <c r="E8" s="134" t="s">
        <v>488</v>
      </c>
      <c r="F8" s="135">
        <v>0</v>
      </c>
      <c r="G8" s="113">
        <v>0</v>
      </c>
      <c r="H8" s="113">
        <v>1</v>
      </c>
      <c r="I8" s="136" t="s">
        <v>488</v>
      </c>
      <c r="J8" s="123"/>
      <c r="K8" s="123"/>
      <c r="L8" s="5">
        <f t="shared" si="0"/>
        <v>2.875</v>
      </c>
      <c r="M8" s="6">
        <f t="shared" si="1"/>
        <v>1</v>
      </c>
    </row>
    <row r="9" spans="1:13" ht="14.4" hidden="1" customHeight="1" outlineLevel="1" x14ac:dyDescent="0.3">
      <c r="A9" s="119" t="s">
        <v>176</v>
      </c>
      <c r="B9" s="122">
        <v>0</v>
      </c>
      <c r="C9" s="113">
        <v>0</v>
      </c>
      <c r="D9" s="113">
        <v>0</v>
      </c>
      <c r="E9" s="134" t="s">
        <v>488</v>
      </c>
      <c r="F9" s="135">
        <v>0</v>
      </c>
      <c r="G9" s="113">
        <v>0</v>
      </c>
      <c r="H9" s="113">
        <v>0</v>
      </c>
      <c r="I9" s="136" t="s">
        <v>488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177</v>
      </c>
      <c r="B10" s="122">
        <v>7.3639999999999999</v>
      </c>
      <c r="C10" s="113">
        <v>21.89</v>
      </c>
      <c r="D10" s="113">
        <v>0.57299999999999995</v>
      </c>
      <c r="E10" s="134">
        <v>7.7810972297664302E-2</v>
      </c>
      <c r="F10" s="135">
        <v>1</v>
      </c>
      <c r="G10" s="113">
        <v>2</v>
      </c>
      <c r="H10" s="113">
        <v>1</v>
      </c>
      <c r="I10" s="136">
        <v>1</v>
      </c>
      <c r="J10" s="123"/>
      <c r="K10" s="123"/>
      <c r="L10" s="5">
        <f t="shared" si="0"/>
        <v>-6.7910000000000004</v>
      </c>
      <c r="M10" s="6">
        <f t="shared" si="1"/>
        <v>0</v>
      </c>
    </row>
    <row r="11" spans="1:13" ht="14.4" hidden="1" customHeight="1" outlineLevel="1" x14ac:dyDescent="0.3">
      <c r="A11" s="119" t="s">
        <v>178</v>
      </c>
      <c r="B11" s="122">
        <v>0</v>
      </c>
      <c r="C11" s="113">
        <v>2.673</v>
      </c>
      <c r="D11" s="113">
        <v>3.7709999999999999</v>
      </c>
      <c r="E11" s="134" t="s">
        <v>488</v>
      </c>
      <c r="F11" s="135">
        <v>0</v>
      </c>
      <c r="G11" s="113">
        <v>1</v>
      </c>
      <c r="H11" s="113">
        <v>1</v>
      </c>
      <c r="I11" s="136" t="s">
        <v>488</v>
      </c>
      <c r="J11" s="123"/>
      <c r="K11" s="123"/>
      <c r="L11" s="5">
        <f t="shared" si="0"/>
        <v>3.7709999999999999</v>
      </c>
      <c r="M11" s="6">
        <f t="shared" si="1"/>
        <v>1</v>
      </c>
    </row>
    <row r="12" spans="1:13" ht="14.4" hidden="1" customHeight="1" outlineLevel="1" thickBot="1" x14ac:dyDescent="0.35">
      <c r="A12" s="250" t="s">
        <v>241</v>
      </c>
      <c r="B12" s="251">
        <v>0</v>
      </c>
      <c r="C12" s="252">
        <v>0</v>
      </c>
      <c r="D12" s="252">
        <v>0</v>
      </c>
      <c r="E12" s="253"/>
      <c r="F12" s="254">
        <v>0</v>
      </c>
      <c r="G12" s="252">
        <v>0</v>
      </c>
      <c r="H12" s="252">
        <v>0</v>
      </c>
      <c r="I12" s="255"/>
      <c r="J12" s="123"/>
      <c r="K12" s="123"/>
      <c r="L12" s="256">
        <f>D12-B12</f>
        <v>0</v>
      </c>
      <c r="M12" s="257">
        <f>H12-F12</f>
        <v>0</v>
      </c>
    </row>
    <row r="13" spans="1:13" ht="14.4" customHeight="1" collapsed="1" thickBot="1" x14ac:dyDescent="0.35">
      <c r="A13" s="120" t="s">
        <v>6</v>
      </c>
      <c r="B13" s="115">
        <f>SUM(B5:B12)</f>
        <v>106.184</v>
      </c>
      <c r="C13" s="116">
        <f>SUM(C5:C12)</f>
        <v>79.486999999999995</v>
      </c>
      <c r="D13" s="116">
        <f>SUM(D5:D12)</f>
        <v>67.319000000000003</v>
      </c>
      <c r="E13" s="137">
        <f>IF(OR(D13=0,B13=0),0,D13/B13)</f>
        <v>0.633984404430046</v>
      </c>
      <c r="F13" s="138">
        <f>SUM(F5:F12)</f>
        <v>11</v>
      </c>
      <c r="G13" s="116">
        <f>SUM(G5:G12)</f>
        <v>6</v>
      </c>
      <c r="H13" s="116">
        <f>SUM(H5:H12)</f>
        <v>17</v>
      </c>
      <c r="I13" s="139">
        <f>IF(OR(H13=0,F13=0),0,H13/F13)</f>
        <v>1.5454545454545454</v>
      </c>
      <c r="J13" s="123"/>
      <c r="K13" s="123"/>
      <c r="L13" s="129">
        <f>D13-B13</f>
        <v>-38.864999999999995</v>
      </c>
      <c r="M13" s="140">
        <f t="shared" si="1"/>
        <v>6</v>
      </c>
    </row>
    <row r="14" spans="1:13" ht="14.4" customHeight="1" x14ac:dyDescent="0.3">
      <c r="A14" s="141"/>
      <c r="B14" s="554"/>
      <c r="C14" s="554"/>
      <c r="D14" s="554"/>
      <c r="E14" s="554"/>
      <c r="F14" s="554"/>
      <c r="G14" s="554"/>
      <c r="H14" s="554"/>
      <c r="I14" s="554"/>
      <c r="J14" s="123"/>
      <c r="K14" s="123"/>
      <c r="L14" s="123"/>
      <c r="M14" s="125"/>
    </row>
    <row r="15" spans="1:13" ht="14.4" customHeight="1" thickBot="1" x14ac:dyDescent="0.35">
      <c r="A15" s="141"/>
      <c r="B15" s="369"/>
      <c r="C15" s="370"/>
      <c r="D15" s="370"/>
      <c r="E15" s="370"/>
      <c r="F15" s="369"/>
      <c r="G15" s="370"/>
      <c r="H15" s="370"/>
      <c r="I15" s="370"/>
      <c r="J15" s="123"/>
      <c r="K15" s="123"/>
      <c r="L15" s="123"/>
      <c r="M15" s="125"/>
    </row>
    <row r="16" spans="1:13" ht="14.4" customHeight="1" thickBot="1" x14ac:dyDescent="0.35">
      <c r="A16" s="560" t="s">
        <v>235</v>
      </c>
      <c r="B16" s="562" t="s">
        <v>74</v>
      </c>
      <c r="C16" s="563"/>
      <c r="D16" s="563"/>
      <c r="E16" s="564"/>
      <c r="F16" s="562" t="s">
        <v>242</v>
      </c>
      <c r="G16" s="563"/>
      <c r="H16" s="563"/>
      <c r="I16" s="564"/>
      <c r="J16" s="545" t="s">
        <v>183</v>
      </c>
      <c r="K16" s="546"/>
      <c r="L16" s="158"/>
      <c r="M16" s="158"/>
    </row>
    <row r="17" spans="1:13" ht="14.4" customHeight="1" thickBot="1" x14ac:dyDescent="0.35">
      <c r="A17" s="561"/>
      <c r="B17" s="142">
        <v>2012</v>
      </c>
      <c r="C17" s="143">
        <v>2013</v>
      </c>
      <c r="D17" s="143">
        <v>2014</v>
      </c>
      <c r="E17" s="144" t="s">
        <v>5</v>
      </c>
      <c r="F17" s="142">
        <v>2012</v>
      </c>
      <c r="G17" s="143">
        <v>2013</v>
      </c>
      <c r="H17" s="143">
        <v>2014</v>
      </c>
      <c r="I17" s="144" t="s">
        <v>5</v>
      </c>
      <c r="J17" s="547" t="s">
        <v>184</v>
      </c>
      <c r="K17" s="548"/>
      <c r="L17" s="145" t="s">
        <v>75</v>
      </c>
      <c r="M17" s="146" t="s">
        <v>76</v>
      </c>
    </row>
    <row r="18" spans="1:13" ht="14.4" hidden="1" customHeight="1" outlineLevel="1" x14ac:dyDescent="0.3">
      <c r="A18" s="118" t="s">
        <v>172</v>
      </c>
      <c r="B18" s="121">
        <v>72.433999999999997</v>
      </c>
      <c r="C18" s="114">
        <v>54.923999999999999</v>
      </c>
      <c r="D18" s="114">
        <v>57.158999999999999</v>
      </c>
      <c r="E18" s="131">
        <v>0.78911836982632466</v>
      </c>
      <c r="F18" s="121">
        <v>5</v>
      </c>
      <c r="G18" s="114">
        <v>3</v>
      </c>
      <c r="H18" s="114">
        <v>12</v>
      </c>
      <c r="I18" s="133">
        <v>2.4</v>
      </c>
      <c r="J18" s="549">
        <f>0.97*0.976</f>
        <v>0.94672000000000001</v>
      </c>
      <c r="K18" s="550"/>
      <c r="L18" s="147">
        <f>D18-B18</f>
        <v>-15.274999999999999</v>
      </c>
      <c r="M18" s="148">
        <f>H18-F18</f>
        <v>7</v>
      </c>
    </row>
    <row r="19" spans="1:13" ht="14.4" hidden="1" customHeight="1" outlineLevel="1" x14ac:dyDescent="0.3">
      <c r="A19" s="119" t="s">
        <v>173</v>
      </c>
      <c r="B19" s="122">
        <v>0.85099999999999998</v>
      </c>
      <c r="C19" s="113">
        <v>0</v>
      </c>
      <c r="D19" s="113">
        <v>0</v>
      </c>
      <c r="E19" s="134" t="s">
        <v>488</v>
      </c>
      <c r="F19" s="122">
        <v>1</v>
      </c>
      <c r="G19" s="113">
        <v>0</v>
      </c>
      <c r="H19" s="113">
        <v>0</v>
      </c>
      <c r="I19" s="136" t="s">
        <v>488</v>
      </c>
      <c r="J19" s="549">
        <f>0.97*1.096</f>
        <v>1.0631200000000001</v>
      </c>
      <c r="K19" s="550"/>
      <c r="L19" s="149">
        <f t="shared" ref="L19:L26" si="2">D19-B19</f>
        <v>-0.85099999999999998</v>
      </c>
      <c r="M19" s="150">
        <f t="shared" ref="M19:M26" si="3">H19-F19</f>
        <v>-1</v>
      </c>
    </row>
    <row r="20" spans="1:13" ht="14.4" hidden="1" customHeight="1" outlineLevel="1" x14ac:dyDescent="0.3">
      <c r="A20" s="119" t="s">
        <v>174</v>
      </c>
      <c r="B20" s="122">
        <v>25.535</v>
      </c>
      <c r="C20" s="113">
        <v>0</v>
      </c>
      <c r="D20" s="113">
        <v>2.9409999999999998</v>
      </c>
      <c r="E20" s="134">
        <v>0.11517524965733307</v>
      </c>
      <c r="F20" s="122">
        <v>4</v>
      </c>
      <c r="G20" s="113">
        <v>0</v>
      </c>
      <c r="H20" s="113">
        <v>2</v>
      </c>
      <c r="I20" s="136">
        <v>0.5</v>
      </c>
      <c r="J20" s="549">
        <f>0.97*1.047</f>
        <v>1.01559</v>
      </c>
      <c r="K20" s="550"/>
      <c r="L20" s="149">
        <f t="shared" si="2"/>
        <v>-22.594000000000001</v>
      </c>
      <c r="M20" s="150">
        <f t="shared" si="3"/>
        <v>-2</v>
      </c>
    </row>
    <row r="21" spans="1:13" ht="14.4" hidden="1" customHeight="1" outlineLevel="1" x14ac:dyDescent="0.3">
      <c r="A21" s="119" t="s">
        <v>175</v>
      </c>
      <c r="B21" s="122">
        <v>0</v>
      </c>
      <c r="C21" s="113">
        <v>0</v>
      </c>
      <c r="D21" s="113">
        <v>2.875</v>
      </c>
      <c r="E21" s="134" t="s">
        <v>488</v>
      </c>
      <c r="F21" s="122">
        <v>0</v>
      </c>
      <c r="G21" s="113">
        <v>0</v>
      </c>
      <c r="H21" s="113">
        <v>1</v>
      </c>
      <c r="I21" s="136" t="s">
        <v>488</v>
      </c>
      <c r="J21" s="549">
        <f>0.97*1.091</f>
        <v>1.05827</v>
      </c>
      <c r="K21" s="550"/>
      <c r="L21" s="149">
        <f t="shared" si="2"/>
        <v>2.875</v>
      </c>
      <c r="M21" s="150">
        <f t="shared" si="3"/>
        <v>1</v>
      </c>
    </row>
    <row r="22" spans="1:13" ht="14.4" hidden="1" customHeight="1" outlineLevel="1" x14ac:dyDescent="0.3">
      <c r="A22" s="119" t="s">
        <v>176</v>
      </c>
      <c r="B22" s="122">
        <v>0</v>
      </c>
      <c r="C22" s="113">
        <v>0</v>
      </c>
      <c r="D22" s="113">
        <v>0</v>
      </c>
      <c r="E22" s="134" t="s">
        <v>488</v>
      </c>
      <c r="F22" s="122">
        <v>0</v>
      </c>
      <c r="G22" s="113">
        <v>0</v>
      </c>
      <c r="H22" s="113">
        <v>0</v>
      </c>
      <c r="I22" s="136" t="s">
        <v>488</v>
      </c>
      <c r="J22" s="549">
        <f>0.97*1</f>
        <v>0.97</v>
      </c>
      <c r="K22" s="550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177</v>
      </c>
      <c r="B23" s="122">
        <v>7.3639999999999999</v>
      </c>
      <c r="C23" s="113">
        <v>21.89</v>
      </c>
      <c r="D23" s="113">
        <v>0.57299999999999995</v>
      </c>
      <c r="E23" s="134">
        <v>7.7810972297664302E-2</v>
      </c>
      <c r="F23" s="122">
        <v>1</v>
      </c>
      <c r="G23" s="113">
        <v>2</v>
      </c>
      <c r="H23" s="113">
        <v>1</v>
      </c>
      <c r="I23" s="136">
        <v>1</v>
      </c>
      <c r="J23" s="549">
        <f>0.97*1.096</f>
        <v>1.0631200000000001</v>
      </c>
      <c r="K23" s="550"/>
      <c r="L23" s="149">
        <f t="shared" si="2"/>
        <v>-6.7910000000000004</v>
      </c>
      <c r="M23" s="150">
        <f t="shared" si="3"/>
        <v>0</v>
      </c>
    </row>
    <row r="24" spans="1:13" ht="14.4" hidden="1" customHeight="1" outlineLevel="1" x14ac:dyDescent="0.3">
      <c r="A24" s="119" t="s">
        <v>178</v>
      </c>
      <c r="B24" s="122">
        <v>0</v>
      </c>
      <c r="C24" s="113">
        <v>2.673</v>
      </c>
      <c r="D24" s="113">
        <v>3.7709999999999999</v>
      </c>
      <c r="E24" s="134" t="s">
        <v>488</v>
      </c>
      <c r="F24" s="122">
        <v>0</v>
      </c>
      <c r="G24" s="113">
        <v>1</v>
      </c>
      <c r="H24" s="113">
        <v>1</v>
      </c>
      <c r="I24" s="136" t="s">
        <v>488</v>
      </c>
      <c r="J24" s="549">
        <f>0.97*0.989</f>
        <v>0.95933000000000002</v>
      </c>
      <c r="K24" s="550"/>
      <c r="L24" s="149">
        <f t="shared" si="2"/>
        <v>3.7709999999999999</v>
      </c>
      <c r="M24" s="150">
        <f t="shared" si="3"/>
        <v>1</v>
      </c>
    </row>
    <row r="25" spans="1:13" ht="14.4" hidden="1" customHeight="1" outlineLevel="1" thickBot="1" x14ac:dyDescent="0.35">
      <c r="A25" s="250" t="s">
        <v>241</v>
      </c>
      <c r="B25" s="251">
        <v>0</v>
      </c>
      <c r="C25" s="252">
        <v>0</v>
      </c>
      <c r="D25" s="252">
        <v>0</v>
      </c>
      <c r="E25" s="253"/>
      <c r="F25" s="251">
        <v>0</v>
      </c>
      <c r="G25" s="252">
        <v>0</v>
      </c>
      <c r="H25" s="252">
        <v>0</v>
      </c>
      <c r="I25" s="255"/>
      <c r="J25" s="371"/>
      <c r="K25" s="372"/>
      <c r="L25" s="258">
        <f>D25-B25</f>
        <v>0</v>
      </c>
      <c r="M25" s="259">
        <f>H25-F25</f>
        <v>0</v>
      </c>
    </row>
    <row r="26" spans="1:13" ht="14.4" customHeight="1" collapsed="1" thickBot="1" x14ac:dyDescent="0.35">
      <c r="A26" s="151" t="s">
        <v>6</v>
      </c>
      <c r="B26" s="152">
        <f>SUM(B18:B25)</f>
        <v>106.184</v>
      </c>
      <c r="C26" s="153">
        <f>SUM(C18:C25)</f>
        <v>79.486999999999995</v>
      </c>
      <c r="D26" s="153">
        <f>SUM(D18:D25)</f>
        <v>67.319000000000003</v>
      </c>
      <c r="E26" s="154">
        <f>IF(OR(D26=0,B26=0),0,D26/B26)</f>
        <v>0.633984404430046</v>
      </c>
      <c r="F26" s="152">
        <f>SUM(F18:F25)</f>
        <v>11</v>
      </c>
      <c r="G26" s="153">
        <f>SUM(G18:G25)</f>
        <v>6</v>
      </c>
      <c r="H26" s="153">
        <f>SUM(H18:H25)</f>
        <v>17</v>
      </c>
      <c r="I26" s="155">
        <f>IF(OR(H26=0,F26=0),0,H26/F26)</f>
        <v>1.5454545454545454</v>
      </c>
      <c r="J26" s="123"/>
      <c r="K26" s="123"/>
      <c r="L26" s="145">
        <f t="shared" si="2"/>
        <v>-38.864999999999995</v>
      </c>
      <c r="M26" s="156">
        <f t="shared" si="3"/>
        <v>6</v>
      </c>
    </row>
    <row r="27" spans="1:13" ht="14.4" customHeight="1" x14ac:dyDescent="0.3">
      <c r="A27" s="157"/>
      <c r="B27" s="554" t="s">
        <v>237</v>
      </c>
      <c r="C27" s="565"/>
      <c r="D27" s="565"/>
      <c r="E27" s="565"/>
      <c r="F27" s="554" t="s">
        <v>238</v>
      </c>
      <c r="G27" s="565"/>
      <c r="H27" s="565"/>
      <c r="I27" s="565"/>
      <c r="J27" s="158"/>
      <c r="K27" s="158"/>
      <c r="L27" s="158"/>
      <c r="M27" s="159"/>
    </row>
    <row r="28" spans="1:13" ht="14.4" customHeight="1" thickBot="1" x14ac:dyDescent="0.35">
      <c r="A28" s="157"/>
      <c r="B28" s="369"/>
      <c r="C28" s="370"/>
      <c r="D28" s="370"/>
      <c r="E28" s="370"/>
      <c r="F28" s="369"/>
      <c r="G28" s="370"/>
      <c r="H28" s="370"/>
      <c r="I28" s="370"/>
      <c r="J28" s="158"/>
      <c r="K28" s="158"/>
      <c r="L28" s="158"/>
      <c r="M28" s="159"/>
    </row>
    <row r="29" spans="1:13" ht="14.4" customHeight="1" thickBot="1" x14ac:dyDescent="0.35">
      <c r="A29" s="555" t="s">
        <v>236</v>
      </c>
      <c r="B29" s="557" t="s">
        <v>74</v>
      </c>
      <c r="C29" s="558"/>
      <c r="D29" s="558"/>
      <c r="E29" s="559"/>
      <c r="F29" s="558" t="s">
        <v>242</v>
      </c>
      <c r="G29" s="558"/>
      <c r="H29" s="558"/>
      <c r="I29" s="559"/>
      <c r="J29" s="158"/>
      <c r="K29" s="158"/>
      <c r="L29" s="158"/>
      <c r="M29" s="159"/>
    </row>
    <row r="30" spans="1:13" ht="14.4" customHeight="1" thickBot="1" x14ac:dyDescent="0.35">
      <c r="A30" s="556"/>
      <c r="B30" s="160">
        <v>2012</v>
      </c>
      <c r="C30" s="161">
        <v>2013</v>
      </c>
      <c r="D30" s="161">
        <v>2014</v>
      </c>
      <c r="E30" s="162" t="s">
        <v>5</v>
      </c>
      <c r="F30" s="161">
        <v>2012</v>
      </c>
      <c r="G30" s="161">
        <v>2013</v>
      </c>
      <c r="H30" s="161">
        <v>2014</v>
      </c>
      <c r="I30" s="162" t="s">
        <v>5</v>
      </c>
      <c r="J30" s="158"/>
      <c r="K30" s="158"/>
      <c r="L30" s="163" t="s">
        <v>75</v>
      </c>
      <c r="M30" s="164" t="s">
        <v>76</v>
      </c>
    </row>
    <row r="31" spans="1:13" ht="14.4" hidden="1" customHeight="1" outlineLevel="1" x14ac:dyDescent="0.3">
      <c r="A31" s="118" t="s">
        <v>172</v>
      </c>
      <c r="B31" s="121">
        <v>0</v>
      </c>
      <c r="C31" s="114">
        <v>0</v>
      </c>
      <c r="D31" s="114">
        <v>0</v>
      </c>
      <c r="E31" s="131" t="s">
        <v>488</v>
      </c>
      <c r="F31" s="132">
        <v>0</v>
      </c>
      <c r="G31" s="114">
        <v>0</v>
      </c>
      <c r="H31" s="114">
        <v>0</v>
      </c>
      <c r="I31" s="133" t="s">
        <v>488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173</v>
      </c>
      <c r="B32" s="122">
        <v>0</v>
      </c>
      <c r="C32" s="113">
        <v>0</v>
      </c>
      <c r="D32" s="113">
        <v>0</v>
      </c>
      <c r="E32" s="134" t="s">
        <v>488</v>
      </c>
      <c r="F32" s="135">
        <v>0</v>
      </c>
      <c r="G32" s="113">
        <v>0</v>
      </c>
      <c r="H32" s="113">
        <v>0</v>
      </c>
      <c r="I32" s="136" t="s">
        <v>488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174</v>
      </c>
      <c r="B33" s="122">
        <v>0</v>
      </c>
      <c r="C33" s="113">
        <v>0</v>
      </c>
      <c r="D33" s="113">
        <v>0</v>
      </c>
      <c r="E33" s="134" t="s">
        <v>488</v>
      </c>
      <c r="F33" s="135">
        <v>0</v>
      </c>
      <c r="G33" s="113">
        <v>0</v>
      </c>
      <c r="H33" s="113">
        <v>0</v>
      </c>
      <c r="I33" s="136" t="s">
        <v>488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175</v>
      </c>
      <c r="B34" s="122">
        <v>0</v>
      </c>
      <c r="C34" s="113">
        <v>0</v>
      </c>
      <c r="D34" s="113">
        <v>0</v>
      </c>
      <c r="E34" s="134" t="s">
        <v>488</v>
      </c>
      <c r="F34" s="135">
        <v>0</v>
      </c>
      <c r="G34" s="113">
        <v>0</v>
      </c>
      <c r="H34" s="113">
        <v>0</v>
      </c>
      <c r="I34" s="136" t="s">
        <v>488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176</v>
      </c>
      <c r="B35" s="122">
        <v>0</v>
      </c>
      <c r="C35" s="113">
        <v>0</v>
      </c>
      <c r="D35" s="113">
        <v>0</v>
      </c>
      <c r="E35" s="134" t="s">
        <v>488</v>
      </c>
      <c r="F35" s="135">
        <v>0</v>
      </c>
      <c r="G35" s="113">
        <v>0</v>
      </c>
      <c r="H35" s="113">
        <v>0</v>
      </c>
      <c r="I35" s="136" t="s">
        <v>488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177</v>
      </c>
      <c r="B36" s="122">
        <v>0</v>
      </c>
      <c r="C36" s="113">
        <v>0</v>
      </c>
      <c r="D36" s="113">
        <v>0</v>
      </c>
      <c r="E36" s="134" t="s">
        <v>488</v>
      </c>
      <c r="F36" s="135">
        <v>0</v>
      </c>
      <c r="G36" s="113">
        <v>0</v>
      </c>
      <c r="H36" s="113">
        <v>0</v>
      </c>
      <c r="I36" s="136" t="s">
        <v>488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178</v>
      </c>
      <c r="B37" s="122">
        <v>0</v>
      </c>
      <c r="C37" s="113">
        <v>0</v>
      </c>
      <c r="D37" s="113">
        <v>0</v>
      </c>
      <c r="E37" s="134" t="s">
        <v>488</v>
      </c>
      <c r="F37" s="135">
        <v>0</v>
      </c>
      <c r="G37" s="113">
        <v>0</v>
      </c>
      <c r="H37" s="113">
        <v>0</v>
      </c>
      <c r="I37" s="136" t="s">
        <v>488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50" t="s">
        <v>241</v>
      </c>
      <c r="B38" s="251">
        <v>0</v>
      </c>
      <c r="C38" s="252">
        <v>0</v>
      </c>
      <c r="D38" s="252">
        <v>0</v>
      </c>
      <c r="E38" s="253"/>
      <c r="F38" s="254">
        <v>0</v>
      </c>
      <c r="G38" s="252">
        <v>0</v>
      </c>
      <c r="H38" s="252">
        <v>0</v>
      </c>
      <c r="I38" s="255"/>
      <c r="J38" s="158"/>
      <c r="K38" s="158"/>
      <c r="L38" s="258">
        <f>D38-B38</f>
        <v>0</v>
      </c>
      <c r="M38" s="259">
        <f>H38-F38</f>
        <v>0</v>
      </c>
    </row>
    <row r="39" spans="1:13" ht="14.4" customHeight="1" collapsed="1" thickBot="1" x14ac:dyDescent="0.35">
      <c r="A39" s="165" t="s">
        <v>6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3"/>
      <c r="B40" s="373"/>
      <c r="C40" s="373"/>
      <c r="D40" s="373"/>
      <c r="E40" s="374"/>
      <c r="F40" s="373"/>
      <c r="G40" s="373"/>
      <c r="H40" s="373"/>
      <c r="I40" s="375"/>
      <c r="J40" s="373"/>
      <c r="K40" s="373"/>
      <c r="L40" s="373"/>
      <c r="M40" s="373"/>
    </row>
    <row r="41" spans="1:13" ht="14.4" customHeight="1" x14ac:dyDescent="0.3">
      <c r="A41" s="268" t="s">
        <v>239</v>
      </c>
      <c r="B41" s="373"/>
      <c r="C41" s="373"/>
      <c r="D41" s="373"/>
      <c r="E41" s="374"/>
      <c r="F41" s="373"/>
      <c r="G41" s="373"/>
      <c r="H41" s="373"/>
      <c r="I41" s="375"/>
      <c r="J41" s="373"/>
      <c r="K41" s="373"/>
      <c r="L41" s="373"/>
      <c r="M41" s="373"/>
    </row>
    <row r="42" spans="1:13" ht="14.4" customHeight="1" x14ac:dyDescent="0.3">
      <c r="A42" s="249" t="s">
        <v>240</v>
      </c>
      <c r="B42" s="373"/>
      <c r="C42" s="373"/>
      <c r="D42" s="373"/>
      <c r="E42" s="374"/>
      <c r="F42" s="373"/>
      <c r="G42" s="373"/>
      <c r="H42" s="373"/>
      <c r="I42" s="375"/>
      <c r="J42" s="373"/>
      <c r="K42" s="373"/>
      <c r="L42" s="373"/>
      <c r="M42" s="373"/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9" t="s">
        <v>118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4.4" customHeight="1" x14ac:dyDescent="0.3">
      <c r="A2" s="389" t="s">
        <v>298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8"/>
      <c r="C3" s="378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8"/>
      <c r="C4" s="378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8"/>
      <c r="C5" s="378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8"/>
      <c r="C6" s="378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8"/>
      <c r="C7" s="378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8"/>
      <c r="C8" s="378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8"/>
      <c r="C9" s="378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8"/>
      <c r="C10" s="378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8"/>
      <c r="C11" s="378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8"/>
      <c r="C12" s="378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8"/>
      <c r="C13" s="378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8"/>
      <c r="C14" s="378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8"/>
      <c r="C15" s="378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8"/>
      <c r="C16" s="378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8"/>
      <c r="C17" s="378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8"/>
      <c r="C18" s="378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8"/>
      <c r="C19" s="378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8"/>
      <c r="C20" s="378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8"/>
      <c r="C21" s="378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8"/>
      <c r="C22" s="378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8"/>
      <c r="C23" s="378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8"/>
      <c r="C24" s="378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8"/>
      <c r="C25" s="378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8"/>
      <c r="C26" s="378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8"/>
      <c r="C27" s="378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8"/>
      <c r="C28" s="378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8"/>
      <c r="C29" s="378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8"/>
      <c r="C30" s="378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6" t="s">
        <v>86</v>
      </c>
      <c r="C31" s="567"/>
      <c r="D31" s="567"/>
      <c r="E31" s="568"/>
      <c r="F31" s="171" t="s">
        <v>86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70</v>
      </c>
      <c r="B32" s="172" t="s">
        <v>89</v>
      </c>
      <c r="C32" s="173" t="s">
        <v>90</v>
      </c>
      <c r="D32" s="173" t="s">
        <v>91</v>
      </c>
      <c r="E32" s="174" t="s">
        <v>5</v>
      </c>
      <c r="F32" s="175" t="s">
        <v>92</v>
      </c>
      <c r="G32" s="379"/>
      <c r="H32" s="379" t="s">
        <v>119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106</v>
      </c>
      <c r="B33" s="206">
        <v>97.78</v>
      </c>
      <c r="C33" s="206">
        <v>44</v>
      </c>
      <c r="D33" s="84">
        <f>IF(C33="","",C33-B33)</f>
        <v>-53.78</v>
      </c>
      <c r="E33" s="85">
        <f>IF(C33="","",C33/B33)</f>
        <v>0.44998977295970544</v>
      </c>
      <c r="F33" s="86">
        <v>8.3000000000000007</v>
      </c>
      <c r="G33" s="379">
        <v>0</v>
      </c>
      <c r="H33" s="380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107</v>
      </c>
      <c r="B34" s="207">
        <v>187.16</v>
      </c>
      <c r="C34" s="207">
        <v>75</v>
      </c>
      <c r="D34" s="87">
        <f t="shared" ref="D34:D45" si="0">IF(C34="","",C34-B34)</f>
        <v>-112.16</v>
      </c>
      <c r="E34" s="88">
        <f t="shared" ref="E34:E45" si="1">IF(C34="","",C34/B34)</f>
        <v>0.40072665099380211</v>
      </c>
      <c r="F34" s="89">
        <v>8.81</v>
      </c>
      <c r="G34" s="379">
        <v>1</v>
      </c>
      <c r="H34" s="380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108</v>
      </c>
      <c r="B35" s="207"/>
      <c r="C35" s="207"/>
      <c r="D35" s="87" t="str">
        <f t="shared" si="0"/>
        <v/>
      </c>
      <c r="E35" s="88" t="str">
        <f t="shared" si="1"/>
        <v/>
      </c>
      <c r="F35" s="89"/>
      <c r="G35" s="381"/>
      <c r="H35" s="381"/>
      <c r="I35" s="80"/>
      <c r="J35" s="80"/>
      <c r="K35" s="80"/>
      <c r="L35" s="80"/>
      <c r="M35" s="80"/>
    </row>
    <row r="36" spans="1:13" ht="14.4" customHeight="1" x14ac:dyDescent="0.3">
      <c r="A36" s="177" t="s">
        <v>109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81"/>
      <c r="H36" s="381"/>
      <c r="I36" s="80"/>
      <c r="J36" s="80"/>
      <c r="K36" s="80"/>
      <c r="L36" s="80"/>
      <c r="M36" s="80"/>
    </row>
    <row r="37" spans="1:13" ht="14.4" customHeight="1" x14ac:dyDescent="0.3">
      <c r="A37" s="177" t="s">
        <v>110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81"/>
      <c r="H37" s="381"/>
      <c r="I37" s="80"/>
      <c r="J37" s="80"/>
      <c r="K37" s="80"/>
      <c r="L37" s="80"/>
      <c r="M37" s="80"/>
    </row>
    <row r="38" spans="1:13" ht="14.4" customHeight="1" x14ac:dyDescent="0.3">
      <c r="A38" s="177" t="s">
        <v>111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81"/>
      <c r="H38" s="381"/>
      <c r="I38" s="80"/>
      <c r="J38" s="80"/>
      <c r="K38" s="80"/>
      <c r="L38" s="80"/>
      <c r="M38" s="80"/>
    </row>
    <row r="39" spans="1:13" ht="14.4" customHeight="1" x14ac:dyDescent="0.3">
      <c r="A39" s="177" t="s">
        <v>112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81"/>
      <c r="H39" s="381"/>
      <c r="I39" s="80"/>
      <c r="J39" s="80"/>
      <c r="K39" s="80"/>
      <c r="L39" s="80"/>
      <c r="M39" s="80"/>
    </row>
    <row r="40" spans="1:13" ht="14.4" customHeight="1" x14ac:dyDescent="0.3">
      <c r="A40" s="177" t="s">
        <v>113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81"/>
      <c r="H40" s="381"/>
      <c r="I40" s="80"/>
      <c r="J40" s="80"/>
      <c r="K40" s="80"/>
      <c r="L40" s="80"/>
      <c r="M40" s="80"/>
    </row>
    <row r="41" spans="1:13" ht="14.4" customHeight="1" x14ac:dyDescent="0.3">
      <c r="A41" s="177" t="s">
        <v>114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81"/>
      <c r="H41" s="381"/>
      <c r="I41" s="80"/>
      <c r="J41" s="80"/>
      <c r="K41" s="80"/>
      <c r="L41" s="80"/>
      <c r="M41" s="80"/>
    </row>
    <row r="42" spans="1:13" ht="14.4" customHeight="1" x14ac:dyDescent="0.3">
      <c r="A42" s="177" t="s">
        <v>115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81"/>
      <c r="H42" s="381"/>
      <c r="I42" s="80"/>
      <c r="J42" s="80"/>
      <c r="K42" s="80"/>
      <c r="L42" s="80"/>
      <c r="M42" s="80"/>
    </row>
    <row r="43" spans="1:13" ht="14.4" customHeight="1" x14ac:dyDescent="0.3">
      <c r="A43" s="177" t="s">
        <v>116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81"/>
      <c r="H43" s="381"/>
      <c r="I43" s="80"/>
      <c r="J43" s="80"/>
      <c r="K43" s="80"/>
      <c r="L43" s="80"/>
      <c r="M43" s="80"/>
    </row>
    <row r="44" spans="1:13" ht="14.4" customHeight="1" x14ac:dyDescent="0.3">
      <c r="A44" s="177" t="s">
        <v>117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81"/>
      <c r="H44" s="381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120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81"/>
      <c r="H45" s="381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3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3" customWidth="1"/>
    <col min="3" max="3" width="5.88671875" style="223" customWidth="1"/>
    <col min="4" max="4" width="7.6640625" style="223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3" customWidth="1"/>
    <col min="20" max="20" width="9.6640625" style="223" customWidth="1"/>
    <col min="21" max="21" width="7.6640625" style="22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7" customFormat="1" ht="18.600000000000001" customHeight="1" thickBot="1" x14ac:dyDescent="0.4">
      <c r="A1" s="522" t="s">
        <v>2227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1:23" ht="14.4" customHeight="1" thickBot="1" x14ac:dyDescent="0.35">
      <c r="A2" s="389" t="s">
        <v>298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2"/>
      <c r="Q2" s="382"/>
      <c r="R2" s="382"/>
      <c r="S2" s="383"/>
      <c r="T2" s="383"/>
      <c r="U2" s="383"/>
      <c r="V2" s="382"/>
      <c r="W2" s="384"/>
    </row>
    <row r="3" spans="1:23" s="94" customFormat="1" ht="14.4" customHeight="1" x14ac:dyDescent="0.3">
      <c r="A3" s="575" t="s">
        <v>78</v>
      </c>
      <c r="B3" s="576">
        <v>2012</v>
      </c>
      <c r="C3" s="577"/>
      <c r="D3" s="578"/>
      <c r="E3" s="576">
        <v>2013</v>
      </c>
      <c r="F3" s="577"/>
      <c r="G3" s="578"/>
      <c r="H3" s="576">
        <v>2014</v>
      </c>
      <c r="I3" s="577"/>
      <c r="J3" s="578"/>
      <c r="K3" s="579" t="s">
        <v>79</v>
      </c>
      <c r="L3" s="571" t="s">
        <v>80</v>
      </c>
      <c r="M3" s="571" t="s">
        <v>81</v>
      </c>
      <c r="N3" s="571" t="s">
        <v>82</v>
      </c>
      <c r="O3" s="276" t="s">
        <v>83</v>
      </c>
      <c r="P3" s="572" t="s">
        <v>84</v>
      </c>
      <c r="Q3" s="573" t="s">
        <v>85</v>
      </c>
      <c r="R3" s="574"/>
      <c r="S3" s="569" t="s">
        <v>86</v>
      </c>
      <c r="T3" s="570"/>
      <c r="U3" s="570"/>
      <c r="V3" s="570"/>
      <c r="W3" s="224" t="s">
        <v>86</v>
      </c>
    </row>
    <row r="4" spans="1:23" s="95" customFormat="1" ht="14.4" customHeight="1" thickBot="1" x14ac:dyDescent="0.35">
      <c r="A4" s="771"/>
      <c r="B4" s="772" t="s">
        <v>87</v>
      </c>
      <c r="C4" s="773" t="s">
        <v>75</v>
      </c>
      <c r="D4" s="774" t="s">
        <v>88</v>
      </c>
      <c r="E4" s="772" t="s">
        <v>87</v>
      </c>
      <c r="F4" s="773" t="s">
        <v>75</v>
      </c>
      <c r="G4" s="774" t="s">
        <v>88</v>
      </c>
      <c r="H4" s="772" t="s">
        <v>87</v>
      </c>
      <c r="I4" s="773" t="s">
        <v>75</v>
      </c>
      <c r="J4" s="774" t="s">
        <v>88</v>
      </c>
      <c r="K4" s="775"/>
      <c r="L4" s="776"/>
      <c r="M4" s="776"/>
      <c r="N4" s="776"/>
      <c r="O4" s="777"/>
      <c r="P4" s="778"/>
      <c r="Q4" s="779" t="s">
        <v>76</v>
      </c>
      <c r="R4" s="780" t="s">
        <v>75</v>
      </c>
      <c r="S4" s="781" t="s">
        <v>89</v>
      </c>
      <c r="T4" s="782" t="s">
        <v>90</v>
      </c>
      <c r="U4" s="782" t="s">
        <v>91</v>
      </c>
      <c r="V4" s="783" t="s">
        <v>5</v>
      </c>
      <c r="W4" s="784" t="s">
        <v>92</v>
      </c>
    </row>
    <row r="5" spans="1:23" ht="14.4" customHeight="1" x14ac:dyDescent="0.3">
      <c r="A5" s="813" t="s">
        <v>2174</v>
      </c>
      <c r="B5" s="785">
        <v>1</v>
      </c>
      <c r="C5" s="786">
        <v>10.07</v>
      </c>
      <c r="D5" s="787">
        <v>9</v>
      </c>
      <c r="E5" s="788"/>
      <c r="F5" s="789"/>
      <c r="G5" s="790"/>
      <c r="H5" s="791"/>
      <c r="I5" s="789"/>
      <c r="J5" s="790"/>
      <c r="K5" s="792">
        <v>10.07</v>
      </c>
      <c r="L5" s="791">
        <v>5</v>
      </c>
      <c r="M5" s="791">
        <v>47</v>
      </c>
      <c r="N5" s="793">
        <v>15.74</v>
      </c>
      <c r="O5" s="791" t="s">
        <v>2175</v>
      </c>
      <c r="P5" s="794" t="s">
        <v>2176</v>
      </c>
      <c r="Q5" s="795">
        <f>H5-B5</f>
        <v>-1</v>
      </c>
      <c r="R5" s="795">
        <f>I5-C5</f>
        <v>-10.07</v>
      </c>
      <c r="S5" s="796" t="str">
        <f>IF(H5=0,"",H5*N5)</f>
        <v/>
      </c>
      <c r="T5" s="796" t="str">
        <f>IF(H5=0,"",H5*J5)</f>
        <v/>
      </c>
      <c r="U5" s="796" t="str">
        <f>IF(H5=0,"",T5-S5)</f>
        <v/>
      </c>
      <c r="V5" s="797" t="str">
        <f>IF(H5=0,"",T5/S5)</f>
        <v/>
      </c>
      <c r="W5" s="798"/>
    </row>
    <row r="6" spans="1:23" ht="14.4" customHeight="1" x14ac:dyDescent="0.3">
      <c r="A6" s="814" t="s">
        <v>2177</v>
      </c>
      <c r="B6" s="799">
        <v>1</v>
      </c>
      <c r="C6" s="800">
        <v>16.829999999999998</v>
      </c>
      <c r="D6" s="756">
        <v>58</v>
      </c>
      <c r="E6" s="801"/>
      <c r="F6" s="802"/>
      <c r="G6" s="757"/>
      <c r="H6" s="803"/>
      <c r="I6" s="802"/>
      <c r="J6" s="757"/>
      <c r="K6" s="804">
        <v>11.49</v>
      </c>
      <c r="L6" s="803">
        <v>6</v>
      </c>
      <c r="M6" s="803">
        <v>53</v>
      </c>
      <c r="N6" s="805">
        <v>17.510000000000002</v>
      </c>
      <c r="O6" s="803" t="s">
        <v>2175</v>
      </c>
      <c r="P6" s="806" t="s">
        <v>2178</v>
      </c>
      <c r="Q6" s="807">
        <f t="shared" ref="Q6:R30" si="0">H6-B6</f>
        <v>-1</v>
      </c>
      <c r="R6" s="807">
        <f t="shared" si="0"/>
        <v>-16.829999999999998</v>
      </c>
      <c r="S6" s="808" t="str">
        <f t="shared" ref="S6:S30" si="1">IF(H6=0,"",H6*N6)</f>
        <v/>
      </c>
      <c r="T6" s="808" t="str">
        <f t="shared" ref="T6:T30" si="2">IF(H6=0,"",H6*J6)</f>
        <v/>
      </c>
      <c r="U6" s="808" t="str">
        <f t="shared" ref="U6:U30" si="3">IF(H6=0,"",T6-S6)</f>
        <v/>
      </c>
      <c r="V6" s="809" t="str">
        <f t="shared" ref="V6:V30" si="4">IF(H6=0,"",T6/S6)</f>
        <v/>
      </c>
      <c r="W6" s="758"/>
    </row>
    <row r="7" spans="1:23" ht="14.4" customHeight="1" x14ac:dyDescent="0.3">
      <c r="A7" s="815" t="s">
        <v>2179</v>
      </c>
      <c r="B7" s="766">
        <v>1</v>
      </c>
      <c r="C7" s="768">
        <v>27.01</v>
      </c>
      <c r="D7" s="769">
        <v>12</v>
      </c>
      <c r="E7" s="759"/>
      <c r="F7" s="760"/>
      <c r="G7" s="761"/>
      <c r="H7" s="751"/>
      <c r="I7" s="749"/>
      <c r="J7" s="750"/>
      <c r="K7" s="752">
        <v>27.01</v>
      </c>
      <c r="L7" s="751">
        <v>11</v>
      </c>
      <c r="M7" s="751">
        <v>83</v>
      </c>
      <c r="N7" s="753">
        <v>27.75</v>
      </c>
      <c r="O7" s="751" t="s">
        <v>2175</v>
      </c>
      <c r="P7" s="765" t="s">
        <v>2180</v>
      </c>
      <c r="Q7" s="754">
        <f t="shared" si="0"/>
        <v>-1</v>
      </c>
      <c r="R7" s="754">
        <f t="shared" si="0"/>
        <v>-27.01</v>
      </c>
      <c r="S7" s="766" t="str">
        <f t="shared" si="1"/>
        <v/>
      </c>
      <c r="T7" s="766" t="str">
        <f t="shared" si="2"/>
        <v/>
      </c>
      <c r="U7" s="766" t="str">
        <f t="shared" si="3"/>
        <v/>
      </c>
      <c r="V7" s="767" t="str">
        <f t="shared" si="4"/>
        <v/>
      </c>
      <c r="W7" s="755"/>
    </row>
    <row r="8" spans="1:23" ht="14.4" customHeight="1" x14ac:dyDescent="0.3">
      <c r="A8" s="814" t="s">
        <v>2181</v>
      </c>
      <c r="B8" s="808"/>
      <c r="C8" s="810"/>
      <c r="D8" s="770"/>
      <c r="E8" s="811">
        <v>1</v>
      </c>
      <c r="F8" s="812">
        <v>30.58</v>
      </c>
      <c r="G8" s="762">
        <v>24</v>
      </c>
      <c r="H8" s="803"/>
      <c r="I8" s="802"/>
      <c r="J8" s="757"/>
      <c r="K8" s="804">
        <v>30.58</v>
      </c>
      <c r="L8" s="803">
        <v>11</v>
      </c>
      <c r="M8" s="803">
        <v>98</v>
      </c>
      <c r="N8" s="805">
        <v>32.64</v>
      </c>
      <c r="O8" s="803" t="s">
        <v>2175</v>
      </c>
      <c r="P8" s="806" t="s">
        <v>2182</v>
      </c>
      <c r="Q8" s="807">
        <f t="shared" si="0"/>
        <v>0</v>
      </c>
      <c r="R8" s="807">
        <f t="shared" si="0"/>
        <v>0</v>
      </c>
      <c r="S8" s="808" t="str">
        <f t="shared" si="1"/>
        <v/>
      </c>
      <c r="T8" s="808" t="str">
        <f t="shared" si="2"/>
        <v/>
      </c>
      <c r="U8" s="808" t="str">
        <f t="shared" si="3"/>
        <v/>
      </c>
      <c r="V8" s="809" t="str">
        <f t="shared" si="4"/>
        <v/>
      </c>
      <c r="W8" s="758"/>
    </row>
    <row r="9" spans="1:23" ht="14.4" customHeight="1" x14ac:dyDescent="0.3">
      <c r="A9" s="815" t="s">
        <v>2183</v>
      </c>
      <c r="B9" s="766">
        <v>1</v>
      </c>
      <c r="C9" s="768">
        <v>19.600000000000001</v>
      </c>
      <c r="D9" s="769">
        <v>12</v>
      </c>
      <c r="E9" s="759">
        <v>2</v>
      </c>
      <c r="F9" s="760">
        <v>39.21</v>
      </c>
      <c r="G9" s="761">
        <v>26.5</v>
      </c>
      <c r="H9" s="751"/>
      <c r="I9" s="749"/>
      <c r="J9" s="750"/>
      <c r="K9" s="752">
        <v>19.600000000000001</v>
      </c>
      <c r="L9" s="751">
        <v>8</v>
      </c>
      <c r="M9" s="751">
        <v>69</v>
      </c>
      <c r="N9" s="753">
        <v>23.12</v>
      </c>
      <c r="O9" s="751" t="s">
        <v>2175</v>
      </c>
      <c r="P9" s="765" t="s">
        <v>2184</v>
      </c>
      <c r="Q9" s="754">
        <f t="shared" si="0"/>
        <v>-1</v>
      </c>
      <c r="R9" s="754">
        <f t="shared" si="0"/>
        <v>-19.600000000000001</v>
      </c>
      <c r="S9" s="766" t="str">
        <f t="shared" si="1"/>
        <v/>
      </c>
      <c r="T9" s="766" t="str">
        <f t="shared" si="2"/>
        <v/>
      </c>
      <c r="U9" s="766" t="str">
        <f t="shared" si="3"/>
        <v/>
      </c>
      <c r="V9" s="767" t="str">
        <f t="shared" si="4"/>
        <v/>
      </c>
      <c r="W9" s="755"/>
    </row>
    <row r="10" spans="1:23" ht="14.4" customHeight="1" x14ac:dyDescent="0.3">
      <c r="A10" s="815" t="s">
        <v>2185</v>
      </c>
      <c r="B10" s="746">
        <v>1</v>
      </c>
      <c r="C10" s="747">
        <v>5.27</v>
      </c>
      <c r="D10" s="748">
        <v>3</v>
      </c>
      <c r="E10" s="764"/>
      <c r="F10" s="749"/>
      <c r="G10" s="750"/>
      <c r="H10" s="751"/>
      <c r="I10" s="749"/>
      <c r="J10" s="750"/>
      <c r="K10" s="752">
        <v>8.2100000000000009</v>
      </c>
      <c r="L10" s="751">
        <v>5</v>
      </c>
      <c r="M10" s="751">
        <v>44</v>
      </c>
      <c r="N10" s="753">
        <v>14.75</v>
      </c>
      <c r="O10" s="751" t="s">
        <v>2175</v>
      </c>
      <c r="P10" s="765" t="s">
        <v>2186</v>
      </c>
      <c r="Q10" s="754">
        <f t="shared" si="0"/>
        <v>-1</v>
      </c>
      <c r="R10" s="754">
        <f t="shared" si="0"/>
        <v>-5.27</v>
      </c>
      <c r="S10" s="766" t="str">
        <f t="shared" si="1"/>
        <v/>
      </c>
      <c r="T10" s="766" t="str">
        <f t="shared" si="2"/>
        <v/>
      </c>
      <c r="U10" s="766" t="str">
        <f t="shared" si="3"/>
        <v/>
      </c>
      <c r="V10" s="767" t="str">
        <f t="shared" si="4"/>
        <v/>
      </c>
      <c r="W10" s="755"/>
    </row>
    <row r="11" spans="1:23" ht="14.4" customHeight="1" x14ac:dyDescent="0.3">
      <c r="A11" s="815" t="s">
        <v>2187</v>
      </c>
      <c r="B11" s="746">
        <v>1</v>
      </c>
      <c r="C11" s="747">
        <v>0.85</v>
      </c>
      <c r="D11" s="748">
        <v>5</v>
      </c>
      <c r="E11" s="764"/>
      <c r="F11" s="749"/>
      <c r="G11" s="750"/>
      <c r="H11" s="751"/>
      <c r="I11" s="749"/>
      <c r="J11" s="750"/>
      <c r="K11" s="752">
        <v>0.7</v>
      </c>
      <c r="L11" s="751">
        <v>2</v>
      </c>
      <c r="M11" s="751">
        <v>19</v>
      </c>
      <c r="N11" s="753">
        <v>6.43</v>
      </c>
      <c r="O11" s="751" t="s">
        <v>2175</v>
      </c>
      <c r="P11" s="765" t="s">
        <v>2188</v>
      </c>
      <c r="Q11" s="754">
        <f t="shared" si="0"/>
        <v>-1</v>
      </c>
      <c r="R11" s="754">
        <f t="shared" si="0"/>
        <v>-0.85</v>
      </c>
      <c r="S11" s="766" t="str">
        <f t="shared" si="1"/>
        <v/>
      </c>
      <c r="T11" s="766" t="str">
        <f t="shared" si="2"/>
        <v/>
      </c>
      <c r="U11" s="766" t="str">
        <f t="shared" si="3"/>
        <v/>
      </c>
      <c r="V11" s="767" t="str">
        <f t="shared" si="4"/>
        <v/>
      </c>
      <c r="W11" s="755"/>
    </row>
    <row r="12" spans="1:23" ht="14.4" customHeight="1" x14ac:dyDescent="0.3">
      <c r="A12" s="815" t="s">
        <v>2189</v>
      </c>
      <c r="B12" s="766"/>
      <c r="C12" s="768"/>
      <c r="D12" s="769"/>
      <c r="E12" s="764"/>
      <c r="F12" s="749"/>
      <c r="G12" s="750"/>
      <c r="H12" s="759">
        <v>1</v>
      </c>
      <c r="I12" s="760">
        <v>1.9</v>
      </c>
      <c r="J12" s="761">
        <v>3</v>
      </c>
      <c r="K12" s="752">
        <v>2.5</v>
      </c>
      <c r="L12" s="751">
        <v>4</v>
      </c>
      <c r="M12" s="751">
        <v>33</v>
      </c>
      <c r="N12" s="753">
        <v>10.84</v>
      </c>
      <c r="O12" s="751" t="s">
        <v>2175</v>
      </c>
      <c r="P12" s="765" t="s">
        <v>2190</v>
      </c>
      <c r="Q12" s="754">
        <f t="shared" si="0"/>
        <v>1</v>
      </c>
      <c r="R12" s="754">
        <f t="shared" si="0"/>
        <v>1.9</v>
      </c>
      <c r="S12" s="766">
        <f t="shared" si="1"/>
        <v>10.84</v>
      </c>
      <c r="T12" s="766">
        <f t="shared" si="2"/>
        <v>3</v>
      </c>
      <c r="U12" s="766">
        <f t="shared" si="3"/>
        <v>-7.84</v>
      </c>
      <c r="V12" s="767">
        <f t="shared" si="4"/>
        <v>0.2767527675276753</v>
      </c>
      <c r="W12" s="755"/>
    </row>
    <row r="13" spans="1:23" ht="14.4" customHeight="1" x14ac:dyDescent="0.3">
      <c r="A13" s="815" t="s">
        <v>2191</v>
      </c>
      <c r="B13" s="766"/>
      <c r="C13" s="768"/>
      <c r="D13" s="769"/>
      <c r="E13" s="764"/>
      <c r="F13" s="749"/>
      <c r="G13" s="750"/>
      <c r="H13" s="759">
        <v>1</v>
      </c>
      <c r="I13" s="760">
        <v>0.56999999999999995</v>
      </c>
      <c r="J13" s="763">
        <v>3</v>
      </c>
      <c r="K13" s="752">
        <v>0.45</v>
      </c>
      <c r="L13" s="751">
        <v>1</v>
      </c>
      <c r="M13" s="751">
        <v>5</v>
      </c>
      <c r="N13" s="753">
        <v>2.4900000000000002</v>
      </c>
      <c r="O13" s="751" t="s">
        <v>2175</v>
      </c>
      <c r="P13" s="765" t="s">
        <v>2192</v>
      </c>
      <c r="Q13" s="754">
        <f t="shared" si="0"/>
        <v>1</v>
      </c>
      <c r="R13" s="754">
        <f t="shared" si="0"/>
        <v>0.56999999999999995</v>
      </c>
      <c r="S13" s="766">
        <f t="shared" si="1"/>
        <v>2.4900000000000002</v>
      </c>
      <c r="T13" s="766">
        <f t="shared" si="2"/>
        <v>3</v>
      </c>
      <c r="U13" s="766">
        <f t="shared" si="3"/>
        <v>0.50999999999999979</v>
      </c>
      <c r="V13" s="767">
        <f t="shared" si="4"/>
        <v>1.2048192771084336</v>
      </c>
      <c r="W13" s="755">
        <v>1</v>
      </c>
    </row>
    <row r="14" spans="1:23" ht="14.4" customHeight="1" x14ac:dyDescent="0.3">
      <c r="A14" s="815" t="s">
        <v>2193</v>
      </c>
      <c r="B14" s="766"/>
      <c r="C14" s="768"/>
      <c r="D14" s="769"/>
      <c r="E14" s="764"/>
      <c r="F14" s="749"/>
      <c r="G14" s="750"/>
      <c r="H14" s="759">
        <v>3</v>
      </c>
      <c r="I14" s="760">
        <v>17.04</v>
      </c>
      <c r="J14" s="761">
        <v>2.2999999999999998</v>
      </c>
      <c r="K14" s="752">
        <v>6.96</v>
      </c>
      <c r="L14" s="751">
        <v>4</v>
      </c>
      <c r="M14" s="751">
        <v>35</v>
      </c>
      <c r="N14" s="753">
        <v>11.72</v>
      </c>
      <c r="O14" s="751" t="s">
        <v>2175</v>
      </c>
      <c r="P14" s="765" t="s">
        <v>2194</v>
      </c>
      <c r="Q14" s="754">
        <f t="shared" si="0"/>
        <v>3</v>
      </c>
      <c r="R14" s="754">
        <f t="shared" si="0"/>
        <v>17.04</v>
      </c>
      <c r="S14" s="766">
        <f t="shared" si="1"/>
        <v>35.160000000000004</v>
      </c>
      <c r="T14" s="766">
        <f t="shared" si="2"/>
        <v>6.8999999999999995</v>
      </c>
      <c r="U14" s="766">
        <f t="shared" si="3"/>
        <v>-28.260000000000005</v>
      </c>
      <c r="V14" s="767">
        <f t="shared" si="4"/>
        <v>0.19624573378839588</v>
      </c>
      <c r="W14" s="755"/>
    </row>
    <row r="15" spans="1:23" ht="14.4" customHeight="1" x14ac:dyDescent="0.3">
      <c r="A15" s="814" t="s">
        <v>2195</v>
      </c>
      <c r="B15" s="808"/>
      <c r="C15" s="810"/>
      <c r="D15" s="770"/>
      <c r="E15" s="801">
        <v>1</v>
      </c>
      <c r="F15" s="802">
        <v>4.74</v>
      </c>
      <c r="G15" s="757">
        <v>3</v>
      </c>
      <c r="H15" s="811"/>
      <c r="I15" s="812"/>
      <c r="J15" s="762"/>
      <c r="K15" s="804">
        <v>9.86</v>
      </c>
      <c r="L15" s="803">
        <v>5</v>
      </c>
      <c r="M15" s="803">
        <v>41</v>
      </c>
      <c r="N15" s="805">
        <v>13.61</v>
      </c>
      <c r="O15" s="803" t="s">
        <v>2175</v>
      </c>
      <c r="P15" s="806" t="s">
        <v>2196</v>
      </c>
      <c r="Q15" s="807">
        <f t="shared" si="0"/>
        <v>0</v>
      </c>
      <c r="R15" s="807">
        <f t="shared" si="0"/>
        <v>0</v>
      </c>
      <c r="S15" s="808" t="str">
        <f t="shared" si="1"/>
        <v/>
      </c>
      <c r="T15" s="808" t="str">
        <f t="shared" si="2"/>
        <v/>
      </c>
      <c r="U15" s="808" t="str">
        <f t="shared" si="3"/>
        <v/>
      </c>
      <c r="V15" s="809" t="str">
        <f t="shared" si="4"/>
        <v/>
      </c>
      <c r="W15" s="758"/>
    </row>
    <row r="16" spans="1:23" ht="14.4" customHeight="1" x14ac:dyDescent="0.3">
      <c r="A16" s="814" t="s">
        <v>2197</v>
      </c>
      <c r="B16" s="808"/>
      <c r="C16" s="810"/>
      <c r="D16" s="770"/>
      <c r="E16" s="801"/>
      <c r="F16" s="802"/>
      <c r="G16" s="757"/>
      <c r="H16" s="811">
        <v>1</v>
      </c>
      <c r="I16" s="812">
        <v>12.24</v>
      </c>
      <c r="J16" s="762">
        <v>8</v>
      </c>
      <c r="K16" s="804">
        <v>12.24</v>
      </c>
      <c r="L16" s="803">
        <v>5</v>
      </c>
      <c r="M16" s="803">
        <v>47</v>
      </c>
      <c r="N16" s="805">
        <v>15.54</v>
      </c>
      <c r="O16" s="803" t="s">
        <v>2175</v>
      </c>
      <c r="P16" s="806" t="s">
        <v>2198</v>
      </c>
      <c r="Q16" s="807">
        <f t="shared" si="0"/>
        <v>1</v>
      </c>
      <c r="R16" s="807">
        <f t="shared" si="0"/>
        <v>12.24</v>
      </c>
      <c r="S16" s="808">
        <f t="shared" si="1"/>
        <v>15.54</v>
      </c>
      <c r="T16" s="808">
        <f t="shared" si="2"/>
        <v>8</v>
      </c>
      <c r="U16" s="808">
        <f t="shared" si="3"/>
        <v>-7.5399999999999991</v>
      </c>
      <c r="V16" s="809">
        <f t="shared" si="4"/>
        <v>0.51480051480051481</v>
      </c>
      <c r="W16" s="758"/>
    </row>
    <row r="17" spans="1:23" ht="14.4" customHeight="1" x14ac:dyDescent="0.3">
      <c r="A17" s="815" t="s">
        <v>2199</v>
      </c>
      <c r="B17" s="766"/>
      <c r="C17" s="768"/>
      <c r="D17" s="769"/>
      <c r="E17" s="764">
        <v>1</v>
      </c>
      <c r="F17" s="749">
        <v>2.29</v>
      </c>
      <c r="G17" s="750">
        <v>2</v>
      </c>
      <c r="H17" s="759">
        <v>1</v>
      </c>
      <c r="I17" s="760">
        <v>2.29</v>
      </c>
      <c r="J17" s="761">
        <v>2</v>
      </c>
      <c r="K17" s="752">
        <v>3.05</v>
      </c>
      <c r="L17" s="751">
        <v>3</v>
      </c>
      <c r="M17" s="751">
        <v>24</v>
      </c>
      <c r="N17" s="753">
        <v>8.15</v>
      </c>
      <c r="O17" s="751" t="s">
        <v>2175</v>
      </c>
      <c r="P17" s="765" t="s">
        <v>2200</v>
      </c>
      <c r="Q17" s="754">
        <f t="shared" si="0"/>
        <v>1</v>
      </c>
      <c r="R17" s="754">
        <f t="shared" si="0"/>
        <v>2.29</v>
      </c>
      <c r="S17" s="766">
        <f t="shared" si="1"/>
        <v>8.15</v>
      </c>
      <c r="T17" s="766">
        <f t="shared" si="2"/>
        <v>2</v>
      </c>
      <c r="U17" s="766">
        <f t="shared" si="3"/>
        <v>-6.15</v>
      </c>
      <c r="V17" s="767">
        <f t="shared" si="4"/>
        <v>0.24539877300613497</v>
      </c>
      <c r="W17" s="755"/>
    </row>
    <row r="18" spans="1:23" ht="14.4" customHeight="1" x14ac:dyDescent="0.3">
      <c r="A18" s="814" t="s">
        <v>2201</v>
      </c>
      <c r="B18" s="808"/>
      <c r="C18" s="810"/>
      <c r="D18" s="770"/>
      <c r="E18" s="801"/>
      <c r="F18" s="802"/>
      <c r="G18" s="757"/>
      <c r="H18" s="811">
        <v>1</v>
      </c>
      <c r="I18" s="812">
        <v>2.88</v>
      </c>
      <c r="J18" s="762">
        <v>3</v>
      </c>
      <c r="K18" s="804">
        <v>3.57</v>
      </c>
      <c r="L18" s="803">
        <v>4</v>
      </c>
      <c r="M18" s="803">
        <v>32</v>
      </c>
      <c r="N18" s="805">
        <v>10.57</v>
      </c>
      <c r="O18" s="803" t="s">
        <v>2175</v>
      </c>
      <c r="P18" s="806" t="s">
        <v>2202</v>
      </c>
      <c r="Q18" s="807">
        <f t="shared" si="0"/>
        <v>1</v>
      </c>
      <c r="R18" s="807">
        <f t="shared" si="0"/>
        <v>2.88</v>
      </c>
      <c r="S18" s="808">
        <f t="shared" si="1"/>
        <v>10.57</v>
      </c>
      <c r="T18" s="808">
        <f t="shared" si="2"/>
        <v>3</v>
      </c>
      <c r="U18" s="808">
        <f t="shared" si="3"/>
        <v>-7.57</v>
      </c>
      <c r="V18" s="809">
        <f t="shared" si="4"/>
        <v>0.28382213812677387</v>
      </c>
      <c r="W18" s="758"/>
    </row>
    <row r="19" spans="1:23" ht="14.4" customHeight="1" x14ac:dyDescent="0.3">
      <c r="A19" s="814" t="s">
        <v>2203</v>
      </c>
      <c r="B19" s="808"/>
      <c r="C19" s="810"/>
      <c r="D19" s="770"/>
      <c r="E19" s="801"/>
      <c r="F19" s="802"/>
      <c r="G19" s="757"/>
      <c r="H19" s="811">
        <v>1</v>
      </c>
      <c r="I19" s="812">
        <v>5.15</v>
      </c>
      <c r="J19" s="762">
        <v>4</v>
      </c>
      <c r="K19" s="804">
        <v>5.15</v>
      </c>
      <c r="L19" s="803">
        <v>4</v>
      </c>
      <c r="M19" s="803">
        <v>39</v>
      </c>
      <c r="N19" s="805">
        <v>13.14</v>
      </c>
      <c r="O19" s="803" t="s">
        <v>2175</v>
      </c>
      <c r="P19" s="806" t="s">
        <v>2204</v>
      </c>
      <c r="Q19" s="807">
        <f t="shared" si="0"/>
        <v>1</v>
      </c>
      <c r="R19" s="807">
        <f t="shared" si="0"/>
        <v>5.15</v>
      </c>
      <c r="S19" s="808">
        <f t="shared" si="1"/>
        <v>13.14</v>
      </c>
      <c r="T19" s="808">
        <f t="shared" si="2"/>
        <v>4</v>
      </c>
      <c r="U19" s="808">
        <f t="shared" si="3"/>
        <v>-9.14</v>
      </c>
      <c r="V19" s="809">
        <f t="shared" si="4"/>
        <v>0.30441400304414001</v>
      </c>
      <c r="W19" s="758"/>
    </row>
    <row r="20" spans="1:23" ht="14.4" customHeight="1" x14ac:dyDescent="0.3">
      <c r="A20" s="815" t="s">
        <v>2205</v>
      </c>
      <c r="B20" s="766"/>
      <c r="C20" s="768"/>
      <c r="D20" s="769"/>
      <c r="E20" s="764"/>
      <c r="F20" s="749"/>
      <c r="G20" s="750"/>
      <c r="H20" s="759">
        <v>1</v>
      </c>
      <c r="I20" s="760">
        <v>1.04</v>
      </c>
      <c r="J20" s="761">
        <v>3</v>
      </c>
      <c r="K20" s="752">
        <v>1.37</v>
      </c>
      <c r="L20" s="751">
        <v>4</v>
      </c>
      <c r="M20" s="751">
        <v>33</v>
      </c>
      <c r="N20" s="753">
        <v>11.04</v>
      </c>
      <c r="O20" s="751" t="s">
        <v>2175</v>
      </c>
      <c r="P20" s="765" t="s">
        <v>2206</v>
      </c>
      <c r="Q20" s="754">
        <f t="shared" si="0"/>
        <v>1</v>
      </c>
      <c r="R20" s="754">
        <f t="shared" si="0"/>
        <v>1.04</v>
      </c>
      <c r="S20" s="766">
        <f t="shared" si="1"/>
        <v>11.04</v>
      </c>
      <c r="T20" s="766">
        <f t="shared" si="2"/>
        <v>3</v>
      </c>
      <c r="U20" s="766">
        <f t="shared" si="3"/>
        <v>-8.0399999999999991</v>
      </c>
      <c r="V20" s="767">
        <f t="shared" si="4"/>
        <v>0.27173913043478265</v>
      </c>
      <c r="W20" s="755"/>
    </row>
    <row r="21" spans="1:23" ht="14.4" customHeight="1" x14ac:dyDescent="0.3">
      <c r="A21" s="815" t="s">
        <v>2207</v>
      </c>
      <c r="B21" s="766"/>
      <c r="C21" s="768"/>
      <c r="D21" s="769"/>
      <c r="E21" s="764"/>
      <c r="F21" s="749"/>
      <c r="G21" s="750"/>
      <c r="H21" s="759">
        <v>1</v>
      </c>
      <c r="I21" s="760">
        <v>5.28</v>
      </c>
      <c r="J21" s="763">
        <v>15</v>
      </c>
      <c r="K21" s="752">
        <v>5.28</v>
      </c>
      <c r="L21" s="751">
        <v>2</v>
      </c>
      <c r="M21" s="751">
        <v>20</v>
      </c>
      <c r="N21" s="753">
        <v>6.7</v>
      </c>
      <c r="O21" s="751" t="s">
        <v>2175</v>
      </c>
      <c r="P21" s="765" t="s">
        <v>2208</v>
      </c>
      <c r="Q21" s="754">
        <f t="shared" si="0"/>
        <v>1</v>
      </c>
      <c r="R21" s="754">
        <f t="shared" si="0"/>
        <v>5.28</v>
      </c>
      <c r="S21" s="766">
        <f t="shared" si="1"/>
        <v>6.7</v>
      </c>
      <c r="T21" s="766">
        <f t="shared" si="2"/>
        <v>15</v>
      </c>
      <c r="U21" s="766">
        <f t="shared" si="3"/>
        <v>8.3000000000000007</v>
      </c>
      <c r="V21" s="767">
        <f t="shared" si="4"/>
        <v>2.2388059701492535</v>
      </c>
      <c r="W21" s="755">
        <v>8</v>
      </c>
    </row>
    <row r="22" spans="1:23" ht="14.4" customHeight="1" x14ac:dyDescent="0.3">
      <c r="A22" s="815" t="s">
        <v>2209</v>
      </c>
      <c r="B22" s="746">
        <v>2</v>
      </c>
      <c r="C22" s="747">
        <v>14.73</v>
      </c>
      <c r="D22" s="748">
        <v>9.5</v>
      </c>
      <c r="E22" s="764"/>
      <c r="F22" s="749"/>
      <c r="G22" s="750"/>
      <c r="H22" s="751">
        <v>1</v>
      </c>
      <c r="I22" s="749">
        <v>7.36</v>
      </c>
      <c r="J22" s="750">
        <v>8</v>
      </c>
      <c r="K22" s="752">
        <v>7.36</v>
      </c>
      <c r="L22" s="751">
        <v>7</v>
      </c>
      <c r="M22" s="751">
        <v>62</v>
      </c>
      <c r="N22" s="753">
        <v>20.73</v>
      </c>
      <c r="O22" s="751" t="s">
        <v>2175</v>
      </c>
      <c r="P22" s="765" t="s">
        <v>2210</v>
      </c>
      <c r="Q22" s="754">
        <f t="shared" si="0"/>
        <v>-1</v>
      </c>
      <c r="R22" s="754">
        <f t="shared" si="0"/>
        <v>-7.37</v>
      </c>
      <c r="S22" s="766">
        <f t="shared" si="1"/>
        <v>20.73</v>
      </c>
      <c r="T22" s="766">
        <f t="shared" si="2"/>
        <v>8</v>
      </c>
      <c r="U22" s="766">
        <f t="shared" si="3"/>
        <v>-12.73</v>
      </c>
      <c r="V22" s="767">
        <f t="shared" si="4"/>
        <v>0.38591413410516157</v>
      </c>
      <c r="W22" s="755"/>
    </row>
    <row r="23" spans="1:23" ht="14.4" customHeight="1" x14ac:dyDescent="0.3">
      <c r="A23" s="815" t="s">
        <v>2211</v>
      </c>
      <c r="B23" s="766">
        <v>1</v>
      </c>
      <c r="C23" s="768">
        <v>2.83</v>
      </c>
      <c r="D23" s="769">
        <v>10</v>
      </c>
      <c r="E23" s="764"/>
      <c r="F23" s="749"/>
      <c r="G23" s="750"/>
      <c r="H23" s="759">
        <v>1</v>
      </c>
      <c r="I23" s="760">
        <v>2.83</v>
      </c>
      <c r="J23" s="761">
        <v>5</v>
      </c>
      <c r="K23" s="752">
        <v>2.83</v>
      </c>
      <c r="L23" s="751">
        <v>4</v>
      </c>
      <c r="M23" s="751">
        <v>37</v>
      </c>
      <c r="N23" s="753">
        <v>12.2</v>
      </c>
      <c r="O23" s="751" t="s">
        <v>2175</v>
      </c>
      <c r="P23" s="765" t="s">
        <v>2212</v>
      </c>
      <c r="Q23" s="754">
        <f t="shared" si="0"/>
        <v>0</v>
      </c>
      <c r="R23" s="754">
        <f t="shared" si="0"/>
        <v>0</v>
      </c>
      <c r="S23" s="766">
        <f t="shared" si="1"/>
        <v>12.2</v>
      </c>
      <c r="T23" s="766">
        <f t="shared" si="2"/>
        <v>5</v>
      </c>
      <c r="U23" s="766">
        <f t="shared" si="3"/>
        <v>-7.1999999999999993</v>
      </c>
      <c r="V23" s="767">
        <f t="shared" si="4"/>
        <v>0.4098360655737705</v>
      </c>
      <c r="W23" s="755"/>
    </row>
    <row r="24" spans="1:23" ht="14.4" customHeight="1" x14ac:dyDescent="0.3">
      <c r="A24" s="815" t="s">
        <v>2213</v>
      </c>
      <c r="B24" s="766"/>
      <c r="C24" s="768"/>
      <c r="D24" s="769"/>
      <c r="E24" s="759">
        <v>1</v>
      </c>
      <c r="F24" s="760">
        <v>2.67</v>
      </c>
      <c r="G24" s="761">
        <v>3</v>
      </c>
      <c r="H24" s="751"/>
      <c r="I24" s="749"/>
      <c r="J24" s="750"/>
      <c r="K24" s="752">
        <v>1.35</v>
      </c>
      <c r="L24" s="751">
        <v>4</v>
      </c>
      <c r="M24" s="751">
        <v>34</v>
      </c>
      <c r="N24" s="753">
        <v>11.34</v>
      </c>
      <c r="O24" s="751" t="s">
        <v>2175</v>
      </c>
      <c r="P24" s="765" t="s">
        <v>2214</v>
      </c>
      <c r="Q24" s="754">
        <f t="shared" si="0"/>
        <v>0</v>
      </c>
      <c r="R24" s="754">
        <f t="shared" si="0"/>
        <v>0</v>
      </c>
      <c r="S24" s="766" t="str">
        <f t="shared" si="1"/>
        <v/>
      </c>
      <c r="T24" s="766" t="str">
        <f t="shared" si="2"/>
        <v/>
      </c>
      <c r="U24" s="766" t="str">
        <f t="shared" si="3"/>
        <v/>
      </c>
      <c r="V24" s="767" t="str">
        <f t="shared" si="4"/>
        <v/>
      </c>
      <c r="W24" s="755"/>
    </row>
    <row r="25" spans="1:23" ht="14.4" customHeight="1" x14ac:dyDescent="0.3">
      <c r="A25" s="815" t="s">
        <v>2215</v>
      </c>
      <c r="B25" s="766"/>
      <c r="C25" s="768"/>
      <c r="D25" s="769"/>
      <c r="E25" s="764"/>
      <c r="F25" s="749"/>
      <c r="G25" s="750"/>
      <c r="H25" s="759">
        <v>1</v>
      </c>
      <c r="I25" s="760">
        <v>3.39</v>
      </c>
      <c r="J25" s="761">
        <v>4</v>
      </c>
      <c r="K25" s="752">
        <v>3.01</v>
      </c>
      <c r="L25" s="751">
        <v>4</v>
      </c>
      <c r="M25" s="751">
        <v>36</v>
      </c>
      <c r="N25" s="753">
        <v>11.97</v>
      </c>
      <c r="O25" s="751" t="s">
        <v>2175</v>
      </c>
      <c r="P25" s="765" t="s">
        <v>2216</v>
      </c>
      <c r="Q25" s="754">
        <f t="shared" si="0"/>
        <v>1</v>
      </c>
      <c r="R25" s="754">
        <f t="shared" si="0"/>
        <v>3.39</v>
      </c>
      <c r="S25" s="766">
        <f t="shared" si="1"/>
        <v>11.97</v>
      </c>
      <c r="T25" s="766">
        <f t="shared" si="2"/>
        <v>4</v>
      </c>
      <c r="U25" s="766">
        <f t="shared" si="3"/>
        <v>-7.9700000000000006</v>
      </c>
      <c r="V25" s="767">
        <f t="shared" si="4"/>
        <v>0.33416875522138678</v>
      </c>
      <c r="W25" s="755"/>
    </row>
    <row r="26" spans="1:23" ht="14.4" customHeight="1" x14ac:dyDescent="0.3">
      <c r="A26" s="815" t="s">
        <v>2217</v>
      </c>
      <c r="B26" s="766"/>
      <c r="C26" s="768"/>
      <c r="D26" s="769"/>
      <c r="E26" s="764"/>
      <c r="F26" s="749"/>
      <c r="G26" s="750"/>
      <c r="H26" s="759">
        <v>1</v>
      </c>
      <c r="I26" s="760">
        <v>0.5</v>
      </c>
      <c r="J26" s="761">
        <v>2</v>
      </c>
      <c r="K26" s="752">
        <v>0.74</v>
      </c>
      <c r="L26" s="751">
        <v>3</v>
      </c>
      <c r="M26" s="751">
        <v>23</v>
      </c>
      <c r="N26" s="753">
        <v>7.76</v>
      </c>
      <c r="O26" s="751" t="s">
        <v>2175</v>
      </c>
      <c r="P26" s="765" t="s">
        <v>2218</v>
      </c>
      <c r="Q26" s="754">
        <f t="shared" si="0"/>
        <v>1</v>
      </c>
      <c r="R26" s="754">
        <f t="shared" si="0"/>
        <v>0.5</v>
      </c>
      <c r="S26" s="766">
        <f t="shared" si="1"/>
        <v>7.76</v>
      </c>
      <c r="T26" s="766">
        <f t="shared" si="2"/>
        <v>2</v>
      </c>
      <c r="U26" s="766">
        <f t="shared" si="3"/>
        <v>-5.76</v>
      </c>
      <c r="V26" s="767">
        <f t="shared" si="4"/>
        <v>0.25773195876288663</v>
      </c>
      <c r="W26" s="755"/>
    </row>
    <row r="27" spans="1:23" ht="14.4" customHeight="1" x14ac:dyDescent="0.3">
      <c r="A27" s="815" t="s">
        <v>2219</v>
      </c>
      <c r="B27" s="746">
        <v>1</v>
      </c>
      <c r="C27" s="747">
        <v>3.33</v>
      </c>
      <c r="D27" s="748">
        <v>6</v>
      </c>
      <c r="E27" s="764"/>
      <c r="F27" s="749"/>
      <c r="G27" s="750"/>
      <c r="H27" s="751"/>
      <c r="I27" s="749"/>
      <c r="J27" s="750"/>
      <c r="K27" s="752">
        <v>3.33</v>
      </c>
      <c r="L27" s="751">
        <v>4</v>
      </c>
      <c r="M27" s="751">
        <v>34</v>
      </c>
      <c r="N27" s="753">
        <v>11.36</v>
      </c>
      <c r="O27" s="751" t="s">
        <v>2175</v>
      </c>
      <c r="P27" s="765" t="s">
        <v>2220</v>
      </c>
      <c r="Q27" s="754">
        <f t="shared" si="0"/>
        <v>-1</v>
      </c>
      <c r="R27" s="754">
        <f t="shared" si="0"/>
        <v>-3.33</v>
      </c>
      <c r="S27" s="766" t="str">
        <f t="shared" si="1"/>
        <v/>
      </c>
      <c r="T27" s="766" t="str">
        <f t="shared" si="2"/>
        <v/>
      </c>
      <c r="U27" s="766" t="str">
        <f t="shared" si="3"/>
        <v/>
      </c>
      <c r="V27" s="767" t="str">
        <f t="shared" si="4"/>
        <v/>
      </c>
      <c r="W27" s="755"/>
    </row>
    <row r="28" spans="1:23" ht="14.4" customHeight="1" x14ac:dyDescent="0.3">
      <c r="A28" s="815" t="s">
        <v>2221</v>
      </c>
      <c r="B28" s="766"/>
      <c r="C28" s="768"/>
      <c r="D28" s="769"/>
      <c r="E28" s="764"/>
      <c r="F28" s="749"/>
      <c r="G28" s="750"/>
      <c r="H28" s="759">
        <v>1</v>
      </c>
      <c r="I28" s="760">
        <v>1.08</v>
      </c>
      <c r="J28" s="761">
        <v>2</v>
      </c>
      <c r="K28" s="752">
        <v>1.08</v>
      </c>
      <c r="L28" s="751">
        <v>2</v>
      </c>
      <c r="M28" s="751">
        <v>20</v>
      </c>
      <c r="N28" s="753">
        <v>6.82</v>
      </c>
      <c r="O28" s="751" t="s">
        <v>2175</v>
      </c>
      <c r="P28" s="765" t="s">
        <v>2222</v>
      </c>
      <c r="Q28" s="754">
        <f t="shared" si="0"/>
        <v>1</v>
      </c>
      <c r="R28" s="754">
        <f t="shared" si="0"/>
        <v>1.08</v>
      </c>
      <c r="S28" s="766">
        <f t="shared" si="1"/>
        <v>6.82</v>
      </c>
      <c r="T28" s="766">
        <f t="shared" si="2"/>
        <v>2</v>
      </c>
      <c r="U28" s="766">
        <f t="shared" si="3"/>
        <v>-4.82</v>
      </c>
      <c r="V28" s="767">
        <f t="shared" si="4"/>
        <v>0.29325513196480935</v>
      </c>
      <c r="W28" s="755"/>
    </row>
    <row r="29" spans="1:23" ht="14.4" customHeight="1" x14ac:dyDescent="0.3">
      <c r="A29" s="815" t="s">
        <v>2223</v>
      </c>
      <c r="B29" s="766"/>
      <c r="C29" s="768"/>
      <c r="D29" s="769"/>
      <c r="E29" s="764"/>
      <c r="F29" s="749"/>
      <c r="G29" s="750"/>
      <c r="H29" s="759">
        <v>1</v>
      </c>
      <c r="I29" s="760">
        <v>3.77</v>
      </c>
      <c r="J29" s="761">
        <v>6</v>
      </c>
      <c r="K29" s="752">
        <v>2.4300000000000002</v>
      </c>
      <c r="L29" s="751">
        <v>5</v>
      </c>
      <c r="M29" s="751">
        <v>42</v>
      </c>
      <c r="N29" s="753">
        <v>14.05</v>
      </c>
      <c r="O29" s="751" t="s">
        <v>2175</v>
      </c>
      <c r="P29" s="765" t="s">
        <v>2224</v>
      </c>
      <c r="Q29" s="754">
        <f t="shared" si="0"/>
        <v>1</v>
      </c>
      <c r="R29" s="754">
        <f t="shared" si="0"/>
        <v>3.77</v>
      </c>
      <c r="S29" s="766">
        <f t="shared" si="1"/>
        <v>14.05</v>
      </c>
      <c r="T29" s="766">
        <f t="shared" si="2"/>
        <v>6</v>
      </c>
      <c r="U29" s="766">
        <f t="shared" si="3"/>
        <v>-8.0500000000000007</v>
      </c>
      <c r="V29" s="767">
        <f t="shared" si="4"/>
        <v>0.42704626334519569</v>
      </c>
      <c r="W29" s="755"/>
    </row>
    <row r="30" spans="1:23" ht="14.4" customHeight="1" thickBot="1" x14ac:dyDescent="0.35">
      <c r="A30" s="816" t="s">
        <v>2225</v>
      </c>
      <c r="B30" s="817">
        <v>1</v>
      </c>
      <c r="C30" s="818">
        <v>5.66</v>
      </c>
      <c r="D30" s="819">
        <v>14</v>
      </c>
      <c r="E30" s="820"/>
      <c r="F30" s="821"/>
      <c r="G30" s="822"/>
      <c r="H30" s="823"/>
      <c r="I30" s="821"/>
      <c r="J30" s="822"/>
      <c r="K30" s="824">
        <v>5.66</v>
      </c>
      <c r="L30" s="823">
        <v>6</v>
      </c>
      <c r="M30" s="823">
        <v>55</v>
      </c>
      <c r="N30" s="825">
        <v>18.37</v>
      </c>
      <c r="O30" s="823" t="s">
        <v>2175</v>
      </c>
      <c r="P30" s="826" t="s">
        <v>2226</v>
      </c>
      <c r="Q30" s="827">
        <f t="shared" si="0"/>
        <v>-1</v>
      </c>
      <c r="R30" s="827">
        <f t="shared" si="0"/>
        <v>-5.66</v>
      </c>
      <c r="S30" s="828" t="str">
        <f t="shared" si="1"/>
        <v/>
      </c>
      <c r="T30" s="828" t="str">
        <f t="shared" si="2"/>
        <v/>
      </c>
      <c r="U30" s="828" t="str">
        <f t="shared" si="3"/>
        <v/>
      </c>
      <c r="V30" s="829" t="str">
        <f t="shared" si="4"/>
        <v/>
      </c>
      <c r="W30" s="83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31:Q1048576">
    <cfRule type="cellIs" dxfId="12" priority="9" stopIfTrue="1" operator="lessThan">
      <formula>0</formula>
    </cfRule>
  </conditionalFormatting>
  <conditionalFormatting sqref="U31:U1048576">
    <cfRule type="cellIs" dxfId="11" priority="8" stopIfTrue="1" operator="greaterThan">
      <formula>0</formula>
    </cfRule>
  </conditionalFormatting>
  <conditionalFormatting sqref="V31:V1048576">
    <cfRule type="cellIs" dxfId="10" priority="7" stopIfTrue="1" operator="greaterThan">
      <formula>1</formula>
    </cfRule>
  </conditionalFormatting>
  <conditionalFormatting sqref="V31:V1048576">
    <cfRule type="cellIs" dxfId="9" priority="4" stopIfTrue="1" operator="greaterThan">
      <formula>1</formula>
    </cfRule>
  </conditionalFormatting>
  <conditionalFormatting sqref="U31:U1048576">
    <cfRule type="cellIs" dxfId="8" priority="5" stopIfTrue="1" operator="greaterThan">
      <formula>0</formula>
    </cfRule>
  </conditionalFormatting>
  <conditionalFormatting sqref="Q31:Q1048576">
    <cfRule type="cellIs" dxfId="7" priority="6" stopIfTrue="1" operator="lessThan">
      <formula>0</formula>
    </cfRule>
  </conditionalFormatting>
  <conditionalFormatting sqref="V5:V30">
    <cfRule type="cellIs" dxfId="6" priority="1" stopIfTrue="1" operator="greaterThan">
      <formula>1</formula>
    </cfRule>
  </conditionalFormatting>
  <conditionalFormatting sqref="U5:U30">
    <cfRule type="cellIs" dxfId="5" priority="2" stopIfTrue="1" operator="greaterThan">
      <formula>0</formula>
    </cfRule>
  </conditionalFormatting>
  <conditionalFormatting sqref="Q5:Q3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60" customWidth="1"/>
    <col min="2" max="2" width="7.77734375" style="225" customWidth="1"/>
    <col min="3" max="3" width="7.21875" style="260" hidden="1" customWidth="1"/>
    <col min="4" max="4" width="7.77734375" style="225" customWidth="1"/>
    <col min="5" max="5" width="7.2187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7.21875" style="260" hidden="1" customWidth="1"/>
    <col min="10" max="10" width="7.77734375" style="225" customWidth="1"/>
    <col min="11" max="11" width="7.21875" style="260" hidden="1" customWidth="1"/>
    <col min="12" max="12" width="7.77734375" style="225" customWidth="1"/>
    <col min="13" max="13" width="7.77734375" style="346" customWidth="1"/>
    <col min="14" max="16384" width="8.88671875" style="260"/>
  </cols>
  <sheetData>
    <row r="1" spans="1:13" ht="18.600000000000001" customHeight="1" thickBot="1" x14ac:dyDescent="0.4">
      <c r="A1" s="473" t="s">
        <v>162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</row>
    <row r="3" spans="1:13" ht="14.4" customHeight="1" thickBot="1" x14ac:dyDescent="0.35">
      <c r="A3" s="356" t="s">
        <v>163</v>
      </c>
      <c r="B3" s="357">
        <f>SUBTOTAL(9,B6:B1048576)</f>
        <v>923445</v>
      </c>
      <c r="C3" s="358">
        <f t="shared" ref="C3:L3" si="0">SUBTOTAL(9,C6:C1048576)</f>
        <v>8</v>
      </c>
      <c r="D3" s="358">
        <f t="shared" si="0"/>
        <v>1123043</v>
      </c>
      <c r="E3" s="358">
        <f t="shared" si="0"/>
        <v>10.935364100068831</v>
      </c>
      <c r="F3" s="358">
        <f t="shared" si="0"/>
        <v>1420209</v>
      </c>
      <c r="G3" s="361">
        <f>IF(B3&lt;&gt;0,F3/B3,"")</f>
        <v>1.5379464938355831</v>
      </c>
      <c r="H3" s="357">
        <f t="shared" si="0"/>
        <v>147571.40999999997</v>
      </c>
      <c r="I3" s="358">
        <f t="shared" si="0"/>
        <v>1</v>
      </c>
      <c r="J3" s="358">
        <f t="shared" si="0"/>
        <v>144000.56999999998</v>
      </c>
      <c r="K3" s="358">
        <f t="shared" si="0"/>
        <v>0.97580263006228651</v>
      </c>
      <c r="L3" s="358">
        <f t="shared" si="0"/>
        <v>311506.95999999996</v>
      </c>
      <c r="M3" s="359">
        <f>IF(H3&lt;&gt;0,L3/H3,"")</f>
        <v>2.1108896364139911</v>
      </c>
    </row>
    <row r="4" spans="1:13" ht="14.4" customHeight="1" x14ac:dyDescent="0.3">
      <c r="A4" s="580" t="s">
        <v>121</v>
      </c>
      <c r="B4" s="531" t="s">
        <v>127</v>
      </c>
      <c r="C4" s="532"/>
      <c r="D4" s="532"/>
      <c r="E4" s="532"/>
      <c r="F4" s="532"/>
      <c r="G4" s="533"/>
      <c r="H4" s="531" t="s">
        <v>128</v>
      </c>
      <c r="I4" s="532"/>
      <c r="J4" s="532"/>
      <c r="K4" s="532"/>
      <c r="L4" s="532"/>
      <c r="M4" s="533"/>
    </row>
    <row r="5" spans="1:13" s="344" customFormat="1" ht="14.4" customHeight="1" thickBot="1" x14ac:dyDescent="0.35">
      <c r="A5" s="831"/>
      <c r="B5" s="832">
        <v>2012</v>
      </c>
      <c r="C5" s="833"/>
      <c r="D5" s="833">
        <v>2013</v>
      </c>
      <c r="E5" s="833"/>
      <c r="F5" s="833">
        <v>2014</v>
      </c>
      <c r="G5" s="722" t="s">
        <v>5</v>
      </c>
      <c r="H5" s="832">
        <v>2012</v>
      </c>
      <c r="I5" s="833"/>
      <c r="J5" s="833">
        <v>2013</v>
      </c>
      <c r="K5" s="833"/>
      <c r="L5" s="833">
        <v>2014</v>
      </c>
      <c r="M5" s="722" t="s">
        <v>5</v>
      </c>
    </row>
    <row r="6" spans="1:13" ht="14.4" customHeight="1" x14ac:dyDescent="0.3">
      <c r="A6" s="713" t="s">
        <v>2228</v>
      </c>
      <c r="B6" s="738">
        <v>53498</v>
      </c>
      <c r="C6" s="699">
        <v>1</v>
      </c>
      <c r="D6" s="738">
        <v>10069</v>
      </c>
      <c r="E6" s="699">
        <v>0.18821264346330704</v>
      </c>
      <c r="F6" s="738"/>
      <c r="G6" s="704"/>
      <c r="H6" s="738"/>
      <c r="I6" s="699"/>
      <c r="J6" s="738"/>
      <c r="K6" s="699"/>
      <c r="L6" s="738"/>
      <c r="M6" s="241"/>
    </row>
    <row r="7" spans="1:13" ht="14.4" customHeight="1" x14ac:dyDescent="0.3">
      <c r="A7" s="665" t="s">
        <v>2229</v>
      </c>
      <c r="B7" s="739"/>
      <c r="C7" s="635"/>
      <c r="D7" s="739">
        <v>219</v>
      </c>
      <c r="E7" s="635"/>
      <c r="F7" s="739">
        <v>5572</v>
      </c>
      <c r="G7" s="660"/>
      <c r="H7" s="739"/>
      <c r="I7" s="635"/>
      <c r="J7" s="739"/>
      <c r="K7" s="635"/>
      <c r="L7" s="739"/>
      <c r="M7" s="685"/>
    </row>
    <row r="8" spans="1:13" ht="14.4" customHeight="1" x14ac:dyDescent="0.3">
      <c r="A8" s="665" t="s">
        <v>2230</v>
      </c>
      <c r="B8" s="739">
        <v>31355</v>
      </c>
      <c r="C8" s="635">
        <v>1</v>
      </c>
      <c r="D8" s="739">
        <v>46031</v>
      </c>
      <c r="E8" s="635">
        <v>1.4680593206825068</v>
      </c>
      <c r="F8" s="739">
        <v>55245</v>
      </c>
      <c r="G8" s="660">
        <v>1.7619199489714559</v>
      </c>
      <c r="H8" s="739"/>
      <c r="I8" s="635"/>
      <c r="J8" s="739"/>
      <c r="K8" s="635"/>
      <c r="L8" s="739"/>
      <c r="M8" s="685"/>
    </row>
    <row r="9" spans="1:13" ht="14.4" customHeight="1" x14ac:dyDescent="0.3">
      <c r="A9" s="665" t="s">
        <v>2231</v>
      </c>
      <c r="B9" s="739">
        <v>182743</v>
      </c>
      <c r="C9" s="635">
        <v>1</v>
      </c>
      <c r="D9" s="739">
        <v>260266</v>
      </c>
      <c r="E9" s="635">
        <v>1.4242187115238341</v>
      </c>
      <c r="F9" s="739">
        <v>290050</v>
      </c>
      <c r="G9" s="660">
        <v>1.5872016985602733</v>
      </c>
      <c r="H9" s="739"/>
      <c r="I9" s="635"/>
      <c r="J9" s="739"/>
      <c r="K9" s="635"/>
      <c r="L9" s="739"/>
      <c r="M9" s="685"/>
    </row>
    <row r="10" spans="1:13" ht="14.4" customHeight="1" x14ac:dyDescent="0.3">
      <c r="A10" s="665" t="s">
        <v>2232</v>
      </c>
      <c r="B10" s="739">
        <v>132687</v>
      </c>
      <c r="C10" s="635">
        <v>1</v>
      </c>
      <c r="D10" s="739">
        <v>256257</v>
      </c>
      <c r="E10" s="635">
        <v>1.931289425490063</v>
      </c>
      <c r="F10" s="739">
        <v>498405</v>
      </c>
      <c r="G10" s="660">
        <v>3.7562459020099936</v>
      </c>
      <c r="H10" s="739">
        <v>147571.40999999997</v>
      </c>
      <c r="I10" s="635">
        <v>1</v>
      </c>
      <c r="J10" s="739">
        <v>144000.56999999998</v>
      </c>
      <c r="K10" s="635">
        <v>0.97580263006228651</v>
      </c>
      <c r="L10" s="739">
        <v>311506.95999999996</v>
      </c>
      <c r="M10" s="685">
        <v>2.1108896364139911</v>
      </c>
    </row>
    <row r="11" spans="1:13" ht="14.4" customHeight="1" x14ac:dyDescent="0.3">
      <c r="A11" s="665" t="s">
        <v>2233</v>
      </c>
      <c r="B11" s="739">
        <v>54012</v>
      </c>
      <c r="C11" s="635">
        <v>1</v>
      </c>
      <c r="D11" s="739">
        <v>75089</v>
      </c>
      <c r="E11" s="635">
        <v>1.3902280974598238</v>
      </c>
      <c r="F11" s="739">
        <v>94400</v>
      </c>
      <c r="G11" s="660">
        <v>1.7477597570910168</v>
      </c>
      <c r="H11" s="739"/>
      <c r="I11" s="635"/>
      <c r="J11" s="739"/>
      <c r="K11" s="635"/>
      <c r="L11" s="739"/>
      <c r="M11" s="685"/>
    </row>
    <row r="12" spans="1:13" ht="14.4" customHeight="1" x14ac:dyDescent="0.3">
      <c r="A12" s="665" t="s">
        <v>2234</v>
      </c>
      <c r="B12" s="739">
        <v>368923</v>
      </c>
      <c r="C12" s="635">
        <v>1</v>
      </c>
      <c r="D12" s="739">
        <v>347117</v>
      </c>
      <c r="E12" s="635">
        <v>0.94089281503186306</v>
      </c>
      <c r="F12" s="739">
        <v>369072</v>
      </c>
      <c r="G12" s="660">
        <v>1.0004038783160714</v>
      </c>
      <c r="H12" s="739"/>
      <c r="I12" s="635"/>
      <c r="J12" s="739"/>
      <c r="K12" s="635"/>
      <c r="L12" s="739"/>
      <c r="M12" s="685"/>
    </row>
    <row r="13" spans="1:13" ht="14.4" customHeight="1" x14ac:dyDescent="0.3">
      <c r="A13" s="665" t="s">
        <v>2235</v>
      </c>
      <c r="B13" s="739">
        <v>93630</v>
      </c>
      <c r="C13" s="635">
        <v>1</v>
      </c>
      <c r="D13" s="739">
        <v>112201</v>
      </c>
      <c r="E13" s="635">
        <v>1.198344547687707</v>
      </c>
      <c r="F13" s="739">
        <v>103502</v>
      </c>
      <c r="G13" s="660">
        <v>1.1054362917868206</v>
      </c>
      <c r="H13" s="739"/>
      <c r="I13" s="635"/>
      <c r="J13" s="739"/>
      <c r="K13" s="635"/>
      <c r="L13" s="739"/>
      <c r="M13" s="685"/>
    </row>
    <row r="14" spans="1:13" ht="14.4" customHeight="1" thickBot="1" x14ac:dyDescent="0.35">
      <c r="A14" s="741" t="s">
        <v>2236</v>
      </c>
      <c r="B14" s="740">
        <v>6597</v>
      </c>
      <c r="C14" s="641">
        <v>1</v>
      </c>
      <c r="D14" s="740">
        <v>15794</v>
      </c>
      <c r="E14" s="641">
        <v>2.3941185387297255</v>
      </c>
      <c r="F14" s="740">
        <v>3963</v>
      </c>
      <c r="G14" s="652">
        <v>0.60072760345611642</v>
      </c>
      <c r="H14" s="740"/>
      <c r="I14" s="641"/>
      <c r="J14" s="740"/>
      <c r="K14" s="641"/>
      <c r="L14" s="740"/>
      <c r="M14" s="68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4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73" t="s">
        <v>2713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ht="14.4" customHeight="1" thickBot="1" x14ac:dyDescent="0.35">
      <c r="A2" s="389" t="s">
        <v>298</v>
      </c>
      <c r="B2" s="230"/>
      <c r="C2" s="230"/>
      <c r="D2" s="230"/>
      <c r="E2" s="230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3"/>
      <c r="Q2" s="366"/>
    </row>
    <row r="3" spans="1:17" ht="14.4" customHeight="1" thickBot="1" x14ac:dyDescent="0.35">
      <c r="E3" s="112" t="s">
        <v>163</v>
      </c>
      <c r="F3" s="217">
        <f t="shared" ref="F3:O3" si="0">SUBTOTAL(9,F6:F1048576)</f>
        <v>7335.5499999999993</v>
      </c>
      <c r="G3" s="221">
        <f t="shared" si="0"/>
        <v>1071016.4099999999</v>
      </c>
      <c r="H3" s="222"/>
      <c r="I3" s="222"/>
      <c r="J3" s="217">
        <f t="shared" si="0"/>
        <v>8872.58</v>
      </c>
      <c r="K3" s="221">
        <f t="shared" si="0"/>
        <v>1267043.57</v>
      </c>
      <c r="L3" s="222"/>
      <c r="M3" s="222"/>
      <c r="N3" s="217">
        <f t="shared" si="0"/>
        <v>9068.76</v>
      </c>
      <c r="O3" s="221">
        <f t="shared" si="0"/>
        <v>1731715.96</v>
      </c>
      <c r="P3" s="181">
        <f>IF(G3=0,"",O3/G3)</f>
        <v>1.6168902211311591</v>
      </c>
      <c r="Q3" s="219">
        <f>IF(N3=0,"",O3/N3)</f>
        <v>190.95399591564887</v>
      </c>
    </row>
    <row r="4" spans="1:17" ht="14.4" customHeight="1" x14ac:dyDescent="0.3">
      <c r="A4" s="536" t="s">
        <v>77</v>
      </c>
      <c r="B4" s="535" t="s">
        <v>122</v>
      </c>
      <c r="C4" s="536" t="s">
        <v>123</v>
      </c>
      <c r="D4" s="537" t="s">
        <v>93</v>
      </c>
      <c r="E4" s="538" t="s">
        <v>14</v>
      </c>
      <c r="F4" s="542">
        <v>2012</v>
      </c>
      <c r="G4" s="543"/>
      <c r="H4" s="220"/>
      <c r="I4" s="220"/>
      <c r="J4" s="542">
        <v>2013</v>
      </c>
      <c r="K4" s="543"/>
      <c r="L4" s="220"/>
      <c r="M4" s="220"/>
      <c r="N4" s="542">
        <v>2014</v>
      </c>
      <c r="O4" s="543"/>
      <c r="P4" s="544" t="s">
        <v>5</v>
      </c>
      <c r="Q4" s="534" t="s">
        <v>125</v>
      </c>
    </row>
    <row r="5" spans="1:17" ht="14.4" customHeight="1" thickBot="1" x14ac:dyDescent="0.35">
      <c r="A5" s="730"/>
      <c r="B5" s="729"/>
      <c r="C5" s="730"/>
      <c r="D5" s="731"/>
      <c r="E5" s="732"/>
      <c r="F5" s="742" t="s">
        <v>94</v>
      </c>
      <c r="G5" s="743" t="s">
        <v>17</v>
      </c>
      <c r="H5" s="744"/>
      <c r="I5" s="744"/>
      <c r="J5" s="742" t="s">
        <v>94</v>
      </c>
      <c r="K5" s="743" t="s">
        <v>17</v>
      </c>
      <c r="L5" s="744"/>
      <c r="M5" s="744"/>
      <c r="N5" s="742" t="s">
        <v>94</v>
      </c>
      <c r="O5" s="743" t="s">
        <v>17</v>
      </c>
      <c r="P5" s="745"/>
      <c r="Q5" s="737"/>
    </row>
    <row r="6" spans="1:17" ht="14.4" customHeight="1" x14ac:dyDescent="0.3">
      <c r="A6" s="698" t="s">
        <v>2237</v>
      </c>
      <c r="B6" s="699" t="s">
        <v>2238</v>
      </c>
      <c r="C6" s="699" t="s">
        <v>1819</v>
      </c>
      <c r="D6" s="699" t="s">
        <v>2239</v>
      </c>
      <c r="E6" s="699" t="s">
        <v>2240</v>
      </c>
      <c r="F6" s="235"/>
      <c r="G6" s="235"/>
      <c r="H6" s="235"/>
      <c r="I6" s="235"/>
      <c r="J6" s="235">
        <v>2</v>
      </c>
      <c r="K6" s="235">
        <v>994</v>
      </c>
      <c r="L6" s="235"/>
      <c r="M6" s="235">
        <v>497</v>
      </c>
      <c r="N6" s="235"/>
      <c r="O6" s="235"/>
      <c r="P6" s="704"/>
      <c r="Q6" s="712"/>
    </row>
    <row r="7" spans="1:17" ht="14.4" customHeight="1" x14ac:dyDescent="0.3">
      <c r="A7" s="634" t="s">
        <v>2237</v>
      </c>
      <c r="B7" s="635" t="s">
        <v>2238</v>
      </c>
      <c r="C7" s="635" t="s">
        <v>1819</v>
      </c>
      <c r="D7" s="635" t="s">
        <v>2241</v>
      </c>
      <c r="E7" s="635" t="s">
        <v>2242</v>
      </c>
      <c r="F7" s="638"/>
      <c r="G7" s="638"/>
      <c r="H7" s="638"/>
      <c r="I7" s="638"/>
      <c r="J7" s="638">
        <v>1</v>
      </c>
      <c r="K7" s="638">
        <v>6257</v>
      </c>
      <c r="L7" s="638"/>
      <c r="M7" s="638">
        <v>6257</v>
      </c>
      <c r="N7" s="638"/>
      <c r="O7" s="638"/>
      <c r="P7" s="660"/>
      <c r="Q7" s="639"/>
    </row>
    <row r="8" spans="1:17" ht="14.4" customHeight="1" x14ac:dyDescent="0.3">
      <c r="A8" s="634" t="s">
        <v>2237</v>
      </c>
      <c r="B8" s="635" t="s">
        <v>2238</v>
      </c>
      <c r="C8" s="635" t="s">
        <v>1819</v>
      </c>
      <c r="D8" s="635" t="s">
        <v>2243</v>
      </c>
      <c r="E8" s="635" t="s">
        <v>2244</v>
      </c>
      <c r="F8" s="638">
        <v>10</v>
      </c>
      <c r="G8" s="638">
        <v>12360</v>
      </c>
      <c r="H8" s="638">
        <v>1</v>
      </c>
      <c r="I8" s="638">
        <v>1236</v>
      </c>
      <c r="J8" s="638">
        <v>2</v>
      </c>
      <c r="K8" s="638">
        <v>2490</v>
      </c>
      <c r="L8" s="638">
        <v>0.20145631067961164</v>
      </c>
      <c r="M8" s="638">
        <v>1245</v>
      </c>
      <c r="N8" s="638"/>
      <c r="O8" s="638"/>
      <c r="P8" s="660"/>
      <c r="Q8" s="639"/>
    </row>
    <row r="9" spans="1:17" ht="14.4" customHeight="1" x14ac:dyDescent="0.3">
      <c r="A9" s="634" t="s">
        <v>2237</v>
      </c>
      <c r="B9" s="635" t="s">
        <v>2238</v>
      </c>
      <c r="C9" s="635" t="s">
        <v>1819</v>
      </c>
      <c r="D9" s="635" t="s">
        <v>2245</v>
      </c>
      <c r="E9" s="635" t="s">
        <v>2246</v>
      </c>
      <c r="F9" s="638"/>
      <c r="G9" s="638"/>
      <c r="H9" s="638"/>
      <c r="I9" s="638"/>
      <c r="J9" s="638">
        <v>2</v>
      </c>
      <c r="K9" s="638">
        <v>328</v>
      </c>
      <c r="L9" s="638"/>
      <c r="M9" s="638">
        <v>164</v>
      </c>
      <c r="N9" s="638"/>
      <c r="O9" s="638"/>
      <c r="P9" s="660"/>
      <c r="Q9" s="639"/>
    </row>
    <row r="10" spans="1:17" ht="14.4" customHeight="1" x14ac:dyDescent="0.3">
      <c r="A10" s="634" t="s">
        <v>2237</v>
      </c>
      <c r="B10" s="635" t="s">
        <v>2238</v>
      </c>
      <c r="C10" s="635" t="s">
        <v>1819</v>
      </c>
      <c r="D10" s="635" t="s">
        <v>2247</v>
      </c>
      <c r="E10" s="635" t="s">
        <v>2248</v>
      </c>
      <c r="F10" s="638">
        <v>24</v>
      </c>
      <c r="G10" s="638">
        <v>13488</v>
      </c>
      <c r="H10" s="638">
        <v>1</v>
      </c>
      <c r="I10" s="638">
        <v>562</v>
      </c>
      <c r="J10" s="638"/>
      <c r="K10" s="638"/>
      <c r="L10" s="638"/>
      <c r="M10" s="638"/>
      <c r="N10" s="638"/>
      <c r="O10" s="638"/>
      <c r="P10" s="660"/>
      <c r="Q10" s="639"/>
    </row>
    <row r="11" spans="1:17" ht="14.4" customHeight="1" x14ac:dyDescent="0.3">
      <c r="A11" s="634" t="s">
        <v>2237</v>
      </c>
      <c r="B11" s="635" t="s">
        <v>2238</v>
      </c>
      <c r="C11" s="635" t="s">
        <v>1819</v>
      </c>
      <c r="D11" s="635" t="s">
        <v>2249</v>
      </c>
      <c r="E11" s="635" t="s">
        <v>2250</v>
      </c>
      <c r="F11" s="638">
        <v>24</v>
      </c>
      <c r="G11" s="638">
        <v>24000</v>
      </c>
      <c r="H11" s="638">
        <v>1</v>
      </c>
      <c r="I11" s="638">
        <v>1000</v>
      </c>
      <c r="J11" s="638"/>
      <c r="K11" s="638"/>
      <c r="L11" s="638"/>
      <c r="M11" s="638"/>
      <c r="N11" s="638"/>
      <c r="O11" s="638"/>
      <c r="P11" s="660"/>
      <c r="Q11" s="639"/>
    </row>
    <row r="12" spans="1:17" ht="14.4" customHeight="1" x14ac:dyDescent="0.3">
      <c r="A12" s="634" t="s">
        <v>2237</v>
      </c>
      <c r="B12" s="635" t="s">
        <v>2238</v>
      </c>
      <c r="C12" s="635" t="s">
        <v>1819</v>
      </c>
      <c r="D12" s="635" t="s">
        <v>2251</v>
      </c>
      <c r="E12" s="635" t="s">
        <v>2252</v>
      </c>
      <c r="F12" s="638">
        <v>10</v>
      </c>
      <c r="G12" s="638">
        <v>3650</v>
      </c>
      <c r="H12" s="638">
        <v>1</v>
      </c>
      <c r="I12" s="638">
        <v>365</v>
      </c>
      <c r="J12" s="638"/>
      <c r="K12" s="638"/>
      <c r="L12" s="638"/>
      <c r="M12" s="638"/>
      <c r="N12" s="638"/>
      <c r="O12" s="638"/>
      <c r="P12" s="660"/>
      <c r="Q12" s="639"/>
    </row>
    <row r="13" spans="1:17" ht="14.4" customHeight="1" x14ac:dyDescent="0.3">
      <c r="A13" s="634" t="s">
        <v>2253</v>
      </c>
      <c r="B13" s="635" t="s">
        <v>2254</v>
      </c>
      <c r="C13" s="635" t="s">
        <v>1819</v>
      </c>
      <c r="D13" s="635" t="s">
        <v>2255</v>
      </c>
      <c r="E13" s="635" t="s">
        <v>2256</v>
      </c>
      <c r="F13" s="638"/>
      <c r="G13" s="638"/>
      <c r="H13" s="638"/>
      <c r="I13" s="638"/>
      <c r="J13" s="638">
        <v>1</v>
      </c>
      <c r="K13" s="638">
        <v>219</v>
      </c>
      <c r="L13" s="638"/>
      <c r="M13" s="638">
        <v>219</v>
      </c>
      <c r="N13" s="638"/>
      <c r="O13" s="638"/>
      <c r="P13" s="660"/>
      <c r="Q13" s="639"/>
    </row>
    <row r="14" spans="1:17" ht="14.4" customHeight="1" x14ac:dyDescent="0.3">
      <c r="A14" s="634" t="s">
        <v>2253</v>
      </c>
      <c r="B14" s="635" t="s">
        <v>2254</v>
      </c>
      <c r="C14" s="635" t="s">
        <v>1819</v>
      </c>
      <c r="D14" s="635" t="s">
        <v>2257</v>
      </c>
      <c r="E14" s="635" t="s">
        <v>2258</v>
      </c>
      <c r="F14" s="638"/>
      <c r="G14" s="638"/>
      <c r="H14" s="638"/>
      <c r="I14" s="638"/>
      <c r="J14" s="638"/>
      <c r="K14" s="638"/>
      <c r="L14" s="638"/>
      <c r="M14" s="638"/>
      <c r="N14" s="638">
        <v>1</v>
      </c>
      <c r="O14" s="638">
        <v>5572</v>
      </c>
      <c r="P14" s="660"/>
      <c r="Q14" s="639">
        <v>5572</v>
      </c>
    </row>
    <row r="15" spans="1:17" ht="14.4" customHeight="1" x14ac:dyDescent="0.3">
      <c r="A15" s="634" t="s">
        <v>2259</v>
      </c>
      <c r="B15" s="635" t="s">
        <v>2260</v>
      </c>
      <c r="C15" s="635" t="s">
        <v>1819</v>
      </c>
      <c r="D15" s="635" t="s">
        <v>2261</v>
      </c>
      <c r="E15" s="635" t="s">
        <v>2262</v>
      </c>
      <c r="F15" s="638">
        <v>13</v>
      </c>
      <c r="G15" s="638">
        <v>4550</v>
      </c>
      <c r="H15" s="638">
        <v>1</v>
      </c>
      <c r="I15" s="638">
        <v>350</v>
      </c>
      <c r="J15" s="638">
        <v>9</v>
      </c>
      <c r="K15" s="638">
        <v>3150</v>
      </c>
      <c r="L15" s="638">
        <v>0.69230769230769229</v>
      </c>
      <c r="M15" s="638">
        <v>350</v>
      </c>
      <c r="N15" s="638">
        <v>19</v>
      </c>
      <c r="O15" s="638">
        <v>6650</v>
      </c>
      <c r="P15" s="660">
        <v>1.4615384615384615</v>
      </c>
      <c r="Q15" s="639">
        <v>350</v>
      </c>
    </row>
    <row r="16" spans="1:17" ht="14.4" customHeight="1" x14ac:dyDescent="0.3">
      <c r="A16" s="634" t="s">
        <v>2259</v>
      </c>
      <c r="B16" s="635" t="s">
        <v>2260</v>
      </c>
      <c r="C16" s="635" t="s">
        <v>1819</v>
      </c>
      <c r="D16" s="635" t="s">
        <v>2263</v>
      </c>
      <c r="E16" s="635" t="s">
        <v>2264</v>
      </c>
      <c r="F16" s="638">
        <v>23</v>
      </c>
      <c r="G16" s="638">
        <v>1472</v>
      </c>
      <c r="H16" s="638">
        <v>1</v>
      </c>
      <c r="I16" s="638">
        <v>64</v>
      </c>
      <c r="J16" s="638">
        <v>32</v>
      </c>
      <c r="K16" s="638">
        <v>2080</v>
      </c>
      <c r="L16" s="638">
        <v>1.4130434782608696</v>
      </c>
      <c r="M16" s="638">
        <v>65</v>
      </c>
      <c r="N16" s="638">
        <v>27</v>
      </c>
      <c r="O16" s="638">
        <v>1755</v>
      </c>
      <c r="P16" s="660">
        <v>1.1922554347826086</v>
      </c>
      <c r="Q16" s="639">
        <v>65</v>
      </c>
    </row>
    <row r="17" spans="1:17" ht="14.4" customHeight="1" x14ac:dyDescent="0.3">
      <c r="A17" s="634" t="s">
        <v>2259</v>
      </c>
      <c r="B17" s="635" t="s">
        <v>2260</v>
      </c>
      <c r="C17" s="635" t="s">
        <v>1819</v>
      </c>
      <c r="D17" s="635" t="s">
        <v>2265</v>
      </c>
      <c r="E17" s="635" t="s">
        <v>2266</v>
      </c>
      <c r="F17" s="638">
        <v>7</v>
      </c>
      <c r="G17" s="638">
        <v>161</v>
      </c>
      <c r="H17" s="638">
        <v>1</v>
      </c>
      <c r="I17" s="638">
        <v>23</v>
      </c>
      <c r="J17" s="638">
        <v>10</v>
      </c>
      <c r="K17" s="638">
        <v>230</v>
      </c>
      <c r="L17" s="638">
        <v>1.4285714285714286</v>
      </c>
      <c r="M17" s="638">
        <v>23</v>
      </c>
      <c r="N17" s="638">
        <v>7</v>
      </c>
      <c r="O17" s="638">
        <v>161</v>
      </c>
      <c r="P17" s="660">
        <v>1</v>
      </c>
      <c r="Q17" s="639">
        <v>23</v>
      </c>
    </row>
    <row r="18" spans="1:17" ht="14.4" customHeight="1" x14ac:dyDescent="0.3">
      <c r="A18" s="634" t="s">
        <v>2259</v>
      </c>
      <c r="B18" s="635" t="s">
        <v>2260</v>
      </c>
      <c r="C18" s="635" t="s">
        <v>1819</v>
      </c>
      <c r="D18" s="635" t="s">
        <v>2267</v>
      </c>
      <c r="E18" s="635" t="s">
        <v>2268</v>
      </c>
      <c r="F18" s="638">
        <v>4</v>
      </c>
      <c r="G18" s="638">
        <v>216</v>
      </c>
      <c r="H18" s="638">
        <v>1</v>
      </c>
      <c r="I18" s="638">
        <v>54</v>
      </c>
      <c r="J18" s="638">
        <v>3</v>
      </c>
      <c r="K18" s="638">
        <v>162</v>
      </c>
      <c r="L18" s="638">
        <v>0.75</v>
      </c>
      <c r="M18" s="638">
        <v>54</v>
      </c>
      <c r="N18" s="638">
        <v>10</v>
      </c>
      <c r="O18" s="638">
        <v>540</v>
      </c>
      <c r="P18" s="660">
        <v>2.5</v>
      </c>
      <c r="Q18" s="639">
        <v>54</v>
      </c>
    </row>
    <row r="19" spans="1:17" ht="14.4" customHeight="1" x14ac:dyDescent="0.3">
      <c r="A19" s="634" t="s">
        <v>2259</v>
      </c>
      <c r="B19" s="635" t="s">
        <v>2260</v>
      </c>
      <c r="C19" s="635" t="s">
        <v>1819</v>
      </c>
      <c r="D19" s="635" t="s">
        <v>2269</v>
      </c>
      <c r="E19" s="635" t="s">
        <v>2270</v>
      </c>
      <c r="F19" s="638">
        <v>211</v>
      </c>
      <c r="G19" s="638">
        <v>16247</v>
      </c>
      <c r="H19" s="638">
        <v>1</v>
      </c>
      <c r="I19" s="638">
        <v>77</v>
      </c>
      <c r="J19" s="638">
        <v>384</v>
      </c>
      <c r="K19" s="638">
        <v>29568</v>
      </c>
      <c r="L19" s="638">
        <v>1.8199052132701421</v>
      </c>
      <c r="M19" s="638">
        <v>77</v>
      </c>
      <c r="N19" s="638">
        <v>376</v>
      </c>
      <c r="O19" s="638">
        <v>28952</v>
      </c>
      <c r="P19" s="660">
        <v>1.7819905213270142</v>
      </c>
      <c r="Q19" s="639">
        <v>77</v>
      </c>
    </row>
    <row r="20" spans="1:17" ht="14.4" customHeight="1" x14ac:dyDescent="0.3">
      <c r="A20" s="634" t="s">
        <v>2259</v>
      </c>
      <c r="B20" s="635" t="s">
        <v>2260</v>
      </c>
      <c r="C20" s="635" t="s">
        <v>1819</v>
      </c>
      <c r="D20" s="635" t="s">
        <v>2271</v>
      </c>
      <c r="E20" s="635" t="s">
        <v>2272</v>
      </c>
      <c r="F20" s="638">
        <v>14</v>
      </c>
      <c r="G20" s="638">
        <v>308</v>
      </c>
      <c r="H20" s="638">
        <v>1</v>
      </c>
      <c r="I20" s="638">
        <v>22</v>
      </c>
      <c r="J20" s="638">
        <v>25</v>
      </c>
      <c r="K20" s="638">
        <v>550</v>
      </c>
      <c r="L20" s="638">
        <v>1.7857142857142858</v>
      </c>
      <c r="M20" s="638">
        <v>22</v>
      </c>
      <c r="N20" s="638">
        <v>17</v>
      </c>
      <c r="O20" s="638">
        <v>374</v>
      </c>
      <c r="P20" s="660">
        <v>1.2142857142857142</v>
      </c>
      <c r="Q20" s="639">
        <v>22</v>
      </c>
    </row>
    <row r="21" spans="1:17" ht="14.4" customHeight="1" x14ac:dyDescent="0.3">
      <c r="A21" s="634" t="s">
        <v>2259</v>
      </c>
      <c r="B21" s="635" t="s">
        <v>2260</v>
      </c>
      <c r="C21" s="635" t="s">
        <v>1819</v>
      </c>
      <c r="D21" s="635" t="s">
        <v>2273</v>
      </c>
      <c r="E21" s="635" t="s">
        <v>2274</v>
      </c>
      <c r="F21" s="638">
        <v>6</v>
      </c>
      <c r="G21" s="638">
        <v>1254</v>
      </c>
      <c r="H21" s="638">
        <v>1</v>
      </c>
      <c r="I21" s="638">
        <v>209</v>
      </c>
      <c r="J21" s="638">
        <v>6</v>
      </c>
      <c r="K21" s="638">
        <v>1254</v>
      </c>
      <c r="L21" s="638">
        <v>1</v>
      </c>
      <c r="M21" s="638">
        <v>209</v>
      </c>
      <c r="N21" s="638"/>
      <c r="O21" s="638"/>
      <c r="P21" s="660"/>
      <c r="Q21" s="639"/>
    </row>
    <row r="22" spans="1:17" ht="14.4" customHeight="1" x14ac:dyDescent="0.3">
      <c r="A22" s="634" t="s">
        <v>2259</v>
      </c>
      <c r="B22" s="635" t="s">
        <v>2260</v>
      </c>
      <c r="C22" s="635" t="s">
        <v>1819</v>
      </c>
      <c r="D22" s="635" t="s">
        <v>2275</v>
      </c>
      <c r="E22" s="635" t="s">
        <v>2276</v>
      </c>
      <c r="F22" s="638"/>
      <c r="G22" s="638"/>
      <c r="H22" s="638"/>
      <c r="I22" s="638"/>
      <c r="J22" s="638">
        <v>1</v>
      </c>
      <c r="K22" s="638">
        <v>66</v>
      </c>
      <c r="L22" s="638"/>
      <c r="M22" s="638">
        <v>66</v>
      </c>
      <c r="N22" s="638">
        <v>2</v>
      </c>
      <c r="O22" s="638">
        <v>132</v>
      </c>
      <c r="P22" s="660"/>
      <c r="Q22" s="639">
        <v>66</v>
      </c>
    </row>
    <row r="23" spans="1:17" ht="14.4" customHeight="1" x14ac:dyDescent="0.3">
      <c r="A23" s="634" t="s">
        <v>2259</v>
      </c>
      <c r="B23" s="635" t="s">
        <v>2260</v>
      </c>
      <c r="C23" s="635" t="s">
        <v>1819</v>
      </c>
      <c r="D23" s="635" t="s">
        <v>2277</v>
      </c>
      <c r="E23" s="635" t="s">
        <v>2278</v>
      </c>
      <c r="F23" s="638">
        <v>7</v>
      </c>
      <c r="G23" s="638">
        <v>161</v>
      </c>
      <c r="H23" s="638">
        <v>1</v>
      </c>
      <c r="I23" s="638">
        <v>23</v>
      </c>
      <c r="J23" s="638">
        <v>15</v>
      </c>
      <c r="K23" s="638">
        <v>360</v>
      </c>
      <c r="L23" s="638">
        <v>2.2360248447204967</v>
      </c>
      <c r="M23" s="638">
        <v>24</v>
      </c>
      <c r="N23" s="638">
        <v>9</v>
      </c>
      <c r="O23" s="638">
        <v>216</v>
      </c>
      <c r="P23" s="660">
        <v>1.3416149068322982</v>
      </c>
      <c r="Q23" s="639">
        <v>24</v>
      </c>
    </row>
    <row r="24" spans="1:17" ht="14.4" customHeight="1" x14ac:dyDescent="0.3">
      <c r="A24" s="634" t="s">
        <v>2259</v>
      </c>
      <c r="B24" s="635" t="s">
        <v>2260</v>
      </c>
      <c r="C24" s="635" t="s">
        <v>1819</v>
      </c>
      <c r="D24" s="635" t="s">
        <v>2279</v>
      </c>
      <c r="E24" s="635" t="s">
        <v>2280</v>
      </c>
      <c r="F24" s="638">
        <v>12</v>
      </c>
      <c r="G24" s="638">
        <v>2160</v>
      </c>
      <c r="H24" s="638">
        <v>1</v>
      </c>
      <c r="I24" s="638">
        <v>180</v>
      </c>
      <c r="J24" s="638">
        <v>12</v>
      </c>
      <c r="K24" s="638">
        <v>2160</v>
      </c>
      <c r="L24" s="638">
        <v>1</v>
      </c>
      <c r="M24" s="638">
        <v>180</v>
      </c>
      <c r="N24" s="638">
        <v>21</v>
      </c>
      <c r="O24" s="638">
        <v>3780</v>
      </c>
      <c r="P24" s="660">
        <v>1.75</v>
      </c>
      <c r="Q24" s="639">
        <v>180</v>
      </c>
    </row>
    <row r="25" spans="1:17" ht="14.4" customHeight="1" x14ac:dyDescent="0.3">
      <c r="A25" s="634" t="s">
        <v>2259</v>
      </c>
      <c r="B25" s="635" t="s">
        <v>2260</v>
      </c>
      <c r="C25" s="635" t="s">
        <v>1819</v>
      </c>
      <c r="D25" s="635" t="s">
        <v>2281</v>
      </c>
      <c r="E25" s="635" t="s">
        <v>2282</v>
      </c>
      <c r="F25" s="638">
        <v>2</v>
      </c>
      <c r="G25" s="638">
        <v>506</v>
      </c>
      <c r="H25" s="638">
        <v>1</v>
      </c>
      <c r="I25" s="638">
        <v>253</v>
      </c>
      <c r="J25" s="638">
        <v>1</v>
      </c>
      <c r="K25" s="638">
        <v>253</v>
      </c>
      <c r="L25" s="638">
        <v>0.5</v>
      </c>
      <c r="M25" s="638">
        <v>253</v>
      </c>
      <c r="N25" s="638">
        <v>15</v>
      </c>
      <c r="O25" s="638">
        <v>3795</v>
      </c>
      <c r="P25" s="660">
        <v>7.5</v>
      </c>
      <c r="Q25" s="639">
        <v>253</v>
      </c>
    </row>
    <row r="26" spans="1:17" ht="14.4" customHeight="1" x14ac:dyDescent="0.3">
      <c r="A26" s="634" t="s">
        <v>2259</v>
      </c>
      <c r="B26" s="635" t="s">
        <v>2260</v>
      </c>
      <c r="C26" s="635" t="s">
        <v>1819</v>
      </c>
      <c r="D26" s="635" t="s">
        <v>2283</v>
      </c>
      <c r="E26" s="635" t="s">
        <v>2284</v>
      </c>
      <c r="F26" s="638">
        <v>20</v>
      </c>
      <c r="G26" s="638">
        <v>4320</v>
      </c>
      <c r="H26" s="638">
        <v>1</v>
      </c>
      <c r="I26" s="638">
        <v>216</v>
      </c>
      <c r="J26" s="638">
        <v>28</v>
      </c>
      <c r="K26" s="638">
        <v>6048</v>
      </c>
      <c r="L26" s="638">
        <v>1.4</v>
      </c>
      <c r="M26" s="638">
        <v>216</v>
      </c>
      <c r="N26" s="638">
        <v>40</v>
      </c>
      <c r="O26" s="638">
        <v>8640</v>
      </c>
      <c r="P26" s="660">
        <v>2</v>
      </c>
      <c r="Q26" s="639">
        <v>216</v>
      </c>
    </row>
    <row r="27" spans="1:17" ht="14.4" customHeight="1" x14ac:dyDescent="0.3">
      <c r="A27" s="634" t="s">
        <v>2259</v>
      </c>
      <c r="B27" s="635" t="s">
        <v>2260</v>
      </c>
      <c r="C27" s="635" t="s">
        <v>1819</v>
      </c>
      <c r="D27" s="635" t="s">
        <v>2285</v>
      </c>
      <c r="E27" s="635" t="s">
        <v>2286</v>
      </c>
      <c r="F27" s="638"/>
      <c r="G27" s="638"/>
      <c r="H27" s="638"/>
      <c r="I27" s="638"/>
      <c r="J27" s="638">
        <v>3</v>
      </c>
      <c r="K27" s="638">
        <v>150</v>
      </c>
      <c r="L27" s="638"/>
      <c r="M27" s="638">
        <v>50</v>
      </c>
      <c r="N27" s="638">
        <v>5</v>
      </c>
      <c r="O27" s="638">
        <v>250</v>
      </c>
      <c r="P27" s="660"/>
      <c r="Q27" s="639">
        <v>50</v>
      </c>
    </row>
    <row r="28" spans="1:17" ht="14.4" customHeight="1" x14ac:dyDescent="0.3">
      <c r="A28" s="634" t="s">
        <v>2287</v>
      </c>
      <c r="B28" s="635" t="s">
        <v>2288</v>
      </c>
      <c r="C28" s="635" t="s">
        <v>1819</v>
      </c>
      <c r="D28" s="635" t="s">
        <v>2289</v>
      </c>
      <c r="E28" s="635" t="s">
        <v>2290</v>
      </c>
      <c r="F28" s="638">
        <v>46</v>
      </c>
      <c r="G28" s="638">
        <v>1242</v>
      </c>
      <c r="H28" s="638">
        <v>1</v>
      </c>
      <c r="I28" s="638">
        <v>27</v>
      </c>
      <c r="J28" s="638">
        <v>43</v>
      </c>
      <c r="K28" s="638">
        <v>1161</v>
      </c>
      <c r="L28" s="638">
        <v>0.93478260869565222</v>
      </c>
      <c r="M28" s="638">
        <v>27</v>
      </c>
      <c r="N28" s="638">
        <v>60</v>
      </c>
      <c r="O28" s="638">
        <v>1620</v>
      </c>
      <c r="P28" s="660">
        <v>1.3043478260869565</v>
      </c>
      <c r="Q28" s="639">
        <v>27</v>
      </c>
    </row>
    <row r="29" spans="1:17" ht="14.4" customHeight="1" x14ac:dyDescent="0.3">
      <c r="A29" s="634" t="s">
        <v>2287</v>
      </c>
      <c r="B29" s="635" t="s">
        <v>2288</v>
      </c>
      <c r="C29" s="635" t="s">
        <v>1819</v>
      </c>
      <c r="D29" s="635" t="s">
        <v>2291</v>
      </c>
      <c r="E29" s="635" t="s">
        <v>2292</v>
      </c>
      <c r="F29" s="638">
        <v>36</v>
      </c>
      <c r="G29" s="638">
        <v>1944</v>
      </c>
      <c r="H29" s="638">
        <v>1</v>
      </c>
      <c r="I29" s="638">
        <v>54</v>
      </c>
      <c r="J29" s="638">
        <v>34</v>
      </c>
      <c r="K29" s="638">
        <v>1836</v>
      </c>
      <c r="L29" s="638">
        <v>0.94444444444444442</v>
      </c>
      <c r="M29" s="638">
        <v>54</v>
      </c>
      <c r="N29" s="638">
        <v>66</v>
      </c>
      <c r="O29" s="638">
        <v>3564</v>
      </c>
      <c r="P29" s="660">
        <v>1.8333333333333333</v>
      </c>
      <c r="Q29" s="639">
        <v>54</v>
      </c>
    </row>
    <row r="30" spans="1:17" ht="14.4" customHeight="1" x14ac:dyDescent="0.3">
      <c r="A30" s="634" t="s">
        <v>2287</v>
      </c>
      <c r="B30" s="635" t="s">
        <v>2288</v>
      </c>
      <c r="C30" s="635" t="s">
        <v>1819</v>
      </c>
      <c r="D30" s="635" t="s">
        <v>2293</v>
      </c>
      <c r="E30" s="635" t="s">
        <v>2294</v>
      </c>
      <c r="F30" s="638">
        <v>175</v>
      </c>
      <c r="G30" s="638">
        <v>4200</v>
      </c>
      <c r="H30" s="638">
        <v>1</v>
      </c>
      <c r="I30" s="638">
        <v>24</v>
      </c>
      <c r="J30" s="638">
        <v>223</v>
      </c>
      <c r="K30" s="638">
        <v>5352</v>
      </c>
      <c r="L30" s="638">
        <v>1.2742857142857142</v>
      </c>
      <c r="M30" s="638">
        <v>24</v>
      </c>
      <c r="N30" s="638">
        <v>208</v>
      </c>
      <c r="O30" s="638">
        <v>4992</v>
      </c>
      <c r="P30" s="660">
        <v>1.1885714285714286</v>
      </c>
      <c r="Q30" s="639">
        <v>24</v>
      </c>
    </row>
    <row r="31" spans="1:17" ht="14.4" customHeight="1" x14ac:dyDescent="0.3">
      <c r="A31" s="634" t="s">
        <v>2287</v>
      </c>
      <c r="B31" s="635" t="s">
        <v>2288</v>
      </c>
      <c r="C31" s="635" t="s">
        <v>1819</v>
      </c>
      <c r="D31" s="635" t="s">
        <v>2295</v>
      </c>
      <c r="E31" s="635" t="s">
        <v>2296</v>
      </c>
      <c r="F31" s="638">
        <v>217</v>
      </c>
      <c r="G31" s="638">
        <v>5859</v>
      </c>
      <c r="H31" s="638">
        <v>1</v>
      </c>
      <c r="I31" s="638">
        <v>27</v>
      </c>
      <c r="J31" s="638">
        <v>309</v>
      </c>
      <c r="K31" s="638">
        <v>8343</v>
      </c>
      <c r="L31" s="638">
        <v>1.4239631336405529</v>
      </c>
      <c r="M31" s="638">
        <v>27</v>
      </c>
      <c r="N31" s="638">
        <v>257</v>
      </c>
      <c r="O31" s="638">
        <v>6939</v>
      </c>
      <c r="P31" s="660">
        <v>1.1843317972350231</v>
      </c>
      <c r="Q31" s="639">
        <v>27</v>
      </c>
    </row>
    <row r="32" spans="1:17" ht="14.4" customHeight="1" x14ac:dyDescent="0.3">
      <c r="A32" s="634" t="s">
        <v>2287</v>
      </c>
      <c r="B32" s="635" t="s">
        <v>2288</v>
      </c>
      <c r="C32" s="635" t="s">
        <v>1819</v>
      </c>
      <c r="D32" s="635" t="s">
        <v>2297</v>
      </c>
      <c r="E32" s="635" t="s">
        <v>2298</v>
      </c>
      <c r="F32" s="638">
        <v>158</v>
      </c>
      <c r="G32" s="638">
        <v>8848</v>
      </c>
      <c r="H32" s="638">
        <v>1</v>
      </c>
      <c r="I32" s="638">
        <v>56</v>
      </c>
      <c r="J32" s="638">
        <v>62</v>
      </c>
      <c r="K32" s="638">
        <v>3472</v>
      </c>
      <c r="L32" s="638">
        <v>0.39240506329113922</v>
      </c>
      <c r="M32" s="638">
        <v>56</v>
      </c>
      <c r="N32" s="638">
        <v>81</v>
      </c>
      <c r="O32" s="638">
        <v>4536</v>
      </c>
      <c r="P32" s="660">
        <v>0.51265822784810122</v>
      </c>
      <c r="Q32" s="639">
        <v>56</v>
      </c>
    </row>
    <row r="33" spans="1:17" ht="14.4" customHeight="1" x14ac:dyDescent="0.3">
      <c r="A33" s="634" t="s">
        <v>2287</v>
      </c>
      <c r="B33" s="635" t="s">
        <v>2288</v>
      </c>
      <c r="C33" s="635" t="s">
        <v>1819</v>
      </c>
      <c r="D33" s="635" t="s">
        <v>2299</v>
      </c>
      <c r="E33" s="635" t="s">
        <v>2300</v>
      </c>
      <c r="F33" s="638">
        <v>38</v>
      </c>
      <c r="G33" s="638">
        <v>1026</v>
      </c>
      <c r="H33" s="638">
        <v>1</v>
      </c>
      <c r="I33" s="638">
        <v>27</v>
      </c>
      <c r="J33" s="638">
        <v>40</v>
      </c>
      <c r="K33" s="638">
        <v>1080</v>
      </c>
      <c r="L33" s="638">
        <v>1.0526315789473684</v>
      </c>
      <c r="M33" s="638">
        <v>27</v>
      </c>
      <c r="N33" s="638">
        <v>54</v>
      </c>
      <c r="O33" s="638">
        <v>1458</v>
      </c>
      <c r="P33" s="660">
        <v>1.4210526315789473</v>
      </c>
      <c r="Q33" s="639">
        <v>27</v>
      </c>
    </row>
    <row r="34" spans="1:17" ht="14.4" customHeight="1" x14ac:dyDescent="0.3">
      <c r="A34" s="634" t="s">
        <v>2287</v>
      </c>
      <c r="B34" s="635" t="s">
        <v>2288</v>
      </c>
      <c r="C34" s="635" t="s">
        <v>1819</v>
      </c>
      <c r="D34" s="635" t="s">
        <v>2301</v>
      </c>
      <c r="E34" s="635" t="s">
        <v>2302</v>
      </c>
      <c r="F34" s="638">
        <v>242</v>
      </c>
      <c r="G34" s="638">
        <v>5324</v>
      </c>
      <c r="H34" s="638">
        <v>1</v>
      </c>
      <c r="I34" s="638">
        <v>22</v>
      </c>
      <c r="J34" s="638">
        <v>338</v>
      </c>
      <c r="K34" s="638">
        <v>7436</v>
      </c>
      <c r="L34" s="638">
        <v>1.3966942148760331</v>
      </c>
      <c r="M34" s="638">
        <v>22</v>
      </c>
      <c r="N34" s="638">
        <v>336</v>
      </c>
      <c r="O34" s="638">
        <v>7392</v>
      </c>
      <c r="P34" s="660">
        <v>1.3884297520661157</v>
      </c>
      <c r="Q34" s="639">
        <v>22</v>
      </c>
    </row>
    <row r="35" spans="1:17" ht="14.4" customHeight="1" x14ac:dyDescent="0.3">
      <c r="A35" s="634" t="s">
        <v>2287</v>
      </c>
      <c r="B35" s="635" t="s">
        <v>2288</v>
      </c>
      <c r="C35" s="635" t="s">
        <v>1819</v>
      </c>
      <c r="D35" s="635" t="s">
        <v>2303</v>
      </c>
      <c r="E35" s="635" t="s">
        <v>2304</v>
      </c>
      <c r="F35" s="638">
        <v>4</v>
      </c>
      <c r="G35" s="638">
        <v>272</v>
      </c>
      <c r="H35" s="638">
        <v>1</v>
      </c>
      <c r="I35" s="638">
        <v>68</v>
      </c>
      <c r="J35" s="638"/>
      <c r="K35" s="638"/>
      <c r="L35" s="638"/>
      <c r="M35" s="638"/>
      <c r="N35" s="638">
        <v>3</v>
      </c>
      <c r="O35" s="638">
        <v>204</v>
      </c>
      <c r="P35" s="660">
        <v>0.75</v>
      </c>
      <c r="Q35" s="639">
        <v>68</v>
      </c>
    </row>
    <row r="36" spans="1:17" ht="14.4" customHeight="1" x14ac:dyDescent="0.3">
      <c r="A36" s="634" t="s">
        <v>2287</v>
      </c>
      <c r="B36" s="635" t="s">
        <v>2288</v>
      </c>
      <c r="C36" s="635" t="s">
        <v>1819</v>
      </c>
      <c r="D36" s="635" t="s">
        <v>2305</v>
      </c>
      <c r="E36" s="635" t="s">
        <v>2306</v>
      </c>
      <c r="F36" s="638">
        <v>1</v>
      </c>
      <c r="G36" s="638">
        <v>62</v>
      </c>
      <c r="H36" s="638">
        <v>1</v>
      </c>
      <c r="I36" s="638">
        <v>62</v>
      </c>
      <c r="J36" s="638">
        <v>1</v>
      </c>
      <c r="K36" s="638">
        <v>62</v>
      </c>
      <c r="L36" s="638">
        <v>1</v>
      </c>
      <c r="M36" s="638">
        <v>62</v>
      </c>
      <c r="N36" s="638">
        <v>2</v>
      </c>
      <c r="O36" s="638">
        <v>124</v>
      </c>
      <c r="P36" s="660">
        <v>2</v>
      </c>
      <c r="Q36" s="639">
        <v>62</v>
      </c>
    </row>
    <row r="37" spans="1:17" ht="14.4" customHeight="1" x14ac:dyDescent="0.3">
      <c r="A37" s="634" t="s">
        <v>2287</v>
      </c>
      <c r="B37" s="635" t="s">
        <v>2288</v>
      </c>
      <c r="C37" s="635" t="s">
        <v>1819</v>
      </c>
      <c r="D37" s="635" t="s">
        <v>2307</v>
      </c>
      <c r="E37" s="635" t="s">
        <v>2308</v>
      </c>
      <c r="F37" s="638">
        <v>354</v>
      </c>
      <c r="G37" s="638">
        <v>21594</v>
      </c>
      <c r="H37" s="638">
        <v>1</v>
      </c>
      <c r="I37" s="638">
        <v>61</v>
      </c>
      <c r="J37" s="638">
        <v>402</v>
      </c>
      <c r="K37" s="638">
        <v>24522</v>
      </c>
      <c r="L37" s="638">
        <v>1.1355932203389831</v>
      </c>
      <c r="M37" s="638">
        <v>61</v>
      </c>
      <c r="N37" s="638">
        <v>501</v>
      </c>
      <c r="O37" s="638">
        <v>30561</v>
      </c>
      <c r="P37" s="660">
        <v>1.4152542372881356</v>
      </c>
      <c r="Q37" s="639">
        <v>61</v>
      </c>
    </row>
    <row r="38" spans="1:17" ht="14.4" customHeight="1" x14ac:dyDescent="0.3">
      <c r="A38" s="634" t="s">
        <v>2287</v>
      </c>
      <c r="B38" s="635" t="s">
        <v>2288</v>
      </c>
      <c r="C38" s="635" t="s">
        <v>1819</v>
      </c>
      <c r="D38" s="635" t="s">
        <v>2309</v>
      </c>
      <c r="E38" s="635" t="s">
        <v>2310</v>
      </c>
      <c r="F38" s="638"/>
      <c r="G38" s="638"/>
      <c r="H38" s="638"/>
      <c r="I38" s="638"/>
      <c r="J38" s="638"/>
      <c r="K38" s="638"/>
      <c r="L38" s="638"/>
      <c r="M38" s="638"/>
      <c r="N38" s="638">
        <v>8</v>
      </c>
      <c r="O38" s="638">
        <v>648</v>
      </c>
      <c r="P38" s="660"/>
      <c r="Q38" s="639">
        <v>81</v>
      </c>
    </row>
    <row r="39" spans="1:17" ht="14.4" customHeight="1" x14ac:dyDescent="0.3">
      <c r="A39" s="634" t="s">
        <v>2287</v>
      </c>
      <c r="B39" s="635" t="s">
        <v>2288</v>
      </c>
      <c r="C39" s="635" t="s">
        <v>1819</v>
      </c>
      <c r="D39" s="635" t="s">
        <v>2311</v>
      </c>
      <c r="E39" s="635" t="s">
        <v>2312</v>
      </c>
      <c r="F39" s="638">
        <v>16</v>
      </c>
      <c r="G39" s="638">
        <v>15792</v>
      </c>
      <c r="H39" s="638">
        <v>1</v>
      </c>
      <c r="I39" s="638">
        <v>987</v>
      </c>
      <c r="J39" s="638">
        <v>20</v>
      </c>
      <c r="K39" s="638">
        <v>19740</v>
      </c>
      <c r="L39" s="638">
        <v>1.25</v>
      </c>
      <c r="M39" s="638">
        <v>987</v>
      </c>
      <c r="N39" s="638">
        <v>29</v>
      </c>
      <c r="O39" s="638">
        <v>28623</v>
      </c>
      <c r="P39" s="660">
        <v>1.8125</v>
      </c>
      <c r="Q39" s="639">
        <v>987</v>
      </c>
    </row>
    <row r="40" spans="1:17" ht="14.4" customHeight="1" x14ac:dyDescent="0.3">
      <c r="A40" s="634" t="s">
        <v>2287</v>
      </c>
      <c r="B40" s="635" t="s">
        <v>2288</v>
      </c>
      <c r="C40" s="635" t="s">
        <v>1819</v>
      </c>
      <c r="D40" s="635" t="s">
        <v>2313</v>
      </c>
      <c r="E40" s="635" t="s">
        <v>2314</v>
      </c>
      <c r="F40" s="638"/>
      <c r="G40" s="638"/>
      <c r="H40" s="638"/>
      <c r="I40" s="638"/>
      <c r="J40" s="638">
        <v>1</v>
      </c>
      <c r="K40" s="638">
        <v>82</v>
      </c>
      <c r="L40" s="638"/>
      <c r="M40" s="638">
        <v>82</v>
      </c>
      <c r="N40" s="638">
        <v>2</v>
      </c>
      <c r="O40" s="638">
        <v>164</v>
      </c>
      <c r="P40" s="660"/>
      <c r="Q40" s="639">
        <v>82</v>
      </c>
    </row>
    <row r="41" spans="1:17" ht="14.4" customHeight="1" x14ac:dyDescent="0.3">
      <c r="A41" s="634" t="s">
        <v>2287</v>
      </c>
      <c r="B41" s="635" t="s">
        <v>2288</v>
      </c>
      <c r="C41" s="635" t="s">
        <v>1819</v>
      </c>
      <c r="D41" s="635" t="s">
        <v>2315</v>
      </c>
      <c r="E41" s="635" t="s">
        <v>2316</v>
      </c>
      <c r="F41" s="638">
        <v>1</v>
      </c>
      <c r="G41" s="638">
        <v>63</v>
      </c>
      <c r="H41" s="638">
        <v>1</v>
      </c>
      <c r="I41" s="638">
        <v>63</v>
      </c>
      <c r="J41" s="638">
        <v>5</v>
      </c>
      <c r="K41" s="638">
        <v>315</v>
      </c>
      <c r="L41" s="638">
        <v>5</v>
      </c>
      <c r="M41" s="638">
        <v>63</v>
      </c>
      <c r="N41" s="638">
        <v>1</v>
      </c>
      <c r="O41" s="638">
        <v>63</v>
      </c>
      <c r="P41" s="660">
        <v>1</v>
      </c>
      <c r="Q41" s="639">
        <v>63</v>
      </c>
    </row>
    <row r="42" spans="1:17" ht="14.4" customHeight="1" x14ac:dyDescent="0.3">
      <c r="A42" s="634" t="s">
        <v>2287</v>
      </c>
      <c r="B42" s="635" t="s">
        <v>2288</v>
      </c>
      <c r="C42" s="635" t="s">
        <v>1819</v>
      </c>
      <c r="D42" s="635" t="s">
        <v>2317</v>
      </c>
      <c r="E42" s="635" t="s">
        <v>2318</v>
      </c>
      <c r="F42" s="638">
        <v>92</v>
      </c>
      <c r="G42" s="638">
        <v>1564</v>
      </c>
      <c r="H42" s="638">
        <v>1</v>
      </c>
      <c r="I42" s="638">
        <v>17</v>
      </c>
      <c r="J42" s="638">
        <v>98</v>
      </c>
      <c r="K42" s="638">
        <v>1666</v>
      </c>
      <c r="L42" s="638">
        <v>1.0652173913043479</v>
      </c>
      <c r="M42" s="638">
        <v>17</v>
      </c>
      <c r="N42" s="638">
        <v>114</v>
      </c>
      <c r="O42" s="638">
        <v>1938</v>
      </c>
      <c r="P42" s="660">
        <v>1.2391304347826086</v>
      </c>
      <c r="Q42" s="639">
        <v>17</v>
      </c>
    </row>
    <row r="43" spans="1:17" ht="14.4" customHeight="1" x14ac:dyDescent="0.3">
      <c r="A43" s="634" t="s">
        <v>2287</v>
      </c>
      <c r="B43" s="635" t="s">
        <v>2288</v>
      </c>
      <c r="C43" s="635" t="s">
        <v>1819</v>
      </c>
      <c r="D43" s="635" t="s">
        <v>2319</v>
      </c>
      <c r="E43" s="635" t="s">
        <v>2320</v>
      </c>
      <c r="F43" s="638"/>
      <c r="G43" s="638"/>
      <c r="H43" s="638"/>
      <c r="I43" s="638"/>
      <c r="J43" s="638">
        <v>1</v>
      </c>
      <c r="K43" s="638">
        <v>47</v>
      </c>
      <c r="L43" s="638"/>
      <c r="M43" s="638">
        <v>47</v>
      </c>
      <c r="N43" s="638">
        <v>1</v>
      </c>
      <c r="O43" s="638">
        <v>47</v>
      </c>
      <c r="P43" s="660"/>
      <c r="Q43" s="639">
        <v>47</v>
      </c>
    </row>
    <row r="44" spans="1:17" ht="14.4" customHeight="1" x14ac:dyDescent="0.3">
      <c r="A44" s="634" t="s">
        <v>2287</v>
      </c>
      <c r="B44" s="635" t="s">
        <v>2288</v>
      </c>
      <c r="C44" s="635" t="s">
        <v>1819</v>
      </c>
      <c r="D44" s="635" t="s">
        <v>2321</v>
      </c>
      <c r="E44" s="635" t="s">
        <v>2322</v>
      </c>
      <c r="F44" s="638"/>
      <c r="G44" s="638"/>
      <c r="H44" s="638"/>
      <c r="I44" s="638"/>
      <c r="J44" s="638">
        <v>1</v>
      </c>
      <c r="K44" s="638">
        <v>60</v>
      </c>
      <c r="L44" s="638"/>
      <c r="M44" s="638">
        <v>60</v>
      </c>
      <c r="N44" s="638">
        <v>1</v>
      </c>
      <c r="O44" s="638">
        <v>60</v>
      </c>
      <c r="P44" s="660"/>
      <c r="Q44" s="639">
        <v>60</v>
      </c>
    </row>
    <row r="45" spans="1:17" ht="14.4" customHeight="1" x14ac:dyDescent="0.3">
      <c r="A45" s="634" t="s">
        <v>2287</v>
      </c>
      <c r="B45" s="635" t="s">
        <v>2288</v>
      </c>
      <c r="C45" s="635" t="s">
        <v>1819</v>
      </c>
      <c r="D45" s="635" t="s">
        <v>2323</v>
      </c>
      <c r="E45" s="635" t="s">
        <v>2324</v>
      </c>
      <c r="F45" s="638"/>
      <c r="G45" s="638"/>
      <c r="H45" s="638"/>
      <c r="I45" s="638"/>
      <c r="J45" s="638"/>
      <c r="K45" s="638"/>
      <c r="L45" s="638"/>
      <c r="M45" s="638"/>
      <c r="N45" s="638">
        <v>1</v>
      </c>
      <c r="O45" s="638">
        <v>96</v>
      </c>
      <c r="P45" s="660"/>
      <c r="Q45" s="639">
        <v>96</v>
      </c>
    </row>
    <row r="46" spans="1:17" ht="14.4" customHeight="1" x14ac:dyDescent="0.3">
      <c r="A46" s="634" t="s">
        <v>2287</v>
      </c>
      <c r="B46" s="635" t="s">
        <v>2288</v>
      </c>
      <c r="C46" s="635" t="s">
        <v>1819</v>
      </c>
      <c r="D46" s="635" t="s">
        <v>2325</v>
      </c>
      <c r="E46" s="635" t="s">
        <v>2326</v>
      </c>
      <c r="F46" s="638"/>
      <c r="G46" s="638"/>
      <c r="H46" s="638"/>
      <c r="I46" s="638"/>
      <c r="J46" s="638"/>
      <c r="K46" s="638"/>
      <c r="L46" s="638"/>
      <c r="M46" s="638"/>
      <c r="N46" s="638">
        <v>1</v>
      </c>
      <c r="O46" s="638">
        <v>60</v>
      </c>
      <c r="P46" s="660"/>
      <c r="Q46" s="639">
        <v>60</v>
      </c>
    </row>
    <row r="47" spans="1:17" ht="14.4" customHeight="1" x14ac:dyDescent="0.3">
      <c r="A47" s="634" t="s">
        <v>2287</v>
      </c>
      <c r="B47" s="635" t="s">
        <v>2288</v>
      </c>
      <c r="C47" s="635" t="s">
        <v>1819</v>
      </c>
      <c r="D47" s="635" t="s">
        <v>2327</v>
      </c>
      <c r="E47" s="635" t="s">
        <v>2328</v>
      </c>
      <c r="F47" s="638">
        <v>1</v>
      </c>
      <c r="G47" s="638">
        <v>850</v>
      </c>
      <c r="H47" s="638">
        <v>1</v>
      </c>
      <c r="I47" s="638">
        <v>850</v>
      </c>
      <c r="J47" s="638">
        <v>6</v>
      </c>
      <c r="K47" s="638">
        <v>5106</v>
      </c>
      <c r="L47" s="638">
        <v>6.0070588235294116</v>
      </c>
      <c r="M47" s="638">
        <v>851</v>
      </c>
      <c r="N47" s="638">
        <v>7</v>
      </c>
      <c r="O47" s="638">
        <v>5957</v>
      </c>
      <c r="P47" s="660">
        <v>7.0082352941176467</v>
      </c>
      <c r="Q47" s="639">
        <v>851</v>
      </c>
    </row>
    <row r="48" spans="1:17" ht="14.4" customHeight="1" x14ac:dyDescent="0.3">
      <c r="A48" s="634" t="s">
        <v>2287</v>
      </c>
      <c r="B48" s="635" t="s">
        <v>2288</v>
      </c>
      <c r="C48" s="635" t="s">
        <v>1819</v>
      </c>
      <c r="D48" s="635" t="s">
        <v>2329</v>
      </c>
      <c r="E48" s="635" t="s">
        <v>2330</v>
      </c>
      <c r="F48" s="638"/>
      <c r="G48" s="638"/>
      <c r="H48" s="638"/>
      <c r="I48" s="638"/>
      <c r="J48" s="638">
        <v>2</v>
      </c>
      <c r="K48" s="638">
        <v>332</v>
      </c>
      <c r="L48" s="638"/>
      <c r="M48" s="638">
        <v>166</v>
      </c>
      <c r="N48" s="638"/>
      <c r="O48" s="638"/>
      <c r="P48" s="660"/>
      <c r="Q48" s="639"/>
    </row>
    <row r="49" spans="1:17" ht="14.4" customHeight="1" x14ac:dyDescent="0.3">
      <c r="A49" s="634" t="s">
        <v>2287</v>
      </c>
      <c r="B49" s="635" t="s">
        <v>2288</v>
      </c>
      <c r="C49" s="635" t="s">
        <v>1819</v>
      </c>
      <c r="D49" s="635" t="s">
        <v>2331</v>
      </c>
      <c r="E49" s="635" t="s">
        <v>2332</v>
      </c>
      <c r="F49" s="638"/>
      <c r="G49" s="638"/>
      <c r="H49" s="638"/>
      <c r="I49" s="638"/>
      <c r="J49" s="638"/>
      <c r="K49" s="638"/>
      <c r="L49" s="638"/>
      <c r="M49" s="638"/>
      <c r="N49" s="638">
        <v>1</v>
      </c>
      <c r="O49" s="638">
        <v>165</v>
      </c>
      <c r="P49" s="660"/>
      <c r="Q49" s="639">
        <v>165</v>
      </c>
    </row>
    <row r="50" spans="1:17" ht="14.4" customHeight="1" x14ac:dyDescent="0.3">
      <c r="A50" s="634" t="s">
        <v>2287</v>
      </c>
      <c r="B50" s="635" t="s">
        <v>2288</v>
      </c>
      <c r="C50" s="635" t="s">
        <v>1819</v>
      </c>
      <c r="D50" s="635" t="s">
        <v>2333</v>
      </c>
      <c r="E50" s="635" t="s">
        <v>2334</v>
      </c>
      <c r="F50" s="638"/>
      <c r="G50" s="638"/>
      <c r="H50" s="638"/>
      <c r="I50" s="638"/>
      <c r="J50" s="638"/>
      <c r="K50" s="638"/>
      <c r="L50" s="638"/>
      <c r="M50" s="638"/>
      <c r="N50" s="638">
        <v>1</v>
      </c>
      <c r="O50" s="638">
        <v>308</v>
      </c>
      <c r="P50" s="660"/>
      <c r="Q50" s="639">
        <v>308</v>
      </c>
    </row>
    <row r="51" spans="1:17" ht="14.4" customHeight="1" x14ac:dyDescent="0.3">
      <c r="A51" s="634" t="s">
        <v>2287</v>
      </c>
      <c r="B51" s="635" t="s">
        <v>2288</v>
      </c>
      <c r="C51" s="635" t="s">
        <v>1819</v>
      </c>
      <c r="D51" s="635" t="s">
        <v>2335</v>
      </c>
      <c r="E51" s="635" t="s">
        <v>2336</v>
      </c>
      <c r="F51" s="638"/>
      <c r="G51" s="638"/>
      <c r="H51" s="638"/>
      <c r="I51" s="638"/>
      <c r="J51" s="638"/>
      <c r="K51" s="638"/>
      <c r="L51" s="638"/>
      <c r="M51" s="638"/>
      <c r="N51" s="638">
        <v>1</v>
      </c>
      <c r="O51" s="638">
        <v>1210</v>
      </c>
      <c r="P51" s="660"/>
      <c r="Q51" s="639">
        <v>1210</v>
      </c>
    </row>
    <row r="52" spans="1:17" ht="14.4" customHeight="1" x14ac:dyDescent="0.3">
      <c r="A52" s="634" t="s">
        <v>2287</v>
      </c>
      <c r="B52" s="635" t="s">
        <v>2288</v>
      </c>
      <c r="C52" s="635" t="s">
        <v>1819</v>
      </c>
      <c r="D52" s="635" t="s">
        <v>2337</v>
      </c>
      <c r="E52" s="635" t="s">
        <v>2338</v>
      </c>
      <c r="F52" s="638">
        <v>3</v>
      </c>
      <c r="G52" s="638">
        <v>2346</v>
      </c>
      <c r="H52" s="638">
        <v>1</v>
      </c>
      <c r="I52" s="638">
        <v>782</v>
      </c>
      <c r="J52" s="638">
        <v>21</v>
      </c>
      <c r="K52" s="638">
        <v>16443</v>
      </c>
      <c r="L52" s="638">
        <v>7.0089514066496168</v>
      </c>
      <c r="M52" s="638">
        <v>783</v>
      </c>
      <c r="N52" s="638">
        <v>22</v>
      </c>
      <c r="O52" s="638">
        <v>17226</v>
      </c>
      <c r="P52" s="660">
        <v>7.3427109974424551</v>
      </c>
      <c r="Q52" s="639">
        <v>783</v>
      </c>
    </row>
    <row r="53" spans="1:17" ht="14.4" customHeight="1" x14ac:dyDescent="0.3">
      <c r="A53" s="634" t="s">
        <v>2287</v>
      </c>
      <c r="B53" s="635" t="s">
        <v>2288</v>
      </c>
      <c r="C53" s="635" t="s">
        <v>1819</v>
      </c>
      <c r="D53" s="635" t="s">
        <v>2339</v>
      </c>
      <c r="E53" s="635" t="s">
        <v>2340</v>
      </c>
      <c r="F53" s="638"/>
      <c r="G53" s="638"/>
      <c r="H53" s="638"/>
      <c r="I53" s="638"/>
      <c r="J53" s="638"/>
      <c r="K53" s="638"/>
      <c r="L53" s="638"/>
      <c r="M53" s="638"/>
      <c r="N53" s="638">
        <v>1</v>
      </c>
      <c r="O53" s="638">
        <v>362</v>
      </c>
      <c r="P53" s="660"/>
      <c r="Q53" s="639">
        <v>362</v>
      </c>
    </row>
    <row r="54" spans="1:17" ht="14.4" customHeight="1" x14ac:dyDescent="0.3">
      <c r="A54" s="634" t="s">
        <v>2287</v>
      </c>
      <c r="B54" s="635" t="s">
        <v>2288</v>
      </c>
      <c r="C54" s="635" t="s">
        <v>1819</v>
      </c>
      <c r="D54" s="635" t="s">
        <v>2341</v>
      </c>
      <c r="E54" s="635" t="s">
        <v>2342</v>
      </c>
      <c r="F54" s="638"/>
      <c r="G54" s="638"/>
      <c r="H54" s="638"/>
      <c r="I54" s="638"/>
      <c r="J54" s="638">
        <v>1</v>
      </c>
      <c r="K54" s="638">
        <v>88</v>
      </c>
      <c r="L54" s="638"/>
      <c r="M54" s="638">
        <v>88</v>
      </c>
      <c r="N54" s="638">
        <v>7</v>
      </c>
      <c r="O54" s="638">
        <v>616</v>
      </c>
      <c r="P54" s="660"/>
      <c r="Q54" s="639">
        <v>88</v>
      </c>
    </row>
    <row r="55" spans="1:17" ht="14.4" customHeight="1" x14ac:dyDescent="0.3">
      <c r="A55" s="634" t="s">
        <v>2287</v>
      </c>
      <c r="B55" s="635" t="s">
        <v>2288</v>
      </c>
      <c r="C55" s="635" t="s">
        <v>1819</v>
      </c>
      <c r="D55" s="635" t="s">
        <v>2343</v>
      </c>
      <c r="E55" s="635" t="s">
        <v>2344</v>
      </c>
      <c r="F55" s="638">
        <v>357</v>
      </c>
      <c r="G55" s="638">
        <v>10353</v>
      </c>
      <c r="H55" s="638">
        <v>1</v>
      </c>
      <c r="I55" s="638">
        <v>29</v>
      </c>
      <c r="J55" s="638">
        <v>389</v>
      </c>
      <c r="K55" s="638">
        <v>11281</v>
      </c>
      <c r="L55" s="638">
        <v>1.0896358543417366</v>
      </c>
      <c r="M55" s="638">
        <v>29</v>
      </c>
      <c r="N55" s="638">
        <v>388</v>
      </c>
      <c r="O55" s="638">
        <v>11252</v>
      </c>
      <c r="P55" s="660">
        <v>1.0868347338935573</v>
      </c>
      <c r="Q55" s="639">
        <v>29</v>
      </c>
    </row>
    <row r="56" spans="1:17" ht="14.4" customHeight="1" x14ac:dyDescent="0.3">
      <c r="A56" s="634" t="s">
        <v>2287</v>
      </c>
      <c r="B56" s="635" t="s">
        <v>2288</v>
      </c>
      <c r="C56" s="635" t="s">
        <v>1819</v>
      </c>
      <c r="D56" s="635" t="s">
        <v>2345</v>
      </c>
      <c r="E56" s="635" t="s">
        <v>2346</v>
      </c>
      <c r="F56" s="638"/>
      <c r="G56" s="638"/>
      <c r="H56" s="638"/>
      <c r="I56" s="638"/>
      <c r="J56" s="638">
        <v>1</v>
      </c>
      <c r="K56" s="638">
        <v>50</v>
      </c>
      <c r="L56" s="638"/>
      <c r="M56" s="638">
        <v>50</v>
      </c>
      <c r="N56" s="638">
        <v>1</v>
      </c>
      <c r="O56" s="638">
        <v>50</v>
      </c>
      <c r="P56" s="660"/>
      <c r="Q56" s="639">
        <v>50</v>
      </c>
    </row>
    <row r="57" spans="1:17" ht="14.4" customHeight="1" x14ac:dyDescent="0.3">
      <c r="A57" s="634" t="s">
        <v>2287</v>
      </c>
      <c r="B57" s="635" t="s">
        <v>2288</v>
      </c>
      <c r="C57" s="635" t="s">
        <v>1819</v>
      </c>
      <c r="D57" s="635" t="s">
        <v>2347</v>
      </c>
      <c r="E57" s="635" t="s">
        <v>2348</v>
      </c>
      <c r="F57" s="638">
        <v>71</v>
      </c>
      <c r="G57" s="638">
        <v>852</v>
      </c>
      <c r="H57" s="638">
        <v>1</v>
      </c>
      <c r="I57" s="638">
        <v>12</v>
      </c>
      <c r="J57" s="638">
        <v>75</v>
      </c>
      <c r="K57" s="638">
        <v>900</v>
      </c>
      <c r="L57" s="638">
        <v>1.056338028169014</v>
      </c>
      <c r="M57" s="638">
        <v>12</v>
      </c>
      <c r="N57" s="638">
        <v>73</v>
      </c>
      <c r="O57" s="638">
        <v>876</v>
      </c>
      <c r="P57" s="660">
        <v>1.028169014084507</v>
      </c>
      <c r="Q57" s="639">
        <v>12</v>
      </c>
    </row>
    <row r="58" spans="1:17" ht="14.4" customHeight="1" x14ac:dyDescent="0.3">
      <c r="A58" s="634" t="s">
        <v>2287</v>
      </c>
      <c r="B58" s="635" t="s">
        <v>2288</v>
      </c>
      <c r="C58" s="635" t="s">
        <v>1819</v>
      </c>
      <c r="D58" s="635" t="s">
        <v>2349</v>
      </c>
      <c r="E58" s="635" t="s">
        <v>2350</v>
      </c>
      <c r="F58" s="638">
        <v>1</v>
      </c>
      <c r="G58" s="638">
        <v>180</v>
      </c>
      <c r="H58" s="638">
        <v>1</v>
      </c>
      <c r="I58" s="638">
        <v>180</v>
      </c>
      <c r="J58" s="638"/>
      <c r="K58" s="638"/>
      <c r="L58" s="638"/>
      <c r="M58" s="638"/>
      <c r="N58" s="638">
        <v>1</v>
      </c>
      <c r="O58" s="638">
        <v>181</v>
      </c>
      <c r="P58" s="660">
        <v>1.0055555555555555</v>
      </c>
      <c r="Q58" s="639">
        <v>181</v>
      </c>
    </row>
    <row r="59" spans="1:17" ht="14.4" customHeight="1" x14ac:dyDescent="0.3">
      <c r="A59" s="634" t="s">
        <v>2287</v>
      </c>
      <c r="B59" s="635" t="s">
        <v>2288</v>
      </c>
      <c r="C59" s="635" t="s">
        <v>1819</v>
      </c>
      <c r="D59" s="635" t="s">
        <v>2351</v>
      </c>
      <c r="E59" s="635" t="s">
        <v>2352</v>
      </c>
      <c r="F59" s="638">
        <v>367</v>
      </c>
      <c r="G59" s="638">
        <v>26057</v>
      </c>
      <c r="H59" s="638">
        <v>1</v>
      </c>
      <c r="I59" s="638">
        <v>71</v>
      </c>
      <c r="J59" s="638">
        <v>613</v>
      </c>
      <c r="K59" s="638">
        <v>43523</v>
      </c>
      <c r="L59" s="638">
        <v>1.6702997275204359</v>
      </c>
      <c r="M59" s="638">
        <v>71</v>
      </c>
      <c r="N59" s="638">
        <v>598</v>
      </c>
      <c r="O59" s="638">
        <v>42458</v>
      </c>
      <c r="P59" s="660">
        <v>1.6294277929155314</v>
      </c>
      <c r="Q59" s="639">
        <v>71</v>
      </c>
    </row>
    <row r="60" spans="1:17" ht="14.4" customHeight="1" x14ac:dyDescent="0.3">
      <c r="A60" s="634" t="s">
        <v>2287</v>
      </c>
      <c r="B60" s="635" t="s">
        <v>2288</v>
      </c>
      <c r="C60" s="635" t="s">
        <v>1819</v>
      </c>
      <c r="D60" s="635" t="s">
        <v>2353</v>
      </c>
      <c r="E60" s="635" t="s">
        <v>2354</v>
      </c>
      <c r="F60" s="638">
        <v>196</v>
      </c>
      <c r="G60" s="638">
        <v>28812</v>
      </c>
      <c r="H60" s="638">
        <v>1</v>
      </c>
      <c r="I60" s="638">
        <v>147</v>
      </c>
      <c r="J60" s="638">
        <v>270</v>
      </c>
      <c r="K60" s="638">
        <v>39690</v>
      </c>
      <c r="L60" s="638">
        <v>1.3775510204081634</v>
      </c>
      <c r="M60" s="638">
        <v>147</v>
      </c>
      <c r="N60" s="638">
        <v>276</v>
      </c>
      <c r="O60" s="638">
        <v>40572</v>
      </c>
      <c r="P60" s="660">
        <v>1.4081632653061225</v>
      </c>
      <c r="Q60" s="639">
        <v>147</v>
      </c>
    </row>
    <row r="61" spans="1:17" ht="14.4" customHeight="1" x14ac:dyDescent="0.3">
      <c r="A61" s="634" t="s">
        <v>2287</v>
      </c>
      <c r="B61" s="635" t="s">
        <v>2288</v>
      </c>
      <c r="C61" s="635" t="s">
        <v>1819</v>
      </c>
      <c r="D61" s="635" t="s">
        <v>2355</v>
      </c>
      <c r="E61" s="635" t="s">
        <v>2356</v>
      </c>
      <c r="F61" s="638">
        <v>609</v>
      </c>
      <c r="G61" s="638">
        <v>17661</v>
      </c>
      <c r="H61" s="638">
        <v>1</v>
      </c>
      <c r="I61" s="638">
        <v>29</v>
      </c>
      <c r="J61" s="638">
        <v>829</v>
      </c>
      <c r="K61" s="638">
        <v>24041</v>
      </c>
      <c r="L61" s="638">
        <v>1.361247947454844</v>
      </c>
      <c r="M61" s="638">
        <v>29</v>
      </c>
      <c r="N61" s="638">
        <v>773</v>
      </c>
      <c r="O61" s="638">
        <v>22417</v>
      </c>
      <c r="P61" s="660">
        <v>1.2692939244663382</v>
      </c>
      <c r="Q61" s="639">
        <v>29</v>
      </c>
    </row>
    <row r="62" spans="1:17" ht="14.4" customHeight="1" x14ac:dyDescent="0.3">
      <c r="A62" s="634" t="s">
        <v>2287</v>
      </c>
      <c r="B62" s="635" t="s">
        <v>2288</v>
      </c>
      <c r="C62" s="635" t="s">
        <v>1819</v>
      </c>
      <c r="D62" s="635" t="s">
        <v>2357</v>
      </c>
      <c r="E62" s="635" t="s">
        <v>2358</v>
      </c>
      <c r="F62" s="638">
        <v>39</v>
      </c>
      <c r="G62" s="638">
        <v>1209</v>
      </c>
      <c r="H62" s="638">
        <v>1</v>
      </c>
      <c r="I62" s="638">
        <v>31</v>
      </c>
      <c r="J62" s="638">
        <v>46</v>
      </c>
      <c r="K62" s="638">
        <v>1426</v>
      </c>
      <c r="L62" s="638">
        <v>1.1794871794871795</v>
      </c>
      <c r="M62" s="638">
        <v>31</v>
      </c>
      <c r="N62" s="638">
        <v>49</v>
      </c>
      <c r="O62" s="638">
        <v>1519</v>
      </c>
      <c r="P62" s="660">
        <v>1.2564102564102564</v>
      </c>
      <c r="Q62" s="639">
        <v>31</v>
      </c>
    </row>
    <row r="63" spans="1:17" ht="14.4" customHeight="1" x14ac:dyDescent="0.3">
      <c r="A63" s="634" t="s">
        <v>2287</v>
      </c>
      <c r="B63" s="635" t="s">
        <v>2288</v>
      </c>
      <c r="C63" s="635" t="s">
        <v>1819</v>
      </c>
      <c r="D63" s="635" t="s">
        <v>2359</v>
      </c>
      <c r="E63" s="635" t="s">
        <v>2360</v>
      </c>
      <c r="F63" s="638">
        <v>41</v>
      </c>
      <c r="G63" s="638">
        <v>1107</v>
      </c>
      <c r="H63" s="638">
        <v>1</v>
      </c>
      <c r="I63" s="638">
        <v>27</v>
      </c>
      <c r="J63" s="638">
        <v>40</v>
      </c>
      <c r="K63" s="638">
        <v>1080</v>
      </c>
      <c r="L63" s="638">
        <v>0.97560975609756095</v>
      </c>
      <c r="M63" s="638">
        <v>27</v>
      </c>
      <c r="N63" s="638">
        <v>58</v>
      </c>
      <c r="O63" s="638">
        <v>1566</v>
      </c>
      <c r="P63" s="660">
        <v>1.4146341463414633</v>
      </c>
      <c r="Q63" s="639">
        <v>27</v>
      </c>
    </row>
    <row r="64" spans="1:17" ht="14.4" customHeight="1" x14ac:dyDescent="0.3">
      <c r="A64" s="634" t="s">
        <v>2287</v>
      </c>
      <c r="B64" s="635" t="s">
        <v>2288</v>
      </c>
      <c r="C64" s="635" t="s">
        <v>1819</v>
      </c>
      <c r="D64" s="635" t="s">
        <v>2361</v>
      </c>
      <c r="E64" s="635" t="s">
        <v>2362</v>
      </c>
      <c r="F64" s="638">
        <v>1</v>
      </c>
      <c r="G64" s="638">
        <v>22</v>
      </c>
      <c r="H64" s="638">
        <v>1</v>
      </c>
      <c r="I64" s="638">
        <v>22</v>
      </c>
      <c r="J64" s="638">
        <v>1</v>
      </c>
      <c r="K64" s="638">
        <v>22</v>
      </c>
      <c r="L64" s="638">
        <v>1</v>
      </c>
      <c r="M64" s="638">
        <v>22</v>
      </c>
      <c r="N64" s="638">
        <v>1</v>
      </c>
      <c r="O64" s="638">
        <v>22</v>
      </c>
      <c r="P64" s="660">
        <v>1</v>
      </c>
      <c r="Q64" s="639">
        <v>22</v>
      </c>
    </row>
    <row r="65" spans="1:17" ht="14.4" customHeight="1" x14ac:dyDescent="0.3">
      <c r="A65" s="634" t="s">
        <v>2287</v>
      </c>
      <c r="B65" s="635" t="s">
        <v>2288</v>
      </c>
      <c r="C65" s="635" t="s">
        <v>1819</v>
      </c>
      <c r="D65" s="635" t="s">
        <v>2363</v>
      </c>
      <c r="E65" s="635" t="s">
        <v>2364</v>
      </c>
      <c r="F65" s="638">
        <v>220</v>
      </c>
      <c r="G65" s="638">
        <v>5500</v>
      </c>
      <c r="H65" s="638">
        <v>1</v>
      </c>
      <c r="I65" s="638">
        <v>25</v>
      </c>
      <c r="J65" s="638">
        <v>315</v>
      </c>
      <c r="K65" s="638">
        <v>7875</v>
      </c>
      <c r="L65" s="638">
        <v>1.4318181818181819</v>
      </c>
      <c r="M65" s="638">
        <v>25</v>
      </c>
      <c r="N65" s="638">
        <v>258</v>
      </c>
      <c r="O65" s="638">
        <v>6450</v>
      </c>
      <c r="P65" s="660">
        <v>1.1727272727272726</v>
      </c>
      <c r="Q65" s="639">
        <v>25</v>
      </c>
    </row>
    <row r="66" spans="1:17" ht="14.4" customHeight="1" x14ac:dyDescent="0.3">
      <c r="A66" s="634" t="s">
        <v>2287</v>
      </c>
      <c r="B66" s="635" t="s">
        <v>2288</v>
      </c>
      <c r="C66" s="635" t="s">
        <v>1819</v>
      </c>
      <c r="D66" s="635" t="s">
        <v>2365</v>
      </c>
      <c r="E66" s="635" t="s">
        <v>2366</v>
      </c>
      <c r="F66" s="638"/>
      <c r="G66" s="638"/>
      <c r="H66" s="638"/>
      <c r="I66" s="638"/>
      <c r="J66" s="638">
        <v>1</v>
      </c>
      <c r="K66" s="638">
        <v>33</v>
      </c>
      <c r="L66" s="638"/>
      <c r="M66" s="638">
        <v>33</v>
      </c>
      <c r="N66" s="638">
        <v>1</v>
      </c>
      <c r="O66" s="638">
        <v>33</v>
      </c>
      <c r="P66" s="660"/>
      <c r="Q66" s="639">
        <v>33</v>
      </c>
    </row>
    <row r="67" spans="1:17" ht="14.4" customHeight="1" x14ac:dyDescent="0.3">
      <c r="A67" s="634" t="s">
        <v>2287</v>
      </c>
      <c r="B67" s="635" t="s">
        <v>2288</v>
      </c>
      <c r="C67" s="635" t="s">
        <v>1819</v>
      </c>
      <c r="D67" s="635" t="s">
        <v>2367</v>
      </c>
      <c r="E67" s="635" t="s">
        <v>2368</v>
      </c>
      <c r="F67" s="638"/>
      <c r="G67" s="638"/>
      <c r="H67" s="638"/>
      <c r="I67" s="638"/>
      <c r="J67" s="638"/>
      <c r="K67" s="638"/>
      <c r="L67" s="638"/>
      <c r="M67" s="638"/>
      <c r="N67" s="638">
        <v>1</v>
      </c>
      <c r="O67" s="638">
        <v>30</v>
      </c>
      <c r="P67" s="660"/>
      <c r="Q67" s="639">
        <v>30</v>
      </c>
    </row>
    <row r="68" spans="1:17" ht="14.4" customHeight="1" x14ac:dyDescent="0.3">
      <c r="A68" s="634" t="s">
        <v>2287</v>
      </c>
      <c r="B68" s="635" t="s">
        <v>2288</v>
      </c>
      <c r="C68" s="635" t="s">
        <v>1819</v>
      </c>
      <c r="D68" s="635" t="s">
        <v>2369</v>
      </c>
      <c r="E68" s="635" t="s">
        <v>2370</v>
      </c>
      <c r="F68" s="638">
        <v>65</v>
      </c>
      <c r="G68" s="638">
        <v>1690</v>
      </c>
      <c r="H68" s="638">
        <v>1</v>
      </c>
      <c r="I68" s="638">
        <v>26</v>
      </c>
      <c r="J68" s="638">
        <v>71</v>
      </c>
      <c r="K68" s="638">
        <v>1846</v>
      </c>
      <c r="L68" s="638">
        <v>1.0923076923076922</v>
      </c>
      <c r="M68" s="638">
        <v>26</v>
      </c>
      <c r="N68" s="638">
        <v>64</v>
      </c>
      <c r="O68" s="638">
        <v>1664</v>
      </c>
      <c r="P68" s="660">
        <v>0.98461538461538467</v>
      </c>
      <c r="Q68" s="639">
        <v>26</v>
      </c>
    </row>
    <row r="69" spans="1:17" ht="14.4" customHeight="1" x14ac:dyDescent="0.3">
      <c r="A69" s="634" t="s">
        <v>2287</v>
      </c>
      <c r="B69" s="635" t="s">
        <v>2288</v>
      </c>
      <c r="C69" s="635" t="s">
        <v>1819</v>
      </c>
      <c r="D69" s="635" t="s">
        <v>2371</v>
      </c>
      <c r="E69" s="635" t="s">
        <v>2372</v>
      </c>
      <c r="F69" s="638">
        <v>25</v>
      </c>
      <c r="G69" s="638">
        <v>2100</v>
      </c>
      <c r="H69" s="638">
        <v>1</v>
      </c>
      <c r="I69" s="638">
        <v>84</v>
      </c>
      <c r="J69" s="638">
        <v>15</v>
      </c>
      <c r="K69" s="638">
        <v>1260</v>
      </c>
      <c r="L69" s="638">
        <v>0.6</v>
      </c>
      <c r="M69" s="638">
        <v>84</v>
      </c>
      <c r="N69" s="638">
        <v>20</v>
      </c>
      <c r="O69" s="638">
        <v>1680</v>
      </c>
      <c r="P69" s="660">
        <v>0.8</v>
      </c>
      <c r="Q69" s="639">
        <v>84</v>
      </c>
    </row>
    <row r="70" spans="1:17" ht="14.4" customHeight="1" x14ac:dyDescent="0.3">
      <c r="A70" s="634" t="s">
        <v>2287</v>
      </c>
      <c r="B70" s="635" t="s">
        <v>2288</v>
      </c>
      <c r="C70" s="635" t="s">
        <v>1819</v>
      </c>
      <c r="D70" s="635" t="s">
        <v>2373</v>
      </c>
      <c r="E70" s="635" t="s">
        <v>2374</v>
      </c>
      <c r="F70" s="638">
        <v>1</v>
      </c>
      <c r="G70" s="638">
        <v>173</v>
      </c>
      <c r="H70" s="638">
        <v>1</v>
      </c>
      <c r="I70" s="638">
        <v>173</v>
      </c>
      <c r="J70" s="638">
        <v>1</v>
      </c>
      <c r="K70" s="638">
        <v>174</v>
      </c>
      <c r="L70" s="638">
        <v>1.0057803468208093</v>
      </c>
      <c r="M70" s="638">
        <v>174</v>
      </c>
      <c r="N70" s="638">
        <v>1</v>
      </c>
      <c r="O70" s="638">
        <v>174</v>
      </c>
      <c r="P70" s="660">
        <v>1.0057803468208093</v>
      </c>
      <c r="Q70" s="639">
        <v>174</v>
      </c>
    </row>
    <row r="71" spans="1:17" ht="14.4" customHeight="1" x14ac:dyDescent="0.3">
      <c r="A71" s="634" t="s">
        <v>2287</v>
      </c>
      <c r="B71" s="635" t="s">
        <v>2288</v>
      </c>
      <c r="C71" s="635" t="s">
        <v>1819</v>
      </c>
      <c r="D71" s="635" t="s">
        <v>2375</v>
      </c>
      <c r="E71" s="635" t="s">
        <v>2376</v>
      </c>
      <c r="F71" s="638">
        <v>25</v>
      </c>
      <c r="G71" s="638">
        <v>375</v>
      </c>
      <c r="H71" s="638">
        <v>1</v>
      </c>
      <c r="I71" s="638">
        <v>15</v>
      </c>
      <c r="J71" s="638">
        <v>28</v>
      </c>
      <c r="K71" s="638">
        <v>420</v>
      </c>
      <c r="L71" s="638">
        <v>1.1200000000000001</v>
      </c>
      <c r="M71" s="638">
        <v>15</v>
      </c>
      <c r="N71" s="638">
        <v>29</v>
      </c>
      <c r="O71" s="638">
        <v>435</v>
      </c>
      <c r="P71" s="660">
        <v>1.1599999999999999</v>
      </c>
      <c r="Q71" s="639">
        <v>15</v>
      </c>
    </row>
    <row r="72" spans="1:17" ht="14.4" customHeight="1" x14ac:dyDescent="0.3">
      <c r="A72" s="634" t="s">
        <v>2287</v>
      </c>
      <c r="B72" s="635" t="s">
        <v>2288</v>
      </c>
      <c r="C72" s="635" t="s">
        <v>1819</v>
      </c>
      <c r="D72" s="635" t="s">
        <v>2377</v>
      </c>
      <c r="E72" s="635" t="s">
        <v>2378</v>
      </c>
      <c r="F72" s="638">
        <v>20</v>
      </c>
      <c r="G72" s="638">
        <v>460</v>
      </c>
      <c r="H72" s="638">
        <v>1</v>
      </c>
      <c r="I72" s="638">
        <v>23</v>
      </c>
      <c r="J72" s="638">
        <v>22</v>
      </c>
      <c r="K72" s="638">
        <v>506</v>
      </c>
      <c r="L72" s="638">
        <v>1.1000000000000001</v>
      </c>
      <c r="M72" s="638">
        <v>23</v>
      </c>
      <c r="N72" s="638">
        <v>18</v>
      </c>
      <c r="O72" s="638">
        <v>414</v>
      </c>
      <c r="P72" s="660">
        <v>0.9</v>
      </c>
      <c r="Q72" s="639">
        <v>23</v>
      </c>
    </row>
    <row r="73" spans="1:17" ht="14.4" customHeight="1" x14ac:dyDescent="0.3">
      <c r="A73" s="634" t="s">
        <v>2287</v>
      </c>
      <c r="B73" s="635" t="s">
        <v>2288</v>
      </c>
      <c r="C73" s="635" t="s">
        <v>1819</v>
      </c>
      <c r="D73" s="635" t="s">
        <v>2379</v>
      </c>
      <c r="E73" s="635" t="s">
        <v>2380</v>
      </c>
      <c r="F73" s="638">
        <v>27</v>
      </c>
      <c r="G73" s="638">
        <v>999</v>
      </c>
      <c r="H73" s="638">
        <v>1</v>
      </c>
      <c r="I73" s="638">
        <v>37</v>
      </c>
      <c r="J73" s="638">
        <v>63</v>
      </c>
      <c r="K73" s="638">
        <v>2331</v>
      </c>
      <c r="L73" s="638">
        <v>2.3333333333333335</v>
      </c>
      <c r="M73" s="638">
        <v>37</v>
      </c>
      <c r="N73" s="638">
        <v>70</v>
      </c>
      <c r="O73" s="638">
        <v>2590</v>
      </c>
      <c r="P73" s="660">
        <v>2.5925925925925926</v>
      </c>
      <c r="Q73" s="639">
        <v>37</v>
      </c>
    </row>
    <row r="74" spans="1:17" ht="14.4" customHeight="1" x14ac:dyDescent="0.3">
      <c r="A74" s="634" t="s">
        <v>2287</v>
      </c>
      <c r="B74" s="635" t="s">
        <v>2288</v>
      </c>
      <c r="C74" s="635" t="s">
        <v>1819</v>
      </c>
      <c r="D74" s="635" t="s">
        <v>2381</v>
      </c>
      <c r="E74" s="635" t="s">
        <v>2382</v>
      </c>
      <c r="F74" s="638">
        <v>102</v>
      </c>
      <c r="G74" s="638">
        <v>2346</v>
      </c>
      <c r="H74" s="638">
        <v>1</v>
      </c>
      <c r="I74" s="638">
        <v>23</v>
      </c>
      <c r="J74" s="638">
        <v>117</v>
      </c>
      <c r="K74" s="638">
        <v>2691</v>
      </c>
      <c r="L74" s="638">
        <v>1.1470588235294117</v>
      </c>
      <c r="M74" s="638">
        <v>23</v>
      </c>
      <c r="N74" s="638">
        <v>115</v>
      </c>
      <c r="O74" s="638">
        <v>2645</v>
      </c>
      <c r="P74" s="660">
        <v>1.1274509803921569</v>
      </c>
      <c r="Q74" s="639">
        <v>23</v>
      </c>
    </row>
    <row r="75" spans="1:17" ht="14.4" customHeight="1" x14ac:dyDescent="0.3">
      <c r="A75" s="634" t="s">
        <v>2287</v>
      </c>
      <c r="B75" s="635" t="s">
        <v>2288</v>
      </c>
      <c r="C75" s="635" t="s">
        <v>1819</v>
      </c>
      <c r="D75" s="635" t="s">
        <v>2383</v>
      </c>
      <c r="E75" s="635" t="s">
        <v>2384</v>
      </c>
      <c r="F75" s="638"/>
      <c r="G75" s="638"/>
      <c r="H75" s="638"/>
      <c r="I75" s="638"/>
      <c r="J75" s="638">
        <v>2</v>
      </c>
      <c r="K75" s="638">
        <v>338</v>
      </c>
      <c r="L75" s="638"/>
      <c r="M75" s="638">
        <v>169</v>
      </c>
      <c r="N75" s="638"/>
      <c r="O75" s="638"/>
      <c r="P75" s="660"/>
      <c r="Q75" s="639"/>
    </row>
    <row r="76" spans="1:17" ht="14.4" customHeight="1" x14ac:dyDescent="0.3">
      <c r="A76" s="634" t="s">
        <v>2287</v>
      </c>
      <c r="B76" s="635" t="s">
        <v>2288</v>
      </c>
      <c r="C76" s="635" t="s">
        <v>1819</v>
      </c>
      <c r="D76" s="635" t="s">
        <v>2385</v>
      </c>
      <c r="E76" s="635" t="s">
        <v>2386</v>
      </c>
      <c r="F76" s="638">
        <v>35</v>
      </c>
      <c r="G76" s="638">
        <v>1015</v>
      </c>
      <c r="H76" s="638">
        <v>1</v>
      </c>
      <c r="I76" s="638">
        <v>29</v>
      </c>
      <c r="J76" s="638">
        <v>58</v>
      </c>
      <c r="K76" s="638">
        <v>1682</v>
      </c>
      <c r="L76" s="638">
        <v>1.6571428571428573</v>
      </c>
      <c r="M76" s="638">
        <v>29</v>
      </c>
      <c r="N76" s="638">
        <v>25</v>
      </c>
      <c r="O76" s="638">
        <v>725</v>
      </c>
      <c r="P76" s="660">
        <v>0.7142857142857143</v>
      </c>
      <c r="Q76" s="639">
        <v>29</v>
      </c>
    </row>
    <row r="77" spans="1:17" ht="14.4" customHeight="1" x14ac:dyDescent="0.3">
      <c r="A77" s="634" t="s">
        <v>2287</v>
      </c>
      <c r="B77" s="635" t="s">
        <v>2288</v>
      </c>
      <c r="C77" s="635" t="s">
        <v>1819</v>
      </c>
      <c r="D77" s="635" t="s">
        <v>2387</v>
      </c>
      <c r="E77" s="635" t="s">
        <v>2388</v>
      </c>
      <c r="F77" s="638">
        <v>2</v>
      </c>
      <c r="G77" s="638">
        <v>352</v>
      </c>
      <c r="H77" s="638">
        <v>1</v>
      </c>
      <c r="I77" s="638">
        <v>176</v>
      </c>
      <c r="J77" s="638">
        <v>42</v>
      </c>
      <c r="K77" s="638">
        <v>7392</v>
      </c>
      <c r="L77" s="638">
        <v>21</v>
      </c>
      <c r="M77" s="638">
        <v>176</v>
      </c>
      <c r="N77" s="638">
        <v>111</v>
      </c>
      <c r="O77" s="638">
        <v>19536</v>
      </c>
      <c r="P77" s="660">
        <v>55.5</v>
      </c>
      <c r="Q77" s="639">
        <v>176</v>
      </c>
    </row>
    <row r="78" spans="1:17" ht="14.4" customHeight="1" x14ac:dyDescent="0.3">
      <c r="A78" s="634" t="s">
        <v>2287</v>
      </c>
      <c r="B78" s="635" t="s">
        <v>2288</v>
      </c>
      <c r="C78" s="635" t="s">
        <v>1819</v>
      </c>
      <c r="D78" s="635" t="s">
        <v>2389</v>
      </c>
      <c r="E78" s="635" t="s">
        <v>2390</v>
      </c>
      <c r="F78" s="638">
        <v>1</v>
      </c>
      <c r="G78" s="638">
        <v>15</v>
      </c>
      <c r="H78" s="638">
        <v>1</v>
      </c>
      <c r="I78" s="638">
        <v>15</v>
      </c>
      <c r="J78" s="638"/>
      <c r="K78" s="638"/>
      <c r="L78" s="638"/>
      <c r="M78" s="638"/>
      <c r="N78" s="638"/>
      <c r="O78" s="638"/>
      <c r="P78" s="660"/>
      <c r="Q78" s="639"/>
    </row>
    <row r="79" spans="1:17" ht="14.4" customHeight="1" x14ac:dyDescent="0.3">
      <c r="A79" s="634" t="s">
        <v>2287</v>
      </c>
      <c r="B79" s="635" t="s">
        <v>2288</v>
      </c>
      <c r="C79" s="635" t="s">
        <v>1819</v>
      </c>
      <c r="D79" s="635" t="s">
        <v>2391</v>
      </c>
      <c r="E79" s="635" t="s">
        <v>2392</v>
      </c>
      <c r="F79" s="638">
        <v>59</v>
      </c>
      <c r="G79" s="638">
        <v>1121</v>
      </c>
      <c r="H79" s="638">
        <v>1</v>
      </c>
      <c r="I79" s="638">
        <v>19</v>
      </c>
      <c r="J79" s="638">
        <v>66</v>
      </c>
      <c r="K79" s="638">
        <v>1254</v>
      </c>
      <c r="L79" s="638">
        <v>1.1186440677966101</v>
      </c>
      <c r="M79" s="638">
        <v>19</v>
      </c>
      <c r="N79" s="638">
        <v>60</v>
      </c>
      <c r="O79" s="638">
        <v>1140</v>
      </c>
      <c r="P79" s="660">
        <v>1.0169491525423728</v>
      </c>
      <c r="Q79" s="639">
        <v>19</v>
      </c>
    </row>
    <row r="80" spans="1:17" ht="14.4" customHeight="1" x14ac:dyDescent="0.3">
      <c r="A80" s="634" t="s">
        <v>2287</v>
      </c>
      <c r="B80" s="635" t="s">
        <v>2288</v>
      </c>
      <c r="C80" s="635" t="s">
        <v>1819</v>
      </c>
      <c r="D80" s="635" t="s">
        <v>2393</v>
      </c>
      <c r="E80" s="635" t="s">
        <v>2394</v>
      </c>
      <c r="F80" s="638">
        <v>159</v>
      </c>
      <c r="G80" s="638">
        <v>3180</v>
      </c>
      <c r="H80" s="638">
        <v>1</v>
      </c>
      <c r="I80" s="638">
        <v>20</v>
      </c>
      <c r="J80" s="638">
        <v>197</v>
      </c>
      <c r="K80" s="638">
        <v>3940</v>
      </c>
      <c r="L80" s="638">
        <v>1.2389937106918238</v>
      </c>
      <c r="M80" s="638">
        <v>20</v>
      </c>
      <c r="N80" s="638">
        <v>142</v>
      </c>
      <c r="O80" s="638">
        <v>2840</v>
      </c>
      <c r="P80" s="660">
        <v>0.89308176100628933</v>
      </c>
      <c r="Q80" s="639">
        <v>20</v>
      </c>
    </row>
    <row r="81" spans="1:17" ht="14.4" customHeight="1" x14ac:dyDescent="0.3">
      <c r="A81" s="634" t="s">
        <v>2287</v>
      </c>
      <c r="B81" s="635" t="s">
        <v>2288</v>
      </c>
      <c r="C81" s="635" t="s">
        <v>1819</v>
      </c>
      <c r="D81" s="635" t="s">
        <v>2395</v>
      </c>
      <c r="E81" s="635" t="s">
        <v>2396</v>
      </c>
      <c r="F81" s="638"/>
      <c r="G81" s="638"/>
      <c r="H81" s="638"/>
      <c r="I81" s="638"/>
      <c r="J81" s="638">
        <v>2</v>
      </c>
      <c r="K81" s="638">
        <v>344</v>
      </c>
      <c r="L81" s="638"/>
      <c r="M81" s="638">
        <v>172</v>
      </c>
      <c r="N81" s="638"/>
      <c r="O81" s="638"/>
      <c r="P81" s="660"/>
      <c r="Q81" s="639"/>
    </row>
    <row r="82" spans="1:17" ht="14.4" customHeight="1" x14ac:dyDescent="0.3">
      <c r="A82" s="634" t="s">
        <v>2287</v>
      </c>
      <c r="B82" s="635" t="s">
        <v>2288</v>
      </c>
      <c r="C82" s="635" t="s">
        <v>1819</v>
      </c>
      <c r="D82" s="635" t="s">
        <v>2397</v>
      </c>
      <c r="E82" s="635" t="s">
        <v>2398</v>
      </c>
      <c r="F82" s="638">
        <v>23</v>
      </c>
      <c r="G82" s="638">
        <v>1932</v>
      </c>
      <c r="H82" s="638">
        <v>1</v>
      </c>
      <c r="I82" s="638">
        <v>84</v>
      </c>
      <c r="J82" s="638">
        <v>31</v>
      </c>
      <c r="K82" s="638">
        <v>2604</v>
      </c>
      <c r="L82" s="638">
        <v>1.3478260869565217</v>
      </c>
      <c r="M82" s="638">
        <v>84</v>
      </c>
      <c r="N82" s="638">
        <v>28</v>
      </c>
      <c r="O82" s="638">
        <v>2352</v>
      </c>
      <c r="P82" s="660">
        <v>1.2173913043478262</v>
      </c>
      <c r="Q82" s="639">
        <v>84</v>
      </c>
    </row>
    <row r="83" spans="1:17" ht="14.4" customHeight="1" x14ac:dyDescent="0.3">
      <c r="A83" s="634" t="s">
        <v>2287</v>
      </c>
      <c r="B83" s="635" t="s">
        <v>2288</v>
      </c>
      <c r="C83" s="635" t="s">
        <v>1819</v>
      </c>
      <c r="D83" s="635" t="s">
        <v>2399</v>
      </c>
      <c r="E83" s="635" t="s">
        <v>2400</v>
      </c>
      <c r="F83" s="638"/>
      <c r="G83" s="638"/>
      <c r="H83" s="638"/>
      <c r="I83" s="638"/>
      <c r="J83" s="638">
        <v>1</v>
      </c>
      <c r="K83" s="638">
        <v>298</v>
      </c>
      <c r="L83" s="638"/>
      <c r="M83" s="638">
        <v>298</v>
      </c>
      <c r="N83" s="638"/>
      <c r="O83" s="638"/>
      <c r="P83" s="660"/>
      <c r="Q83" s="639"/>
    </row>
    <row r="84" spans="1:17" ht="14.4" customHeight="1" x14ac:dyDescent="0.3">
      <c r="A84" s="634" t="s">
        <v>2287</v>
      </c>
      <c r="B84" s="635" t="s">
        <v>2288</v>
      </c>
      <c r="C84" s="635" t="s">
        <v>1819</v>
      </c>
      <c r="D84" s="635" t="s">
        <v>2401</v>
      </c>
      <c r="E84" s="635" t="s">
        <v>2402</v>
      </c>
      <c r="F84" s="638">
        <v>20</v>
      </c>
      <c r="G84" s="638">
        <v>440</v>
      </c>
      <c r="H84" s="638">
        <v>1</v>
      </c>
      <c r="I84" s="638">
        <v>22</v>
      </c>
      <c r="J84" s="638">
        <v>16</v>
      </c>
      <c r="K84" s="638">
        <v>352</v>
      </c>
      <c r="L84" s="638">
        <v>0.8</v>
      </c>
      <c r="M84" s="638">
        <v>22</v>
      </c>
      <c r="N84" s="638">
        <v>14</v>
      </c>
      <c r="O84" s="638">
        <v>308</v>
      </c>
      <c r="P84" s="660">
        <v>0.7</v>
      </c>
      <c r="Q84" s="639">
        <v>22</v>
      </c>
    </row>
    <row r="85" spans="1:17" ht="14.4" customHeight="1" x14ac:dyDescent="0.3">
      <c r="A85" s="634" t="s">
        <v>2287</v>
      </c>
      <c r="B85" s="635" t="s">
        <v>2288</v>
      </c>
      <c r="C85" s="635" t="s">
        <v>1819</v>
      </c>
      <c r="D85" s="635" t="s">
        <v>2247</v>
      </c>
      <c r="E85" s="635" t="s">
        <v>2248</v>
      </c>
      <c r="F85" s="638"/>
      <c r="G85" s="638"/>
      <c r="H85" s="638"/>
      <c r="I85" s="638"/>
      <c r="J85" s="638">
        <v>1</v>
      </c>
      <c r="K85" s="638">
        <v>564</v>
      </c>
      <c r="L85" s="638"/>
      <c r="M85" s="638">
        <v>564</v>
      </c>
      <c r="N85" s="638"/>
      <c r="O85" s="638"/>
      <c r="P85" s="660"/>
      <c r="Q85" s="639"/>
    </row>
    <row r="86" spans="1:17" ht="14.4" customHeight="1" x14ac:dyDescent="0.3">
      <c r="A86" s="634" t="s">
        <v>2287</v>
      </c>
      <c r="B86" s="635" t="s">
        <v>2288</v>
      </c>
      <c r="C86" s="635" t="s">
        <v>1819</v>
      </c>
      <c r="D86" s="635" t="s">
        <v>2249</v>
      </c>
      <c r="E86" s="635" t="s">
        <v>2250</v>
      </c>
      <c r="F86" s="638"/>
      <c r="G86" s="638"/>
      <c r="H86" s="638"/>
      <c r="I86" s="638"/>
      <c r="J86" s="638">
        <v>1</v>
      </c>
      <c r="K86" s="638">
        <v>1002</v>
      </c>
      <c r="L86" s="638"/>
      <c r="M86" s="638">
        <v>1002</v>
      </c>
      <c r="N86" s="638"/>
      <c r="O86" s="638"/>
      <c r="P86" s="660"/>
      <c r="Q86" s="639"/>
    </row>
    <row r="87" spans="1:17" ht="14.4" customHeight="1" x14ac:dyDescent="0.3">
      <c r="A87" s="634" t="s">
        <v>2287</v>
      </c>
      <c r="B87" s="635" t="s">
        <v>2288</v>
      </c>
      <c r="C87" s="635" t="s">
        <v>1819</v>
      </c>
      <c r="D87" s="635" t="s">
        <v>2403</v>
      </c>
      <c r="E87" s="635" t="s">
        <v>2404</v>
      </c>
      <c r="F87" s="638"/>
      <c r="G87" s="638"/>
      <c r="H87" s="638"/>
      <c r="I87" s="638"/>
      <c r="J87" s="638"/>
      <c r="K87" s="638"/>
      <c r="L87" s="638"/>
      <c r="M87" s="638"/>
      <c r="N87" s="638">
        <v>1</v>
      </c>
      <c r="O87" s="638">
        <v>310</v>
      </c>
      <c r="P87" s="660"/>
      <c r="Q87" s="639">
        <v>310</v>
      </c>
    </row>
    <row r="88" spans="1:17" ht="14.4" customHeight="1" x14ac:dyDescent="0.3">
      <c r="A88" s="634" t="s">
        <v>2287</v>
      </c>
      <c r="B88" s="635" t="s">
        <v>2288</v>
      </c>
      <c r="C88" s="635" t="s">
        <v>1819</v>
      </c>
      <c r="D88" s="635" t="s">
        <v>2405</v>
      </c>
      <c r="E88" s="635" t="s">
        <v>2406</v>
      </c>
      <c r="F88" s="638">
        <v>1</v>
      </c>
      <c r="G88" s="638">
        <v>23</v>
      </c>
      <c r="H88" s="638">
        <v>1</v>
      </c>
      <c r="I88" s="638">
        <v>23</v>
      </c>
      <c r="J88" s="638">
        <v>1</v>
      </c>
      <c r="K88" s="638">
        <v>23</v>
      </c>
      <c r="L88" s="638">
        <v>1</v>
      </c>
      <c r="M88" s="638">
        <v>23</v>
      </c>
      <c r="N88" s="638">
        <v>2</v>
      </c>
      <c r="O88" s="638">
        <v>46</v>
      </c>
      <c r="P88" s="660">
        <v>2</v>
      </c>
      <c r="Q88" s="639">
        <v>23</v>
      </c>
    </row>
    <row r="89" spans="1:17" ht="14.4" customHeight="1" x14ac:dyDescent="0.3">
      <c r="A89" s="634" t="s">
        <v>2287</v>
      </c>
      <c r="B89" s="635" t="s">
        <v>2288</v>
      </c>
      <c r="C89" s="635" t="s">
        <v>1819</v>
      </c>
      <c r="D89" s="635" t="s">
        <v>2407</v>
      </c>
      <c r="E89" s="635" t="s">
        <v>2408</v>
      </c>
      <c r="F89" s="638">
        <v>13</v>
      </c>
      <c r="G89" s="638">
        <v>3783</v>
      </c>
      <c r="H89" s="638">
        <v>1</v>
      </c>
      <c r="I89" s="638">
        <v>291</v>
      </c>
      <c r="J89" s="638">
        <v>10</v>
      </c>
      <c r="K89" s="638">
        <v>2910</v>
      </c>
      <c r="L89" s="638">
        <v>0.76923076923076927</v>
      </c>
      <c r="M89" s="638">
        <v>291</v>
      </c>
      <c r="N89" s="638">
        <v>21</v>
      </c>
      <c r="O89" s="638">
        <v>6111</v>
      </c>
      <c r="P89" s="660">
        <v>1.6153846153846154</v>
      </c>
      <c r="Q89" s="639">
        <v>291</v>
      </c>
    </row>
    <row r="90" spans="1:17" ht="14.4" customHeight="1" x14ac:dyDescent="0.3">
      <c r="A90" s="634" t="s">
        <v>2287</v>
      </c>
      <c r="B90" s="635" t="s">
        <v>2288</v>
      </c>
      <c r="C90" s="635" t="s">
        <v>1819</v>
      </c>
      <c r="D90" s="635" t="s">
        <v>2409</v>
      </c>
      <c r="E90" s="635" t="s">
        <v>2410</v>
      </c>
      <c r="F90" s="638"/>
      <c r="G90" s="638"/>
      <c r="H90" s="638"/>
      <c r="I90" s="638"/>
      <c r="J90" s="638"/>
      <c r="K90" s="638"/>
      <c r="L90" s="638"/>
      <c r="M90" s="638"/>
      <c r="N90" s="638">
        <v>1</v>
      </c>
      <c r="O90" s="638">
        <v>45</v>
      </c>
      <c r="P90" s="660"/>
      <c r="Q90" s="639">
        <v>45</v>
      </c>
    </row>
    <row r="91" spans="1:17" ht="14.4" customHeight="1" x14ac:dyDescent="0.3">
      <c r="A91" s="634" t="s">
        <v>2287</v>
      </c>
      <c r="B91" s="635" t="s">
        <v>2288</v>
      </c>
      <c r="C91" s="635" t="s">
        <v>1819</v>
      </c>
      <c r="D91" s="635" t="s">
        <v>2411</v>
      </c>
      <c r="E91" s="635" t="s">
        <v>2412</v>
      </c>
      <c r="F91" s="638"/>
      <c r="G91" s="638"/>
      <c r="H91" s="638"/>
      <c r="I91" s="638"/>
      <c r="J91" s="638"/>
      <c r="K91" s="638"/>
      <c r="L91" s="638"/>
      <c r="M91" s="638"/>
      <c r="N91" s="638">
        <v>8</v>
      </c>
      <c r="O91" s="638">
        <v>368</v>
      </c>
      <c r="P91" s="660"/>
      <c r="Q91" s="639">
        <v>46</v>
      </c>
    </row>
    <row r="92" spans="1:17" ht="14.4" customHeight="1" x14ac:dyDescent="0.3">
      <c r="A92" s="634" t="s">
        <v>2287</v>
      </c>
      <c r="B92" s="635" t="s">
        <v>2288</v>
      </c>
      <c r="C92" s="635" t="s">
        <v>1819</v>
      </c>
      <c r="D92" s="635" t="s">
        <v>2413</v>
      </c>
      <c r="E92" s="635" t="s">
        <v>2414</v>
      </c>
      <c r="F92" s="638"/>
      <c r="G92" s="638"/>
      <c r="H92" s="638"/>
      <c r="I92" s="638"/>
      <c r="J92" s="638"/>
      <c r="K92" s="638"/>
      <c r="L92" s="638"/>
      <c r="M92" s="638"/>
      <c r="N92" s="638">
        <v>1</v>
      </c>
      <c r="O92" s="638">
        <v>308</v>
      </c>
      <c r="P92" s="660"/>
      <c r="Q92" s="639">
        <v>308</v>
      </c>
    </row>
    <row r="93" spans="1:17" ht="14.4" customHeight="1" x14ac:dyDescent="0.3">
      <c r="A93" s="634" t="s">
        <v>2287</v>
      </c>
      <c r="B93" s="635" t="s">
        <v>2288</v>
      </c>
      <c r="C93" s="635" t="s">
        <v>1819</v>
      </c>
      <c r="D93" s="635" t="s">
        <v>2415</v>
      </c>
      <c r="E93" s="635" t="s">
        <v>2416</v>
      </c>
      <c r="F93" s="638"/>
      <c r="G93" s="638"/>
      <c r="H93" s="638"/>
      <c r="I93" s="638"/>
      <c r="J93" s="638">
        <v>1</v>
      </c>
      <c r="K93" s="638">
        <v>26</v>
      </c>
      <c r="L93" s="638"/>
      <c r="M93" s="638">
        <v>26</v>
      </c>
      <c r="N93" s="638"/>
      <c r="O93" s="638"/>
      <c r="P93" s="660"/>
      <c r="Q93" s="639"/>
    </row>
    <row r="94" spans="1:17" ht="14.4" customHeight="1" x14ac:dyDescent="0.3">
      <c r="A94" s="634" t="s">
        <v>2287</v>
      </c>
      <c r="B94" s="635" t="s">
        <v>2417</v>
      </c>
      <c r="C94" s="635" t="s">
        <v>1819</v>
      </c>
      <c r="D94" s="635" t="s">
        <v>2243</v>
      </c>
      <c r="E94" s="635" t="s">
        <v>2244</v>
      </c>
      <c r="F94" s="638"/>
      <c r="G94" s="638"/>
      <c r="H94" s="638"/>
      <c r="I94" s="638"/>
      <c r="J94" s="638">
        <v>1</v>
      </c>
      <c r="K94" s="638">
        <v>1245</v>
      </c>
      <c r="L94" s="638"/>
      <c r="M94" s="638">
        <v>1245</v>
      </c>
      <c r="N94" s="638"/>
      <c r="O94" s="638"/>
      <c r="P94" s="660"/>
      <c r="Q94" s="639"/>
    </row>
    <row r="95" spans="1:17" ht="14.4" customHeight="1" x14ac:dyDescent="0.3">
      <c r="A95" s="634" t="s">
        <v>2418</v>
      </c>
      <c r="B95" s="635" t="s">
        <v>2254</v>
      </c>
      <c r="C95" s="635" t="s">
        <v>1968</v>
      </c>
      <c r="D95" s="635" t="s">
        <v>2419</v>
      </c>
      <c r="E95" s="635" t="s">
        <v>2420</v>
      </c>
      <c r="F95" s="638"/>
      <c r="G95" s="638"/>
      <c r="H95" s="638"/>
      <c r="I95" s="638"/>
      <c r="J95" s="638">
        <v>0.2</v>
      </c>
      <c r="K95" s="638">
        <v>1335.72</v>
      </c>
      <c r="L95" s="638"/>
      <c r="M95" s="638">
        <v>6678.5999999999995</v>
      </c>
      <c r="N95" s="638"/>
      <c r="O95" s="638"/>
      <c r="P95" s="660"/>
      <c r="Q95" s="639"/>
    </row>
    <row r="96" spans="1:17" ht="14.4" customHeight="1" x14ac:dyDescent="0.3">
      <c r="A96" s="634" t="s">
        <v>2418</v>
      </c>
      <c r="B96" s="635" t="s">
        <v>2254</v>
      </c>
      <c r="C96" s="635" t="s">
        <v>1968</v>
      </c>
      <c r="D96" s="635" t="s">
        <v>2421</v>
      </c>
      <c r="E96" s="635" t="s">
        <v>2422</v>
      </c>
      <c r="F96" s="638">
        <v>2</v>
      </c>
      <c r="G96" s="638">
        <v>3099.66</v>
      </c>
      <c r="H96" s="638">
        <v>1</v>
      </c>
      <c r="I96" s="638">
        <v>1549.83</v>
      </c>
      <c r="J96" s="638">
        <v>3.6</v>
      </c>
      <c r="K96" s="638">
        <v>3560.5</v>
      </c>
      <c r="L96" s="638">
        <v>1.1486743707374358</v>
      </c>
      <c r="M96" s="638">
        <v>989.02777777777771</v>
      </c>
      <c r="N96" s="638">
        <v>6.7</v>
      </c>
      <c r="O96" s="638">
        <v>6626.49</v>
      </c>
      <c r="P96" s="660">
        <v>2.1378118890458953</v>
      </c>
      <c r="Q96" s="639">
        <v>989.02835820895518</v>
      </c>
    </row>
    <row r="97" spans="1:17" ht="14.4" customHeight="1" x14ac:dyDescent="0.3">
      <c r="A97" s="634" t="s">
        <v>2418</v>
      </c>
      <c r="B97" s="635" t="s">
        <v>2254</v>
      </c>
      <c r="C97" s="635" t="s">
        <v>1968</v>
      </c>
      <c r="D97" s="635" t="s">
        <v>2423</v>
      </c>
      <c r="E97" s="635" t="s">
        <v>2424</v>
      </c>
      <c r="F97" s="638">
        <v>0.21000000000000002</v>
      </c>
      <c r="G97" s="638">
        <v>2708.96</v>
      </c>
      <c r="H97" s="638">
        <v>1</v>
      </c>
      <c r="I97" s="638">
        <v>12899.809523809523</v>
      </c>
      <c r="J97" s="638">
        <v>0.61</v>
      </c>
      <c r="K97" s="638">
        <v>6254.1100000000006</v>
      </c>
      <c r="L97" s="638">
        <v>2.3086756541255689</v>
      </c>
      <c r="M97" s="638">
        <v>10252.639344262296</v>
      </c>
      <c r="N97" s="638">
        <v>1.26</v>
      </c>
      <c r="O97" s="638">
        <v>12973.419999999998</v>
      </c>
      <c r="P97" s="660">
        <v>4.7890777272458793</v>
      </c>
      <c r="Q97" s="639">
        <v>10296.365079365078</v>
      </c>
    </row>
    <row r="98" spans="1:17" ht="14.4" customHeight="1" x14ac:dyDescent="0.3">
      <c r="A98" s="634" t="s">
        <v>2418</v>
      </c>
      <c r="B98" s="635" t="s">
        <v>2254</v>
      </c>
      <c r="C98" s="635" t="s">
        <v>1968</v>
      </c>
      <c r="D98" s="635" t="s">
        <v>2425</v>
      </c>
      <c r="E98" s="635" t="s">
        <v>2424</v>
      </c>
      <c r="F98" s="638"/>
      <c r="G98" s="638"/>
      <c r="H98" s="638"/>
      <c r="I98" s="638"/>
      <c r="J98" s="638">
        <v>0.06</v>
      </c>
      <c r="K98" s="638">
        <v>390.39</v>
      </c>
      <c r="L98" s="638"/>
      <c r="M98" s="638">
        <v>6506.5</v>
      </c>
      <c r="N98" s="638">
        <v>0.2</v>
      </c>
      <c r="O98" s="638">
        <v>1301.3</v>
      </c>
      <c r="P98" s="660"/>
      <c r="Q98" s="639">
        <v>6506.4999999999991</v>
      </c>
    </row>
    <row r="99" spans="1:17" ht="14.4" customHeight="1" x14ac:dyDescent="0.3">
      <c r="A99" s="634" t="s">
        <v>2418</v>
      </c>
      <c r="B99" s="635" t="s">
        <v>2254</v>
      </c>
      <c r="C99" s="635" t="s">
        <v>1968</v>
      </c>
      <c r="D99" s="635" t="s">
        <v>2426</v>
      </c>
      <c r="E99" s="635" t="s">
        <v>2427</v>
      </c>
      <c r="F99" s="638">
        <v>0.7</v>
      </c>
      <c r="G99" s="638">
        <v>3789.3100000000004</v>
      </c>
      <c r="H99" s="638">
        <v>1</v>
      </c>
      <c r="I99" s="638">
        <v>5413.3000000000011</v>
      </c>
      <c r="J99" s="638">
        <v>0.57000000000000006</v>
      </c>
      <c r="K99" s="638">
        <v>3106.95</v>
      </c>
      <c r="L99" s="638">
        <v>0.81992499953817433</v>
      </c>
      <c r="M99" s="638">
        <v>5450.78947368421</v>
      </c>
      <c r="N99" s="638">
        <v>0.54</v>
      </c>
      <c r="O99" s="638">
        <v>2948.83</v>
      </c>
      <c r="P99" s="660">
        <v>0.77819708601302073</v>
      </c>
      <c r="Q99" s="639">
        <v>5460.7962962962956</v>
      </c>
    </row>
    <row r="100" spans="1:17" ht="14.4" customHeight="1" x14ac:dyDescent="0.3">
      <c r="A100" s="634" t="s">
        <v>2418</v>
      </c>
      <c r="B100" s="635" t="s">
        <v>2254</v>
      </c>
      <c r="C100" s="635" t="s">
        <v>1968</v>
      </c>
      <c r="D100" s="635" t="s">
        <v>2428</v>
      </c>
      <c r="E100" s="635" t="s">
        <v>2427</v>
      </c>
      <c r="F100" s="638">
        <v>1.0900000000000001</v>
      </c>
      <c r="G100" s="638">
        <v>11739.959999999997</v>
      </c>
      <c r="H100" s="638">
        <v>1</v>
      </c>
      <c r="I100" s="638">
        <v>10770.605504587153</v>
      </c>
      <c r="J100" s="638">
        <v>0.94</v>
      </c>
      <c r="K100" s="638">
        <v>10258.65</v>
      </c>
      <c r="L100" s="638">
        <v>0.87382324982367932</v>
      </c>
      <c r="M100" s="638">
        <v>10913.45744680851</v>
      </c>
      <c r="N100" s="638">
        <v>0.96000000000000008</v>
      </c>
      <c r="O100" s="638">
        <v>10484.689999999999</v>
      </c>
      <c r="P100" s="660">
        <v>0.89307714847410047</v>
      </c>
      <c r="Q100" s="639">
        <v>10921.55208333333</v>
      </c>
    </row>
    <row r="101" spans="1:17" ht="14.4" customHeight="1" x14ac:dyDescent="0.3">
      <c r="A101" s="634" t="s">
        <v>2418</v>
      </c>
      <c r="B101" s="635" t="s">
        <v>2254</v>
      </c>
      <c r="C101" s="635" t="s">
        <v>1968</v>
      </c>
      <c r="D101" s="635" t="s">
        <v>2429</v>
      </c>
      <c r="E101" s="635" t="s">
        <v>2430</v>
      </c>
      <c r="F101" s="638">
        <v>1.4</v>
      </c>
      <c r="G101" s="638">
        <v>2714.75</v>
      </c>
      <c r="H101" s="638">
        <v>1</v>
      </c>
      <c r="I101" s="638">
        <v>1939.1071428571429</v>
      </c>
      <c r="J101" s="638">
        <v>0.30000000000000004</v>
      </c>
      <c r="K101" s="638">
        <v>585.13</v>
      </c>
      <c r="L101" s="638">
        <v>0.2155373422967124</v>
      </c>
      <c r="M101" s="638">
        <v>1950.4333333333329</v>
      </c>
      <c r="N101" s="638">
        <v>1.1000000000000001</v>
      </c>
      <c r="O101" s="638">
        <v>2151.71</v>
      </c>
      <c r="P101" s="660">
        <v>0.79259968689566263</v>
      </c>
      <c r="Q101" s="639">
        <v>1956.1</v>
      </c>
    </row>
    <row r="102" spans="1:17" ht="14.4" customHeight="1" x14ac:dyDescent="0.3">
      <c r="A102" s="634" t="s">
        <v>2418</v>
      </c>
      <c r="B102" s="635" t="s">
        <v>2254</v>
      </c>
      <c r="C102" s="635" t="s">
        <v>1968</v>
      </c>
      <c r="D102" s="635" t="s">
        <v>2431</v>
      </c>
      <c r="E102" s="635" t="s">
        <v>2432</v>
      </c>
      <c r="F102" s="638">
        <v>0.15</v>
      </c>
      <c r="G102" s="638">
        <v>56.41</v>
      </c>
      <c r="H102" s="638">
        <v>1</v>
      </c>
      <c r="I102" s="638">
        <v>376.06666666666666</v>
      </c>
      <c r="J102" s="638">
        <v>0.3</v>
      </c>
      <c r="K102" s="638">
        <v>113.78999999999999</v>
      </c>
      <c r="L102" s="638">
        <v>2.0171955327069666</v>
      </c>
      <c r="M102" s="638">
        <v>379.3</v>
      </c>
      <c r="N102" s="638"/>
      <c r="O102" s="638"/>
      <c r="P102" s="660"/>
      <c r="Q102" s="639"/>
    </row>
    <row r="103" spans="1:17" ht="14.4" customHeight="1" x14ac:dyDescent="0.3">
      <c r="A103" s="634" t="s">
        <v>2418</v>
      </c>
      <c r="B103" s="635" t="s">
        <v>2254</v>
      </c>
      <c r="C103" s="635" t="s">
        <v>2024</v>
      </c>
      <c r="D103" s="635" t="s">
        <v>2433</v>
      </c>
      <c r="E103" s="635" t="s">
        <v>2434</v>
      </c>
      <c r="F103" s="638"/>
      <c r="G103" s="638"/>
      <c r="H103" s="638"/>
      <c r="I103" s="638"/>
      <c r="J103" s="638">
        <v>1</v>
      </c>
      <c r="K103" s="638">
        <v>589.59</v>
      </c>
      <c r="L103" s="638"/>
      <c r="M103" s="638">
        <v>589.59</v>
      </c>
      <c r="N103" s="638">
        <v>1</v>
      </c>
      <c r="O103" s="638">
        <v>589.59</v>
      </c>
      <c r="P103" s="660"/>
      <c r="Q103" s="639">
        <v>589.59</v>
      </c>
    </row>
    <row r="104" spans="1:17" ht="14.4" customHeight="1" x14ac:dyDescent="0.3">
      <c r="A104" s="634" t="s">
        <v>2418</v>
      </c>
      <c r="B104" s="635" t="s">
        <v>2254</v>
      </c>
      <c r="C104" s="635" t="s">
        <v>2024</v>
      </c>
      <c r="D104" s="635" t="s">
        <v>2435</v>
      </c>
      <c r="E104" s="635" t="s">
        <v>2436</v>
      </c>
      <c r="F104" s="638"/>
      <c r="G104" s="638"/>
      <c r="H104" s="638"/>
      <c r="I104" s="638"/>
      <c r="J104" s="638"/>
      <c r="K104" s="638"/>
      <c r="L104" s="638"/>
      <c r="M104" s="638"/>
      <c r="N104" s="638">
        <v>1</v>
      </c>
      <c r="O104" s="638">
        <v>972.32</v>
      </c>
      <c r="P104" s="660"/>
      <c r="Q104" s="639">
        <v>972.32</v>
      </c>
    </row>
    <row r="105" spans="1:17" ht="14.4" customHeight="1" x14ac:dyDescent="0.3">
      <c r="A105" s="634" t="s">
        <v>2418</v>
      </c>
      <c r="B105" s="635" t="s">
        <v>2254</v>
      </c>
      <c r="C105" s="635" t="s">
        <v>2024</v>
      </c>
      <c r="D105" s="635" t="s">
        <v>2437</v>
      </c>
      <c r="E105" s="635" t="s">
        <v>2436</v>
      </c>
      <c r="F105" s="638"/>
      <c r="G105" s="638"/>
      <c r="H105" s="638"/>
      <c r="I105" s="638"/>
      <c r="J105" s="638">
        <v>5</v>
      </c>
      <c r="K105" s="638">
        <v>8536.5499999999993</v>
      </c>
      <c r="L105" s="638"/>
      <c r="M105" s="638">
        <v>1707.31</v>
      </c>
      <c r="N105" s="638">
        <v>6</v>
      </c>
      <c r="O105" s="638">
        <v>10243.86</v>
      </c>
      <c r="P105" s="660"/>
      <c r="Q105" s="639">
        <v>1707.3100000000002</v>
      </c>
    </row>
    <row r="106" spans="1:17" ht="14.4" customHeight="1" x14ac:dyDescent="0.3">
      <c r="A106" s="634" t="s">
        <v>2418</v>
      </c>
      <c r="B106" s="635" t="s">
        <v>2254</v>
      </c>
      <c r="C106" s="635" t="s">
        <v>2024</v>
      </c>
      <c r="D106" s="635" t="s">
        <v>2438</v>
      </c>
      <c r="E106" s="635" t="s">
        <v>2436</v>
      </c>
      <c r="F106" s="638">
        <v>2</v>
      </c>
      <c r="G106" s="638">
        <v>3987.6</v>
      </c>
      <c r="H106" s="638">
        <v>1</v>
      </c>
      <c r="I106" s="638">
        <v>1993.8</v>
      </c>
      <c r="J106" s="638">
        <v>1</v>
      </c>
      <c r="K106" s="638">
        <v>2066.3000000000002</v>
      </c>
      <c r="L106" s="638">
        <v>0.51818136222289102</v>
      </c>
      <c r="M106" s="638">
        <v>2066.3000000000002</v>
      </c>
      <c r="N106" s="638"/>
      <c r="O106" s="638"/>
      <c r="P106" s="660"/>
      <c r="Q106" s="639"/>
    </row>
    <row r="107" spans="1:17" ht="14.4" customHeight="1" x14ac:dyDescent="0.3">
      <c r="A107" s="634" t="s">
        <v>2418</v>
      </c>
      <c r="B107" s="635" t="s">
        <v>2254</v>
      </c>
      <c r="C107" s="635" t="s">
        <v>2024</v>
      </c>
      <c r="D107" s="635" t="s">
        <v>2439</v>
      </c>
      <c r="E107" s="635" t="s">
        <v>2440</v>
      </c>
      <c r="F107" s="638">
        <v>1</v>
      </c>
      <c r="G107" s="638">
        <v>991.7</v>
      </c>
      <c r="H107" s="638">
        <v>1</v>
      </c>
      <c r="I107" s="638">
        <v>991.7</v>
      </c>
      <c r="J107" s="638">
        <v>3</v>
      </c>
      <c r="K107" s="638">
        <v>3083.2799999999997</v>
      </c>
      <c r="L107" s="638">
        <v>3.1090854088938182</v>
      </c>
      <c r="M107" s="638">
        <v>1027.76</v>
      </c>
      <c r="N107" s="638">
        <v>8</v>
      </c>
      <c r="O107" s="638">
        <v>8222.08</v>
      </c>
      <c r="P107" s="660">
        <v>8.2908944237168498</v>
      </c>
      <c r="Q107" s="639">
        <v>1027.76</v>
      </c>
    </row>
    <row r="108" spans="1:17" ht="14.4" customHeight="1" x14ac:dyDescent="0.3">
      <c r="A108" s="634" t="s">
        <v>2418</v>
      </c>
      <c r="B108" s="635" t="s">
        <v>2254</v>
      </c>
      <c r="C108" s="635" t="s">
        <v>2024</v>
      </c>
      <c r="D108" s="635" t="s">
        <v>2441</v>
      </c>
      <c r="E108" s="635" t="s">
        <v>2440</v>
      </c>
      <c r="F108" s="638"/>
      <c r="G108" s="638"/>
      <c r="H108" s="638"/>
      <c r="I108" s="638"/>
      <c r="J108" s="638">
        <v>1</v>
      </c>
      <c r="K108" s="638">
        <v>2141.85</v>
      </c>
      <c r="L108" s="638"/>
      <c r="M108" s="638">
        <v>2141.85</v>
      </c>
      <c r="N108" s="638"/>
      <c r="O108" s="638"/>
      <c r="P108" s="660"/>
      <c r="Q108" s="639"/>
    </row>
    <row r="109" spans="1:17" ht="14.4" customHeight="1" x14ac:dyDescent="0.3">
      <c r="A109" s="634" t="s">
        <v>2418</v>
      </c>
      <c r="B109" s="635" t="s">
        <v>2254</v>
      </c>
      <c r="C109" s="635" t="s">
        <v>2024</v>
      </c>
      <c r="D109" s="635" t="s">
        <v>2442</v>
      </c>
      <c r="E109" s="635" t="s">
        <v>2443</v>
      </c>
      <c r="F109" s="638">
        <v>1</v>
      </c>
      <c r="G109" s="638">
        <v>20587</v>
      </c>
      <c r="H109" s="638">
        <v>1</v>
      </c>
      <c r="I109" s="638">
        <v>20587</v>
      </c>
      <c r="J109" s="638"/>
      <c r="K109" s="638"/>
      <c r="L109" s="638"/>
      <c r="M109" s="638"/>
      <c r="N109" s="638"/>
      <c r="O109" s="638"/>
      <c r="P109" s="660"/>
      <c r="Q109" s="639"/>
    </row>
    <row r="110" spans="1:17" ht="14.4" customHeight="1" x14ac:dyDescent="0.3">
      <c r="A110" s="634" t="s">
        <v>2418</v>
      </c>
      <c r="B110" s="635" t="s">
        <v>2254</v>
      </c>
      <c r="C110" s="635" t="s">
        <v>2024</v>
      </c>
      <c r="D110" s="635" t="s">
        <v>2444</v>
      </c>
      <c r="E110" s="635" t="s">
        <v>2445</v>
      </c>
      <c r="F110" s="638"/>
      <c r="G110" s="638"/>
      <c r="H110" s="638"/>
      <c r="I110" s="638"/>
      <c r="J110" s="638">
        <v>1</v>
      </c>
      <c r="K110" s="638">
        <v>3003.38</v>
      </c>
      <c r="L110" s="638"/>
      <c r="M110" s="638">
        <v>3003.38</v>
      </c>
      <c r="N110" s="638">
        <v>1</v>
      </c>
      <c r="O110" s="638">
        <v>3003.38</v>
      </c>
      <c r="P110" s="660"/>
      <c r="Q110" s="639">
        <v>3003.38</v>
      </c>
    </row>
    <row r="111" spans="1:17" ht="14.4" customHeight="1" x14ac:dyDescent="0.3">
      <c r="A111" s="634" t="s">
        <v>2418</v>
      </c>
      <c r="B111" s="635" t="s">
        <v>2254</v>
      </c>
      <c r="C111" s="635" t="s">
        <v>2024</v>
      </c>
      <c r="D111" s="635" t="s">
        <v>2446</v>
      </c>
      <c r="E111" s="635" t="s">
        <v>2447</v>
      </c>
      <c r="F111" s="638"/>
      <c r="G111" s="638"/>
      <c r="H111" s="638"/>
      <c r="I111" s="638"/>
      <c r="J111" s="638"/>
      <c r="K111" s="638"/>
      <c r="L111" s="638"/>
      <c r="M111" s="638"/>
      <c r="N111" s="638">
        <v>1</v>
      </c>
      <c r="O111" s="638">
        <v>2236.5</v>
      </c>
      <c r="P111" s="660"/>
      <c r="Q111" s="639">
        <v>2236.5</v>
      </c>
    </row>
    <row r="112" spans="1:17" ht="14.4" customHeight="1" x14ac:dyDescent="0.3">
      <c r="A112" s="634" t="s">
        <v>2418</v>
      </c>
      <c r="B112" s="635" t="s">
        <v>2254</v>
      </c>
      <c r="C112" s="635" t="s">
        <v>2024</v>
      </c>
      <c r="D112" s="635" t="s">
        <v>2448</v>
      </c>
      <c r="E112" s="635" t="s">
        <v>2449</v>
      </c>
      <c r="F112" s="638">
        <v>1</v>
      </c>
      <c r="G112" s="638">
        <v>28526.95</v>
      </c>
      <c r="H112" s="638">
        <v>1</v>
      </c>
      <c r="I112" s="638">
        <v>28526.95</v>
      </c>
      <c r="J112" s="638"/>
      <c r="K112" s="638"/>
      <c r="L112" s="638"/>
      <c r="M112" s="638"/>
      <c r="N112" s="638"/>
      <c r="O112" s="638"/>
      <c r="P112" s="660"/>
      <c r="Q112" s="639"/>
    </row>
    <row r="113" spans="1:17" ht="14.4" customHeight="1" x14ac:dyDescent="0.3">
      <c r="A113" s="634" t="s">
        <v>2418</v>
      </c>
      <c r="B113" s="635" t="s">
        <v>2254</v>
      </c>
      <c r="C113" s="635" t="s">
        <v>2024</v>
      </c>
      <c r="D113" s="635" t="s">
        <v>2450</v>
      </c>
      <c r="E113" s="635" t="s">
        <v>2451</v>
      </c>
      <c r="F113" s="638"/>
      <c r="G113" s="638"/>
      <c r="H113" s="638"/>
      <c r="I113" s="638"/>
      <c r="J113" s="638">
        <v>2</v>
      </c>
      <c r="K113" s="638">
        <v>13781.56</v>
      </c>
      <c r="L113" s="638"/>
      <c r="M113" s="638">
        <v>6890.78</v>
      </c>
      <c r="N113" s="638">
        <v>6</v>
      </c>
      <c r="O113" s="638">
        <v>41344.68</v>
      </c>
      <c r="P113" s="660"/>
      <c r="Q113" s="639">
        <v>6890.78</v>
      </c>
    </row>
    <row r="114" spans="1:17" ht="14.4" customHeight="1" x14ac:dyDescent="0.3">
      <c r="A114" s="634" t="s">
        <v>2418</v>
      </c>
      <c r="B114" s="635" t="s">
        <v>2254</v>
      </c>
      <c r="C114" s="635" t="s">
        <v>2024</v>
      </c>
      <c r="D114" s="635" t="s">
        <v>2452</v>
      </c>
      <c r="E114" s="635" t="s">
        <v>2453</v>
      </c>
      <c r="F114" s="638"/>
      <c r="G114" s="638"/>
      <c r="H114" s="638"/>
      <c r="I114" s="638"/>
      <c r="J114" s="638">
        <v>1</v>
      </c>
      <c r="K114" s="638">
        <v>4137.8900000000003</v>
      </c>
      <c r="L114" s="638"/>
      <c r="M114" s="638">
        <v>4137.8900000000003</v>
      </c>
      <c r="N114" s="638">
        <v>1</v>
      </c>
      <c r="O114" s="638">
        <v>4137.8900000000003</v>
      </c>
      <c r="P114" s="660"/>
      <c r="Q114" s="639">
        <v>4137.8900000000003</v>
      </c>
    </row>
    <row r="115" spans="1:17" ht="14.4" customHeight="1" x14ac:dyDescent="0.3">
      <c r="A115" s="634" t="s">
        <v>2418</v>
      </c>
      <c r="B115" s="635" t="s">
        <v>2254</v>
      </c>
      <c r="C115" s="635" t="s">
        <v>2024</v>
      </c>
      <c r="D115" s="635" t="s">
        <v>2454</v>
      </c>
      <c r="E115" s="635" t="s">
        <v>2455</v>
      </c>
      <c r="F115" s="638">
        <v>1</v>
      </c>
      <c r="G115" s="638">
        <v>16474</v>
      </c>
      <c r="H115" s="638">
        <v>1</v>
      </c>
      <c r="I115" s="638">
        <v>16474</v>
      </c>
      <c r="J115" s="638"/>
      <c r="K115" s="638"/>
      <c r="L115" s="638"/>
      <c r="M115" s="638"/>
      <c r="N115" s="638"/>
      <c r="O115" s="638"/>
      <c r="P115" s="660"/>
      <c r="Q115" s="639"/>
    </row>
    <row r="116" spans="1:17" ht="14.4" customHeight="1" x14ac:dyDescent="0.3">
      <c r="A116" s="634" t="s">
        <v>2418</v>
      </c>
      <c r="B116" s="635" t="s">
        <v>2254</v>
      </c>
      <c r="C116" s="635" t="s">
        <v>2024</v>
      </c>
      <c r="D116" s="635" t="s">
        <v>2456</v>
      </c>
      <c r="E116" s="635" t="s">
        <v>2457</v>
      </c>
      <c r="F116" s="638">
        <v>1</v>
      </c>
      <c r="G116" s="638">
        <v>11561.67</v>
      </c>
      <c r="H116" s="638">
        <v>1</v>
      </c>
      <c r="I116" s="638">
        <v>11561.67</v>
      </c>
      <c r="J116" s="638"/>
      <c r="K116" s="638"/>
      <c r="L116" s="638"/>
      <c r="M116" s="638"/>
      <c r="N116" s="638"/>
      <c r="O116" s="638"/>
      <c r="P116" s="660"/>
      <c r="Q116" s="639"/>
    </row>
    <row r="117" spans="1:17" ht="14.4" customHeight="1" x14ac:dyDescent="0.3">
      <c r="A117" s="634" t="s">
        <v>2418</v>
      </c>
      <c r="B117" s="635" t="s">
        <v>2254</v>
      </c>
      <c r="C117" s="635" t="s">
        <v>2024</v>
      </c>
      <c r="D117" s="635" t="s">
        <v>2458</v>
      </c>
      <c r="E117" s="635" t="s">
        <v>2459</v>
      </c>
      <c r="F117" s="638">
        <v>1</v>
      </c>
      <c r="G117" s="638">
        <v>1002.8</v>
      </c>
      <c r="H117" s="638">
        <v>1</v>
      </c>
      <c r="I117" s="638">
        <v>1002.8</v>
      </c>
      <c r="J117" s="638">
        <v>2</v>
      </c>
      <c r="K117" s="638">
        <v>2005.6</v>
      </c>
      <c r="L117" s="638">
        <v>2</v>
      </c>
      <c r="M117" s="638">
        <v>1002.8</v>
      </c>
      <c r="N117" s="638">
        <v>1</v>
      </c>
      <c r="O117" s="638">
        <v>1002.8</v>
      </c>
      <c r="P117" s="660">
        <v>1</v>
      </c>
      <c r="Q117" s="639">
        <v>1002.8</v>
      </c>
    </row>
    <row r="118" spans="1:17" ht="14.4" customHeight="1" x14ac:dyDescent="0.3">
      <c r="A118" s="634" t="s">
        <v>2418</v>
      </c>
      <c r="B118" s="635" t="s">
        <v>2254</v>
      </c>
      <c r="C118" s="635" t="s">
        <v>2024</v>
      </c>
      <c r="D118" s="635" t="s">
        <v>2460</v>
      </c>
      <c r="E118" s="635" t="s">
        <v>2461</v>
      </c>
      <c r="F118" s="638"/>
      <c r="G118" s="638"/>
      <c r="H118" s="638"/>
      <c r="I118" s="638"/>
      <c r="J118" s="638">
        <v>2</v>
      </c>
      <c r="K118" s="638">
        <v>15300</v>
      </c>
      <c r="L118" s="638"/>
      <c r="M118" s="638">
        <v>7650</v>
      </c>
      <c r="N118" s="638">
        <v>2</v>
      </c>
      <c r="O118" s="638">
        <v>15300</v>
      </c>
      <c r="P118" s="660"/>
      <c r="Q118" s="639">
        <v>7650</v>
      </c>
    </row>
    <row r="119" spans="1:17" ht="14.4" customHeight="1" x14ac:dyDescent="0.3">
      <c r="A119" s="634" t="s">
        <v>2418</v>
      </c>
      <c r="B119" s="635" t="s">
        <v>2254</v>
      </c>
      <c r="C119" s="635" t="s">
        <v>2024</v>
      </c>
      <c r="D119" s="635" t="s">
        <v>2462</v>
      </c>
      <c r="E119" s="635" t="s">
        <v>2463</v>
      </c>
      <c r="F119" s="638"/>
      <c r="G119" s="638"/>
      <c r="H119" s="638"/>
      <c r="I119" s="638"/>
      <c r="J119" s="638"/>
      <c r="K119" s="638"/>
      <c r="L119" s="638"/>
      <c r="M119" s="638"/>
      <c r="N119" s="638">
        <v>1</v>
      </c>
      <c r="O119" s="638">
        <v>2170.9699999999998</v>
      </c>
      <c r="P119" s="660"/>
      <c r="Q119" s="639">
        <v>2170.9699999999998</v>
      </c>
    </row>
    <row r="120" spans="1:17" ht="14.4" customHeight="1" x14ac:dyDescent="0.3">
      <c r="A120" s="634" t="s">
        <v>2418</v>
      </c>
      <c r="B120" s="635" t="s">
        <v>2254</v>
      </c>
      <c r="C120" s="635" t="s">
        <v>2024</v>
      </c>
      <c r="D120" s="635" t="s">
        <v>2464</v>
      </c>
      <c r="E120" s="635" t="s">
        <v>2465</v>
      </c>
      <c r="F120" s="638"/>
      <c r="G120" s="638"/>
      <c r="H120" s="638"/>
      <c r="I120" s="638"/>
      <c r="J120" s="638"/>
      <c r="K120" s="638"/>
      <c r="L120" s="638"/>
      <c r="M120" s="638"/>
      <c r="N120" s="638">
        <v>1</v>
      </c>
      <c r="O120" s="638">
        <v>10072.94</v>
      </c>
      <c r="P120" s="660"/>
      <c r="Q120" s="639">
        <v>10072.94</v>
      </c>
    </row>
    <row r="121" spans="1:17" ht="14.4" customHeight="1" x14ac:dyDescent="0.3">
      <c r="A121" s="634" t="s">
        <v>2418</v>
      </c>
      <c r="B121" s="635" t="s">
        <v>2254</v>
      </c>
      <c r="C121" s="635" t="s">
        <v>2024</v>
      </c>
      <c r="D121" s="635" t="s">
        <v>2466</v>
      </c>
      <c r="E121" s="635" t="s">
        <v>2467</v>
      </c>
      <c r="F121" s="638"/>
      <c r="G121" s="638"/>
      <c r="H121" s="638"/>
      <c r="I121" s="638"/>
      <c r="J121" s="638"/>
      <c r="K121" s="638"/>
      <c r="L121" s="638"/>
      <c r="M121" s="638"/>
      <c r="N121" s="638">
        <v>1</v>
      </c>
      <c r="O121" s="638">
        <v>5259.23</v>
      </c>
      <c r="P121" s="660"/>
      <c r="Q121" s="639">
        <v>5259.23</v>
      </c>
    </row>
    <row r="122" spans="1:17" ht="14.4" customHeight="1" x14ac:dyDescent="0.3">
      <c r="A122" s="634" t="s">
        <v>2418</v>
      </c>
      <c r="B122" s="635" t="s">
        <v>2254</v>
      </c>
      <c r="C122" s="635" t="s">
        <v>2024</v>
      </c>
      <c r="D122" s="635" t="s">
        <v>2468</v>
      </c>
      <c r="E122" s="635" t="s">
        <v>2469</v>
      </c>
      <c r="F122" s="638"/>
      <c r="G122" s="638"/>
      <c r="H122" s="638"/>
      <c r="I122" s="638"/>
      <c r="J122" s="638">
        <v>1</v>
      </c>
      <c r="K122" s="638">
        <v>605.65</v>
      </c>
      <c r="L122" s="638"/>
      <c r="M122" s="638">
        <v>605.65</v>
      </c>
      <c r="N122" s="638"/>
      <c r="O122" s="638"/>
      <c r="P122" s="660"/>
      <c r="Q122" s="639"/>
    </row>
    <row r="123" spans="1:17" ht="14.4" customHeight="1" x14ac:dyDescent="0.3">
      <c r="A123" s="634" t="s">
        <v>2418</v>
      </c>
      <c r="B123" s="635" t="s">
        <v>2254</v>
      </c>
      <c r="C123" s="635" t="s">
        <v>2024</v>
      </c>
      <c r="D123" s="635" t="s">
        <v>2470</v>
      </c>
      <c r="E123" s="635" t="s">
        <v>2471</v>
      </c>
      <c r="F123" s="638">
        <v>1</v>
      </c>
      <c r="G123" s="638">
        <v>802</v>
      </c>
      <c r="H123" s="638">
        <v>1</v>
      </c>
      <c r="I123" s="638">
        <v>802</v>
      </c>
      <c r="J123" s="638"/>
      <c r="K123" s="638"/>
      <c r="L123" s="638"/>
      <c r="M123" s="638"/>
      <c r="N123" s="638"/>
      <c r="O123" s="638"/>
      <c r="P123" s="660"/>
      <c r="Q123" s="639"/>
    </row>
    <row r="124" spans="1:17" ht="14.4" customHeight="1" x14ac:dyDescent="0.3">
      <c r="A124" s="634" t="s">
        <v>2418</v>
      </c>
      <c r="B124" s="635" t="s">
        <v>2254</v>
      </c>
      <c r="C124" s="635" t="s">
        <v>2024</v>
      </c>
      <c r="D124" s="635" t="s">
        <v>2472</v>
      </c>
      <c r="E124" s="635" t="s">
        <v>2471</v>
      </c>
      <c r="F124" s="638"/>
      <c r="G124" s="638"/>
      <c r="H124" s="638"/>
      <c r="I124" s="638"/>
      <c r="J124" s="638">
        <v>1</v>
      </c>
      <c r="K124" s="638">
        <v>888.06</v>
      </c>
      <c r="L124" s="638"/>
      <c r="M124" s="638">
        <v>888.06</v>
      </c>
      <c r="N124" s="638">
        <v>4</v>
      </c>
      <c r="O124" s="638">
        <v>3552.24</v>
      </c>
      <c r="P124" s="660"/>
      <c r="Q124" s="639">
        <v>888.06</v>
      </c>
    </row>
    <row r="125" spans="1:17" ht="14.4" customHeight="1" x14ac:dyDescent="0.3">
      <c r="A125" s="634" t="s">
        <v>2418</v>
      </c>
      <c r="B125" s="635" t="s">
        <v>2254</v>
      </c>
      <c r="C125" s="635" t="s">
        <v>2024</v>
      </c>
      <c r="D125" s="635" t="s">
        <v>2473</v>
      </c>
      <c r="E125" s="635" t="s">
        <v>2474</v>
      </c>
      <c r="F125" s="638"/>
      <c r="G125" s="638"/>
      <c r="H125" s="638"/>
      <c r="I125" s="638"/>
      <c r="J125" s="638"/>
      <c r="K125" s="638"/>
      <c r="L125" s="638"/>
      <c r="M125" s="638"/>
      <c r="N125" s="638">
        <v>2</v>
      </c>
      <c r="O125" s="638">
        <v>1776.12</v>
      </c>
      <c r="P125" s="660"/>
      <c r="Q125" s="639">
        <v>888.06</v>
      </c>
    </row>
    <row r="126" spans="1:17" ht="14.4" customHeight="1" x14ac:dyDescent="0.3">
      <c r="A126" s="634" t="s">
        <v>2418</v>
      </c>
      <c r="B126" s="635" t="s">
        <v>2254</v>
      </c>
      <c r="C126" s="635" t="s">
        <v>2024</v>
      </c>
      <c r="D126" s="635" t="s">
        <v>2475</v>
      </c>
      <c r="E126" s="635" t="s">
        <v>2476</v>
      </c>
      <c r="F126" s="638">
        <v>1</v>
      </c>
      <c r="G126" s="638">
        <v>1421.2</v>
      </c>
      <c r="H126" s="638">
        <v>1</v>
      </c>
      <c r="I126" s="638">
        <v>1421.2</v>
      </c>
      <c r="J126" s="638">
        <v>1</v>
      </c>
      <c r="K126" s="638">
        <v>1472.88</v>
      </c>
      <c r="L126" s="638">
        <v>1.0363636363636364</v>
      </c>
      <c r="M126" s="638">
        <v>1472.88</v>
      </c>
      <c r="N126" s="638"/>
      <c r="O126" s="638"/>
      <c r="P126" s="660"/>
      <c r="Q126" s="639"/>
    </row>
    <row r="127" spans="1:17" ht="14.4" customHeight="1" x14ac:dyDescent="0.3">
      <c r="A127" s="634" t="s">
        <v>2418</v>
      </c>
      <c r="B127" s="635" t="s">
        <v>2254</v>
      </c>
      <c r="C127" s="635" t="s">
        <v>2024</v>
      </c>
      <c r="D127" s="635" t="s">
        <v>2477</v>
      </c>
      <c r="E127" s="635" t="s">
        <v>2478</v>
      </c>
      <c r="F127" s="638"/>
      <c r="G127" s="638"/>
      <c r="H127" s="638"/>
      <c r="I127" s="638"/>
      <c r="J127" s="638"/>
      <c r="K127" s="638"/>
      <c r="L127" s="638"/>
      <c r="M127" s="638"/>
      <c r="N127" s="638">
        <v>3</v>
      </c>
      <c r="O127" s="638">
        <v>10933.74</v>
      </c>
      <c r="P127" s="660"/>
      <c r="Q127" s="639">
        <v>3644.58</v>
      </c>
    </row>
    <row r="128" spans="1:17" ht="14.4" customHeight="1" x14ac:dyDescent="0.3">
      <c r="A128" s="634" t="s">
        <v>2418</v>
      </c>
      <c r="B128" s="635" t="s">
        <v>2254</v>
      </c>
      <c r="C128" s="635" t="s">
        <v>2024</v>
      </c>
      <c r="D128" s="635" t="s">
        <v>2479</v>
      </c>
      <c r="E128" s="635" t="s">
        <v>2480</v>
      </c>
      <c r="F128" s="638">
        <v>1</v>
      </c>
      <c r="G128" s="638">
        <v>1305.82</v>
      </c>
      <c r="H128" s="638">
        <v>1</v>
      </c>
      <c r="I128" s="638">
        <v>1305.82</v>
      </c>
      <c r="J128" s="638">
        <v>4</v>
      </c>
      <c r="K128" s="638">
        <v>5223.28</v>
      </c>
      <c r="L128" s="638">
        <v>4</v>
      </c>
      <c r="M128" s="638">
        <v>1305.82</v>
      </c>
      <c r="N128" s="638">
        <v>6</v>
      </c>
      <c r="O128" s="638">
        <v>7834.92</v>
      </c>
      <c r="P128" s="660">
        <v>6</v>
      </c>
      <c r="Q128" s="639">
        <v>1305.82</v>
      </c>
    </row>
    <row r="129" spans="1:17" ht="14.4" customHeight="1" x14ac:dyDescent="0.3">
      <c r="A129" s="634" t="s">
        <v>2418</v>
      </c>
      <c r="B129" s="635" t="s">
        <v>2254</v>
      </c>
      <c r="C129" s="635" t="s">
        <v>2024</v>
      </c>
      <c r="D129" s="635" t="s">
        <v>2481</v>
      </c>
      <c r="E129" s="635" t="s">
        <v>2482</v>
      </c>
      <c r="F129" s="638"/>
      <c r="G129" s="638"/>
      <c r="H129" s="638"/>
      <c r="I129" s="638"/>
      <c r="J129" s="638">
        <v>2</v>
      </c>
      <c r="K129" s="638">
        <v>718.2</v>
      </c>
      <c r="L129" s="638"/>
      <c r="M129" s="638">
        <v>359.1</v>
      </c>
      <c r="N129" s="638">
        <v>3</v>
      </c>
      <c r="O129" s="638">
        <v>1077.3000000000002</v>
      </c>
      <c r="P129" s="660"/>
      <c r="Q129" s="639">
        <v>359.10000000000008</v>
      </c>
    </row>
    <row r="130" spans="1:17" ht="14.4" customHeight="1" x14ac:dyDescent="0.3">
      <c r="A130" s="634" t="s">
        <v>2418</v>
      </c>
      <c r="B130" s="635" t="s">
        <v>2254</v>
      </c>
      <c r="C130" s="635" t="s">
        <v>2024</v>
      </c>
      <c r="D130" s="635" t="s">
        <v>2483</v>
      </c>
      <c r="E130" s="635" t="s">
        <v>2484</v>
      </c>
      <c r="F130" s="638">
        <v>1</v>
      </c>
      <c r="G130" s="638">
        <v>34960</v>
      </c>
      <c r="H130" s="638">
        <v>1</v>
      </c>
      <c r="I130" s="638">
        <v>34960</v>
      </c>
      <c r="J130" s="638"/>
      <c r="K130" s="638"/>
      <c r="L130" s="638"/>
      <c r="M130" s="638"/>
      <c r="N130" s="638"/>
      <c r="O130" s="638"/>
      <c r="P130" s="660"/>
      <c r="Q130" s="639"/>
    </row>
    <row r="131" spans="1:17" ht="14.4" customHeight="1" x14ac:dyDescent="0.3">
      <c r="A131" s="634" t="s">
        <v>2418</v>
      </c>
      <c r="B131" s="635" t="s">
        <v>2254</v>
      </c>
      <c r="C131" s="635" t="s">
        <v>2024</v>
      </c>
      <c r="D131" s="635" t="s">
        <v>2485</v>
      </c>
      <c r="E131" s="635" t="s">
        <v>2486</v>
      </c>
      <c r="F131" s="638"/>
      <c r="G131" s="638"/>
      <c r="H131" s="638"/>
      <c r="I131" s="638"/>
      <c r="J131" s="638"/>
      <c r="K131" s="638"/>
      <c r="L131" s="638"/>
      <c r="M131" s="638"/>
      <c r="N131" s="638">
        <v>1</v>
      </c>
      <c r="O131" s="638">
        <v>16831.689999999999</v>
      </c>
      <c r="P131" s="660"/>
      <c r="Q131" s="639">
        <v>16831.689999999999</v>
      </c>
    </row>
    <row r="132" spans="1:17" ht="14.4" customHeight="1" x14ac:dyDescent="0.3">
      <c r="A132" s="634" t="s">
        <v>2418</v>
      </c>
      <c r="B132" s="635" t="s">
        <v>2254</v>
      </c>
      <c r="C132" s="635" t="s">
        <v>2024</v>
      </c>
      <c r="D132" s="635" t="s">
        <v>2487</v>
      </c>
      <c r="E132" s="635" t="s">
        <v>2488</v>
      </c>
      <c r="F132" s="638"/>
      <c r="G132" s="638"/>
      <c r="H132" s="638"/>
      <c r="I132" s="638"/>
      <c r="J132" s="638"/>
      <c r="K132" s="638"/>
      <c r="L132" s="638"/>
      <c r="M132" s="638"/>
      <c r="N132" s="638">
        <v>3</v>
      </c>
      <c r="O132" s="638">
        <v>19761.39</v>
      </c>
      <c r="P132" s="660"/>
      <c r="Q132" s="639">
        <v>6587.13</v>
      </c>
    </row>
    <row r="133" spans="1:17" ht="14.4" customHeight="1" x14ac:dyDescent="0.3">
      <c r="A133" s="634" t="s">
        <v>2418</v>
      </c>
      <c r="B133" s="635" t="s">
        <v>2254</v>
      </c>
      <c r="C133" s="635" t="s">
        <v>2024</v>
      </c>
      <c r="D133" s="635" t="s">
        <v>2489</v>
      </c>
      <c r="E133" s="635" t="s">
        <v>2490</v>
      </c>
      <c r="F133" s="638">
        <v>1</v>
      </c>
      <c r="G133" s="638">
        <v>1841.62</v>
      </c>
      <c r="H133" s="638">
        <v>1</v>
      </c>
      <c r="I133" s="638">
        <v>1841.62</v>
      </c>
      <c r="J133" s="638">
        <v>1</v>
      </c>
      <c r="K133" s="638">
        <v>1841.62</v>
      </c>
      <c r="L133" s="638">
        <v>1</v>
      </c>
      <c r="M133" s="638">
        <v>1841.62</v>
      </c>
      <c r="N133" s="638"/>
      <c r="O133" s="638"/>
      <c r="P133" s="660"/>
      <c r="Q133" s="639"/>
    </row>
    <row r="134" spans="1:17" ht="14.4" customHeight="1" x14ac:dyDescent="0.3">
      <c r="A134" s="634" t="s">
        <v>2418</v>
      </c>
      <c r="B134" s="635" t="s">
        <v>2254</v>
      </c>
      <c r="C134" s="635" t="s">
        <v>2024</v>
      </c>
      <c r="D134" s="635" t="s">
        <v>2491</v>
      </c>
      <c r="E134" s="635" t="s">
        <v>2492</v>
      </c>
      <c r="F134" s="638"/>
      <c r="G134" s="638"/>
      <c r="H134" s="638"/>
      <c r="I134" s="638"/>
      <c r="J134" s="638">
        <v>2</v>
      </c>
      <c r="K134" s="638">
        <v>52999.64</v>
      </c>
      <c r="L134" s="638"/>
      <c r="M134" s="638">
        <v>26499.82</v>
      </c>
      <c r="N134" s="638"/>
      <c r="O134" s="638"/>
      <c r="P134" s="660"/>
      <c r="Q134" s="639"/>
    </row>
    <row r="135" spans="1:17" ht="14.4" customHeight="1" x14ac:dyDescent="0.3">
      <c r="A135" s="634" t="s">
        <v>2418</v>
      </c>
      <c r="B135" s="635" t="s">
        <v>2254</v>
      </c>
      <c r="C135" s="635" t="s">
        <v>2024</v>
      </c>
      <c r="D135" s="635" t="s">
        <v>2493</v>
      </c>
      <c r="E135" s="635" t="s">
        <v>2494</v>
      </c>
      <c r="F135" s="638"/>
      <c r="G135" s="638"/>
      <c r="H135" s="638"/>
      <c r="I135" s="638"/>
      <c r="J135" s="638"/>
      <c r="K135" s="638"/>
      <c r="L135" s="638"/>
      <c r="M135" s="638"/>
      <c r="N135" s="638">
        <v>1</v>
      </c>
      <c r="O135" s="638">
        <v>4360</v>
      </c>
      <c r="P135" s="660"/>
      <c r="Q135" s="639">
        <v>4360</v>
      </c>
    </row>
    <row r="136" spans="1:17" ht="14.4" customHeight="1" x14ac:dyDescent="0.3">
      <c r="A136" s="634" t="s">
        <v>2418</v>
      </c>
      <c r="B136" s="635" t="s">
        <v>2254</v>
      </c>
      <c r="C136" s="635" t="s">
        <v>2024</v>
      </c>
      <c r="D136" s="635" t="s">
        <v>2495</v>
      </c>
      <c r="E136" s="635" t="s">
        <v>2496</v>
      </c>
      <c r="F136" s="638"/>
      <c r="G136" s="638"/>
      <c r="H136" s="638"/>
      <c r="I136" s="638"/>
      <c r="J136" s="638"/>
      <c r="K136" s="638"/>
      <c r="L136" s="638"/>
      <c r="M136" s="638"/>
      <c r="N136" s="638">
        <v>2</v>
      </c>
      <c r="O136" s="638">
        <v>66250.52</v>
      </c>
      <c r="P136" s="660"/>
      <c r="Q136" s="639">
        <v>33125.26</v>
      </c>
    </row>
    <row r="137" spans="1:17" ht="14.4" customHeight="1" x14ac:dyDescent="0.3">
      <c r="A137" s="634" t="s">
        <v>2418</v>
      </c>
      <c r="B137" s="635" t="s">
        <v>2254</v>
      </c>
      <c r="C137" s="635" t="s">
        <v>2024</v>
      </c>
      <c r="D137" s="635" t="s">
        <v>2497</v>
      </c>
      <c r="E137" s="635" t="s">
        <v>2498</v>
      </c>
      <c r="F137" s="638"/>
      <c r="G137" s="638"/>
      <c r="H137" s="638"/>
      <c r="I137" s="638"/>
      <c r="J137" s="638"/>
      <c r="K137" s="638"/>
      <c r="L137" s="638"/>
      <c r="M137" s="638"/>
      <c r="N137" s="638">
        <v>1</v>
      </c>
      <c r="O137" s="638">
        <v>38086.36</v>
      </c>
      <c r="P137" s="660"/>
      <c r="Q137" s="639">
        <v>38086.36</v>
      </c>
    </row>
    <row r="138" spans="1:17" ht="14.4" customHeight="1" x14ac:dyDescent="0.3">
      <c r="A138" s="634" t="s">
        <v>2418</v>
      </c>
      <c r="B138" s="635" t="s">
        <v>2254</v>
      </c>
      <c r="C138" s="635" t="s">
        <v>1819</v>
      </c>
      <c r="D138" s="635" t="s">
        <v>2499</v>
      </c>
      <c r="E138" s="635" t="s">
        <v>2500</v>
      </c>
      <c r="F138" s="638"/>
      <c r="G138" s="638"/>
      <c r="H138" s="638"/>
      <c r="I138" s="638"/>
      <c r="J138" s="638">
        <v>1</v>
      </c>
      <c r="K138" s="638">
        <v>150</v>
      </c>
      <c r="L138" s="638"/>
      <c r="M138" s="638">
        <v>150</v>
      </c>
      <c r="N138" s="638"/>
      <c r="O138" s="638"/>
      <c r="P138" s="660"/>
      <c r="Q138" s="639"/>
    </row>
    <row r="139" spans="1:17" ht="14.4" customHeight="1" x14ac:dyDescent="0.3">
      <c r="A139" s="634" t="s">
        <v>2418</v>
      </c>
      <c r="B139" s="635" t="s">
        <v>2254</v>
      </c>
      <c r="C139" s="635" t="s">
        <v>1819</v>
      </c>
      <c r="D139" s="635" t="s">
        <v>2501</v>
      </c>
      <c r="E139" s="635" t="s">
        <v>2502</v>
      </c>
      <c r="F139" s="638">
        <v>2</v>
      </c>
      <c r="G139" s="638">
        <v>248</v>
      </c>
      <c r="H139" s="638">
        <v>1</v>
      </c>
      <c r="I139" s="638">
        <v>124</v>
      </c>
      <c r="J139" s="638">
        <v>1</v>
      </c>
      <c r="K139" s="638">
        <v>124</v>
      </c>
      <c r="L139" s="638">
        <v>0.5</v>
      </c>
      <c r="M139" s="638">
        <v>124</v>
      </c>
      <c r="N139" s="638">
        <v>2</v>
      </c>
      <c r="O139" s="638">
        <v>248</v>
      </c>
      <c r="P139" s="660">
        <v>1</v>
      </c>
      <c r="Q139" s="639">
        <v>124</v>
      </c>
    </row>
    <row r="140" spans="1:17" ht="14.4" customHeight="1" x14ac:dyDescent="0.3">
      <c r="A140" s="634" t="s">
        <v>2418</v>
      </c>
      <c r="B140" s="635" t="s">
        <v>2254</v>
      </c>
      <c r="C140" s="635" t="s">
        <v>1819</v>
      </c>
      <c r="D140" s="635" t="s">
        <v>2503</v>
      </c>
      <c r="E140" s="635" t="s">
        <v>2504</v>
      </c>
      <c r="F140" s="638"/>
      <c r="G140" s="638"/>
      <c r="H140" s="638"/>
      <c r="I140" s="638"/>
      <c r="J140" s="638">
        <v>1</v>
      </c>
      <c r="K140" s="638">
        <v>217</v>
      </c>
      <c r="L140" s="638"/>
      <c r="M140" s="638">
        <v>217</v>
      </c>
      <c r="N140" s="638">
        <v>15</v>
      </c>
      <c r="O140" s="638">
        <v>3255</v>
      </c>
      <c r="P140" s="660"/>
      <c r="Q140" s="639">
        <v>217</v>
      </c>
    </row>
    <row r="141" spans="1:17" ht="14.4" customHeight="1" x14ac:dyDescent="0.3">
      <c r="A141" s="634" t="s">
        <v>2418</v>
      </c>
      <c r="B141" s="635" t="s">
        <v>2254</v>
      </c>
      <c r="C141" s="635" t="s">
        <v>1819</v>
      </c>
      <c r="D141" s="635" t="s">
        <v>2255</v>
      </c>
      <c r="E141" s="635" t="s">
        <v>2256</v>
      </c>
      <c r="F141" s="638">
        <v>8</v>
      </c>
      <c r="G141" s="638">
        <v>1744</v>
      </c>
      <c r="H141" s="638">
        <v>1</v>
      </c>
      <c r="I141" s="638">
        <v>218</v>
      </c>
      <c r="J141" s="638">
        <v>7</v>
      </c>
      <c r="K141" s="638">
        <v>1533</v>
      </c>
      <c r="L141" s="638">
        <v>0.8790137614678899</v>
      </c>
      <c r="M141" s="638">
        <v>219</v>
      </c>
      <c r="N141" s="638">
        <v>6</v>
      </c>
      <c r="O141" s="638">
        <v>1314</v>
      </c>
      <c r="P141" s="660">
        <v>0.75344036697247707</v>
      </c>
      <c r="Q141" s="639">
        <v>219</v>
      </c>
    </row>
    <row r="142" spans="1:17" ht="14.4" customHeight="1" x14ac:dyDescent="0.3">
      <c r="A142" s="634" t="s">
        <v>2418</v>
      </c>
      <c r="B142" s="635" t="s">
        <v>2254</v>
      </c>
      <c r="C142" s="635" t="s">
        <v>1819</v>
      </c>
      <c r="D142" s="635" t="s">
        <v>2505</v>
      </c>
      <c r="E142" s="635" t="s">
        <v>2506</v>
      </c>
      <c r="F142" s="638">
        <v>2</v>
      </c>
      <c r="G142" s="638">
        <v>1216</v>
      </c>
      <c r="H142" s="638">
        <v>1</v>
      </c>
      <c r="I142" s="638">
        <v>608</v>
      </c>
      <c r="J142" s="638">
        <v>1</v>
      </c>
      <c r="K142" s="638">
        <v>609</v>
      </c>
      <c r="L142" s="638">
        <v>0.50082236842105265</v>
      </c>
      <c r="M142" s="638">
        <v>609</v>
      </c>
      <c r="N142" s="638"/>
      <c r="O142" s="638"/>
      <c r="P142" s="660"/>
      <c r="Q142" s="639"/>
    </row>
    <row r="143" spans="1:17" ht="14.4" customHeight="1" x14ac:dyDescent="0.3">
      <c r="A143" s="634" t="s">
        <v>2418</v>
      </c>
      <c r="B143" s="635" t="s">
        <v>2254</v>
      </c>
      <c r="C143" s="635" t="s">
        <v>1819</v>
      </c>
      <c r="D143" s="635" t="s">
        <v>2507</v>
      </c>
      <c r="E143" s="635" t="s">
        <v>2508</v>
      </c>
      <c r="F143" s="638">
        <v>2</v>
      </c>
      <c r="G143" s="638">
        <v>8244</v>
      </c>
      <c r="H143" s="638">
        <v>1</v>
      </c>
      <c r="I143" s="638">
        <v>4122</v>
      </c>
      <c r="J143" s="638"/>
      <c r="K143" s="638"/>
      <c r="L143" s="638"/>
      <c r="M143" s="638"/>
      <c r="N143" s="638">
        <v>3</v>
      </c>
      <c r="O143" s="638">
        <v>12381</v>
      </c>
      <c r="P143" s="660">
        <v>1.5018195050946144</v>
      </c>
      <c r="Q143" s="639">
        <v>4127</v>
      </c>
    </row>
    <row r="144" spans="1:17" ht="14.4" customHeight="1" x14ac:dyDescent="0.3">
      <c r="A144" s="634" t="s">
        <v>2418</v>
      </c>
      <c r="B144" s="635" t="s">
        <v>2254</v>
      </c>
      <c r="C144" s="635" t="s">
        <v>1819</v>
      </c>
      <c r="D144" s="635" t="s">
        <v>2509</v>
      </c>
      <c r="E144" s="635" t="s">
        <v>2510</v>
      </c>
      <c r="F144" s="638">
        <v>2</v>
      </c>
      <c r="G144" s="638">
        <v>554</v>
      </c>
      <c r="H144" s="638">
        <v>1</v>
      </c>
      <c r="I144" s="638">
        <v>277</v>
      </c>
      <c r="J144" s="638">
        <v>3</v>
      </c>
      <c r="K144" s="638">
        <v>834</v>
      </c>
      <c r="L144" s="638">
        <v>1.5054151624548737</v>
      </c>
      <c r="M144" s="638">
        <v>278</v>
      </c>
      <c r="N144" s="638">
        <v>1</v>
      </c>
      <c r="O144" s="638">
        <v>278</v>
      </c>
      <c r="P144" s="660">
        <v>0.50180505415162457</v>
      </c>
      <c r="Q144" s="639">
        <v>278</v>
      </c>
    </row>
    <row r="145" spans="1:17" ht="14.4" customHeight="1" x14ac:dyDescent="0.3">
      <c r="A145" s="634" t="s">
        <v>2418</v>
      </c>
      <c r="B145" s="635" t="s">
        <v>2254</v>
      </c>
      <c r="C145" s="635" t="s">
        <v>1819</v>
      </c>
      <c r="D145" s="635" t="s">
        <v>2511</v>
      </c>
      <c r="E145" s="635" t="s">
        <v>2512</v>
      </c>
      <c r="F145" s="638"/>
      <c r="G145" s="638"/>
      <c r="H145" s="638"/>
      <c r="I145" s="638"/>
      <c r="J145" s="638">
        <v>1</v>
      </c>
      <c r="K145" s="638">
        <v>6250</v>
      </c>
      <c r="L145" s="638"/>
      <c r="M145" s="638">
        <v>6250</v>
      </c>
      <c r="N145" s="638">
        <v>1</v>
      </c>
      <c r="O145" s="638">
        <v>6250</v>
      </c>
      <c r="P145" s="660"/>
      <c r="Q145" s="639">
        <v>6250</v>
      </c>
    </row>
    <row r="146" spans="1:17" ht="14.4" customHeight="1" x14ac:dyDescent="0.3">
      <c r="A146" s="634" t="s">
        <v>2418</v>
      </c>
      <c r="B146" s="635" t="s">
        <v>2254</v>
      </c>
      <c r="C146" s="635" t="s">
        <v>1819</v>
      </c>
      <c r="D146" s="635" t="s">
        <v>2513</v>
      </c>
      <c r="E146" s="635" t="s">
        <v>2514</v>
      </c>
      <c r="F146" s="638">
        <v>1</v>
      </c>
      <c r="G146" s="638">
        <v>1510</v>
      </c>
      <c r="H146" s="638">
        <v>1</v>
      </c>
      <c r="I146" s="638">
        <v>1510</v>
      </c>
      <c r="J146" s="638">
        <v>1</v>
      </c>
      <c r="K146" s="638">
        <v>1515</v>
      </c>
      <c r="L146" s="638">
        <v>1.0033112582781456</v>
      </c>
      <c r="M146" s="638">
        <v>1515</v>
      </c>
      <c r="N146" s="638"/>
      <c r="O146" s="638"/>
      <c r="P146" s="660"/>
      <c r="Q146" s="639"/>
    </row>
    <row r="147" spans="1:17" ht="14.4" customHeight="1" x14ac:dyDescent="0.3">
      <c r="A147" s="634" t="s">
        <v>2418</v>
      </c>
      <c r="B147" s="635" t="s">
        <v>2254</v>
      </c>
      <c r="C147" s="635" t="s">
        <v>1819</v>
      </c>
      <c r="D147" s="635" t="s">
        <v>2515</v>
      </c>
      <c r="E147" s="635" t="s">
        <v>2516</v>
      </c>
      <c r="F147" s="638"/>
      <c r="G147" s="638"/>
      <c r="H147" s="638"/>
      <c r="I147" s="638"/>
      <c r="J147" s="638"/>
      <c r="K147" s="638"/>
      <c r="L147" s="638"/>
      <c r="M147" s="638"/>
      <c r="N147" s="638">
        <v>1</v>
      </c>
      <c r="O147" s="638">
        <v>15049</v>
      </c>
      <c r="P147" s="660"/>
      <c r="Q147" s="639">
        <v>15049</v>
      </c>
    </row>
    <row r="148" spans="1:17" ht="14.4" customHeight="1" x14ac:dyDescent="0.3">
      <c r="A148" s="634" t="s">
        <v>2418</v>
      </c>
      <c r="B148" s="635" t="s">
        <v>2254</v>
      </c>
      <c r="C148" s="635" t="s">
        <v>1819</v>
      </c>
      <c r="D148" s="635" t="s">
        <v>2517</v>
      </c>
      <c r="E148" s="635" t="s">
        <v>2518</v>
      </c>
      <c r="F148" s="638">
        <v>2</v>
      </c>
      <c r="G148" s="638">
        <v>7622</v>
      </c>
      <c r="H148" s="638">
        <v>1</v>
      </c>
      <c r="I148" s="638">
        <v>3811</v>
      </c>
      <c r="J148" s="638">
        <v>9</v>
      </c>
      <c r="K148" s="638">
        <v>34335</v>
      </c>
      <c r="L148" s="638">
        <v>4.5047231697717134</v>
      </c>
      <c r="M148" s="638">
        <v>3815</v>
      </c>
      <c r="N148" s="638">
        <v>21</v>
      </c>
      <c r="O148" s="638">
        <v>80115</v>
      </c>
      <c r="P148" s="660">
        <v>10.511020729467331</v>
      </c>
      <c r="Q148" s="639">
        <v>3815</v>
      </c>
    </row>
    <row r="149" spans="1:17" ht="14.4" customHeight="1" x14ac:dyDescent="0.3">
      <c r="A149" s="634" t="s">
        <v>2418</v>
      </c>
      <c r="B149" s="635" t="s">
        <v>2254</v>
      </c>
      <c r="C149" s="635" t="s">
        <v>1819</v>
      </c>
      <c r="D149" s="635" t="s">
        <v>2519</v>
      </c>
      <c r="E149" s="635" t="s">
        <v>2520</v>
      </c>
      <c r="F149" s="638">
        <v>1</v>
      </c>
      <c r="G149" s="638">
        <v>5145</v>
      </c>
      <c r="H149" s="638">
        <v>1</v>
      </c>
      <c r="I149" s="638">
        <v>5145</v>
      </c>
      <c r="J149" s="638"/>
      <c r="K149" s="638"/>
      <c r="L149" s="638"/>
      <c r="M149" s="638"/>
      <c r="N149" s="638">
        <v>3</v>
      </c>
      <c r="O149" s="638">
        <v>15450</v>
      </c>
      <c r="P149" s="660">
        <v>3.0029154518950438</v>
      </c>
      <c r="Q149" s="639">
        <v>5150</v>
      </c>
    </row>
    <row r="150" spans="1:17" ht="14.4" customHeight="1" x14ac:dyDescent="0.3">
      <c r="A150" s="634" t="s">
        <v>2418</v>
      </c>
      <c r="B150" s="635" t="s">
        <v>2254</v>
      </c>
      <c r="C150" s="635" t="s">
        <v>1819</v>
      </c>
      <c r="D150" s="635" t="s">
        <v>2521</v>
      </c>
      <c r="E150" s="635" t="s">
        <v>2522</v>
      </c>
      <c r="F150" s="638"/>
      <c r="G150" s="638"/>
      <c r="H150" s="638"/>
      <c r="I150" s="638"/>
      <c r="J150" s="638">
        <v>4</v>
      </c>
      <c r="K150" s="638">
        <v>31340</v>
      </c>
      <c r="L150" s="638"/>
      <c r="M150" s="638">
        <v>7835</v>
      </c>
      <c r="N150" s="638">
        <v>10</v>
      </c>
      <c r="O150" s="638">
        <v>78350</v>
      </c>
      <c r="P150" s="660"/>
      <c r="Q150" s="639">
        <v>7835</v>
      </c>
    </row>
    <row r="151" spans="1:17" ht="14.4" customHeight="1" x14ac:dyDescent="0.3">
      <c r="A151" s="634" t="s">
        <v>2418</v>
      </c>
      <c r="B151" s="635" t="s">
        <v>2254</v>
      </c>
      <c r="C151" s="635" t="s">
        <v>1819</v>
      </c>
      <c r="D151" s="635" t="s">
        <v>2523</v>
      </c>
      <c r="E151" s="635" t="s">
        <v>2524</v>
      </c>
      <c r="F151" s="638"/>
      <c r="G151" s="638"/>
      <c r="H151" s="638"/>
      <c r="I151" s="638"/>
      <c r="J151" s="638">
        <v>1</v>
      </c>
      <c r="K151" s="638">
        <v>1657</v>
      </c>
      <c r="L151" s="638"/>
      <c r="M151" s="638">
        <v>1657</v>
      </c>
      <c r="N151" s="638">
        <v>1</v>
      </c>
      <c r="O151" s="638">
        <v>1657</v>
      </c>
      <c r="P151" s="660"/>
      <c r="Q151" s="639">
        <v>1657</v>
      </c>
    </row>
    <row r="152" spans="1:17" ht="14.4" customHeight="1" x14ac:dyDescent="0.3">
      <c r="A152" s="634" t="s">
        <v>2418</v>
      </c>
      <c r="B152" s="635" t="s">
        <v>2254</v>
      </c>
      <c r="C152" s="635" t="s">
        <v>1819</v>
      </c>
      <c r="D152" s="635" t="s">
        <v>2525</v>
      </c>
      <c r="E152" s="635" t="s">
        <v>2526</v>
      </c>
      <c r="F152" s="638">
        <v>8</v>
      </c>
      <c r="G152" s="638">
        <v>10208</v>
      </c>
      <c r="H152" s="638">
        <v>1</v>
      </c>
      <c r="I152" s="638">
        <v>1276</v>
      </c>
      <c r="J152" s="638">
        <v>7</v>
      </c>
      <c r="K152" s="638">
        <v>8939</v>
      </c>
      <c r="L152" s="638">
        <v>0.87568573667711602</v>
      </c>
      <c r="M152" s="638">
        <v>1277</v>
      </c>
      <c r="N152" s="638">
        <v>12</v>
      </c>
      <c r="O152" s="638">
        <v>15324</v>
      </c>
      <c r="P152" s="660">
        <v>1.5011755485893417</v>
      </c>
      <c r="Q152" s="639">
        <v>1277</v>
      </c>
    </row>
    <row r="153" spans="1:17" ht="14.4" customHeight="1" x14ac:dyDescent="0.3">
      <c r="A153" s="634" t="s">
        <v>2418</v>
      </c>
      <c r="B153" s="635" t="s">
        <v>2254</v>
      </c>
      <c r="C153" s="635" t="s">
        <v>1819</v>
      </c>
      <c r="D153" s="635" t="s">
        <v>2527</v>
      </c>
      <c r="E153" s="635" t="s">
        <v>2528</v>
      </c>
      <c r="F153" s="638">
        <v>7</v>
      </c>
      <c r="G153" s="638">
        <v>8141</v>
      </c>
      <c r="H153" s="638">
        <v>1</v>
      </c>
      <c r="I153" s="638">
        <v>1163</v>
      </c>
      <c r="J153" s="638">
        <v>7</v>
      </c>
      <c r="K153" s="638">
        <v>8148</v>
      </c>
      <c r="L153" s="638">
        <v>1.000859845227859</v>
      </c>
      <c r="M153" s="638">
        <v>1164</v>
      </c>
      <c r="N153" s="638">
        <v>11</v>
      </c>
      <c r="O153" s="638">
        <v>12804</v>
      </c>
      <c r="P153" s="660">
        <v>1.5727797567866355</v>
      </c>
      <c r="Q153" s="639">
        <v>1164</v>
      </c>
    </row>
    <row r="154" spans="1:17" ht="14.4" customHeight="1" x14ac:dyDescent="0.3">
      <c r="A154" s="634" t="s">
        <v>2418</v>
      </c>
      <c r="B154" s="635" t="s">
        <v>2254</v>
      </c>
      <c r="C154" s="635" t="s">
        <v>1819</v>
      </c>
      <c r="D154" s="635" t="s">
        <v>2529</v>
      </c>
      <c r="E154" s="635" t="s">
        <v>2530</v>
      </c>
      <c r="F154" s="638">
        <v>2</v>
      </c>
      <c r="G154" s="638">
        <v>10130</v>
      </c>
      <c r="H154" s="638">
        <v>1</v>
      </c>
      <c r="I154" s="638">
        <v>5065</v>
      </c>
      <c r="J154" s="638">
        <v>1</v>
      </c>
      <c r="K154" s="638">
        <v>5068</v>
      </c>
      <c r="L154" s="638">
        <v>0.50029615004935835</v>
      </c>
      <c r="M154" s="638">
        <v>5068</v>
      </c>
      <c r="N154" s="638"/>
      <c r="O154" s="638"/>
      <c r="P154" s="660"/>
      <c r="Q154" s="639"/>
    </row>
    <row r="155" spans="1:17" ht="14.4" customHeight="1" x14ac:dyDescent="0.3">
      <c r="A155" s="634" t="s">
        <v>2418</v>
      </c>
      <c r="B155" s="635" t="s">
        <v>2254</v>
      </c>
      <c r="C155" s="635" t="s">
        <v>1819</v>
      </c>
      <c r="D155" s="635" t="s">
        <v>2531</v>
      </c>
      <c r="E155" s="635" t="s">
        <v>2532</v>
      </c>
      <c r="F155" s="638"/>
      <c r="G155" s="638"/>
      <c r="H155" s="638"/>
      <c r="I155" s="638"/>
      <c r="J155" s="638">
        <v>1</v>
      </c>
      <c r="K155" s="638">
        <v>7673</v>
      </c>
      <c r="L155" s="638"/>
      <c r="M155" s="638">
        <v>7673</v>
      </c>
      <c r="N155" s="638"/>
      <c r="O155" s="638"/>
      <c r="P155" s="660"/>
      <c r="Q155" s="639"/>
    </row>
    <row r="156" spans="1:17" ht="14.4" customHeight="1" x14ac:dyDescent="0.3">
      <c r="A156" s="634" t="s">
        <v>2418</v>
      </c>
      <c r="B156" s="635" t="s">
        <v>2254</v>
      </c>
      <c r="C156" s="635" t="s">
        <v>1819</v>
      </c>
      <c r="D156" s="635" t="s">
        <v>2533</v>
      </c>
      <c r="E156" s="635" t="s">
        <v>2534</v>
      </c>
      <c r="F156" s="638">
        <v>1</v>
      </c>
      <c r="G156" s="638">
        <v>5505</v>
      </c>
      <c r="H156" s="638">
        <v>1</v>
      </c>
      <c r="I156" s="638">
        <v>5505</v>
      </c>
      <c r="J156" s="638"/>
      <c r="K156" s="638"/>
      <c r="L156" s="638"/>
      <c r="M156" s="638"/>
      <c r="N156" s="638"/>
      <c r="O156" s="638"/>
      <c r="P156" s="660"/>
      <c r="Q156" s="639"/>
    </row>
    <row r="157" spans="1:17" ht="14.4" customHeight="1" x14ac:dyDescent="0.3">
      <c r="A157" s="634" t="s">
        <v>2418</v>
      </c>
      <c r="B157" s="635" t="s">
        <v>2254</v>
      </c>
      <c r="C157" s="635" t="s">
        <v>1819</v>
      </c>
      <c r="D157" s="635" t="s">
        <v>2535</v>
      </c>
      <c r="E157" s="635" t="s">
        <v>2536</v>
      </c>
      <c r="F157" s="638">
        <v>143</v>
      </c>
      <c r="G157" s="638">
        <v>24596</v>
      </c>
      <c r="H157" s="638">
        <v>1</v>
      </c>
      <c r="I157" s="638">
        <v>172</v>
      </c>
      <c r="J157" s="638">
        <v>169</v>
      </c>
      <c r="K157" s="638">
        <v>29237</v>
      </c>
      <c r="L157" s="638">
        <v>1.1886892177589852</v>
      </c>
      <c r="M157" s="638">
        <v>173</v>
      </c>
      <c r="N157" s="638">
        <v>159</v>
      </c>
      <c r="O157" s="638">
        <v>27507</v>
      </c>
      <c r="P157" s="660">
        <v>1.1183525776549033</v>
      </c>
      <c r="Q157" s="639">
        <v>173</v>
      </c>
    </row>
    <row r="158" spans="1:17" ht="14.4" customHeight="1" x14ac:dyDescent="0.3">
      <c r="A158" s="634" t="s">
        <v>2418</v>
      </c>
      <c r="B158" s="635" t="s">
        <v>2254</v>
      </c>
      <c r="C158" s="635" t="s">
        <v>1819</v>
      </c>
      <c r="D158" s="635" t="s">
        <v>2537</v>
      </c>
      <c r="E158" s="635" t="s">
        <v>2538</v>
      </c>
      <c r="F158" s="638">
        <v>14</v>
      </c>
      <c r="G158" s="638">
        <v>27916</v>
      </c>
      <c r="H158" s="638">
        <v>1</v>
      </c>
      <c r="I158" s="638">
        <v>1994</v>
      </c>
      <c r="J158" s="638">
        <v>5</v>
      </c>
      <c r="K158" s="638">
        <v>9980</v>
      </c>
      <c r="L158" s="638">
        <v>0.35750107465252901</v>
      </c>
      <c r="M158" s="638">
        <v>1996</v>
      </c>
      <c r="N158" s="638">
        <v>5</v>
      </c>
      <c r="O158" s="638">
        <v>9980</v>
      </c>
      <c r="P158" s="660">
        <v>0.35750107465252901</v>
      </c>
      <c r="Q158" s="639">
        <v>1996</v>
      </c>
    </row>
    <row r="159" spans="1:17" ht="14.4" customHeight="1" x14ac:dyDescent="0.3">
      <c r="A159" s="634" t="s">
        <v>2418</v>
      </c>
      <c r="B159" s="635" t="s">
        <v>2254</v>
      </c>
      <c r="C159" s="635" t="s">
        <v>1819</v>
      </c>
      <c r="D159" s="635" t="s">
        <v>2539</v>
      </c>
      <c r="E159" s="635" t="s">
        <v>2540</v>
      </c>
      <c r="F159" s="638"/>
      <c r="G159" s="638"/>
      <c r="H159" s="638"/>
      <c r="I159" s="638"/>
      <c r="J159" s="638">
        <v>2</v>
      </c>
      <c r="K159" s="638">
        <v>5384</v>
      </c>
      <c r="L159" s="638"/>
      <c r="M159" s="638">
        <v>2692</v>
      </c>
      <c r="N159" s="638"/>
      <c r="O159" s="638"/>
      <c r="P159" s="660"/>
      <c r="Q159" s="639"/>
    </row>
    <row r="160" spans="1:17" ht="14.4" customHeight="1" x14ac:dyDescent="0.3">
      <c r="A160" s="634" t="s">
        <v>2418</v>
      </c>
      <c r="B160" s="635" t="s">
        <v>2254</v>
      </c>
      <c r="C160" s="635" t="s">
        <v>1819</v>
      </c>
      <c r="D160" s="635" t="s">
        <v>2541</v>
      </c>
      <c r="E160" s="635" t="s">
        <v>2542</v>
      </c>
      <c r="F160" s="638"/>
      <c r="G160" s="638"/>
      <c r="H160" s="638"/>
      <c r="I160" s="638"/>
      <c r="J160" s="638"/>
      <c r="K160" s="638"/>
      <c r="L160" s="638"/>
      <c r="M160" s="638"/>
      <c r="N160" s="638">
        <v>1</v>
      </c>
      <c r="O160" s="638">
        <v>5180</v>
      </c>
      <c r="P160" s="660"/>
      <c r="Q160" s="639">
        <v>5180</v>
      </c>
    </row>
    <row r="161" spans="1:17" ht="14.4" customHeight="1" x14ac:dyDescent="0.3">
      <c r="A161" s="634" t="s">
        <v>2418</v>
      </c>
      <c r="B161" s="635" t="s">
        <v>2254</v>
      </c>
      <c r="C161" s="635" t="s">
        <v>1819</v>
      </c>
      <c r="D161" s="635" t="s">
        <v>2543</v>
      </c>
      <c r="E161" s="635" t="s">
        <v>2544</v>
      </c>
      <c r="F161" s="638"/>
      <c r="G161" s="638"/>
      <c r="H161" s="638"/>
      <c r="I161" s="638"/>
      <c r="J161" s="638">
        <v>1</v>
      </c>
      <c r="K161" s="638">
        <v>658</v>
      </c>
      <c r="L161" s="638"/>
      <c r="M161" s="638">
        <v>658</v>
      </c>
      <c r="N161" s="638"/>
      <c r="O161" s="638"/>
      <c r="P161" s="660"/>
      <c r="Q161" s="639"/>
    </row>
    <row r="162" spans="1:17" ht="14.4" customHeight="1" x14ac:dyDescent="0.3">
      <c r="A162" s="634" t="s">
        <v>2418</v>
      </c>
      <c r="B162" s="635" t="s">
        <v>2254</v>
      </c>
      <c r="C162" s="635" t="s">
        <v>1819</v>
      </c>
      <c r="D162" s="635" t="s">
        <v>2545</v>
      </c>
      <c r="E162" s="635" t="s">
        <v>2546</v>
      </c>
      <c r="F162" s="638"/>
      <c r="G162" s="638"/>
      <c r="H162" s="638"/>
      <c r="I162" s="638"/>
      <c r="J162" s="638"/>
      <c r="K162" s="638"/>
      <c r="L162" s="638"/>
      <c r="M162" s="638"/>
      <c r="N162" s="638">
        <v>2</v>
      </c>
      <c r="O162" s="638">
        <v>4152</v>
      </c>
      <c r="P162" s="660"/>
      <c r="Q162" s="639">
        <v>2076</v>
      </c>
    </row>
    <row r="163" spans="1:17" ht="14.4" customHeight="1" x14ac:dyDescent="0.3">
      <c r="A163" s="634" t="s">
        <v>2418</v>
      </c>
      <c r="B163" s="635" t="s">
        <v>2254</v>
      </c>
      <c r="C163" s="635" t="s">
        <v>1819</v>
      </c>
      <c r="D163" s="635" t="s">
        <v>2547</v>
      </c>
      <c r="E163" s="635" t="s">
        <v>2548</v>
      </c>
      <c r="F163" s="638">
        <v>8</v>
      </c>
      <c r="G163" s="638">
        <v>1576</v>
      </c>
      <c r="H163" s="638">
        <v>1</v>
      </c>
      <c r="I163" s="638">
        <v>197</v>
      </c>
      <c r="J163" s="638">
        <v>8</v>
      </c>
      <c r="K163" s="638">
        <v>1584</v>
      </c>
      <c r="L163" s="638">
        <v>1.0050761421319796</v>
      </c>
      <c r="M163" s="638">
        <v>198</v>
      </c>
      <c r="N163" s="638">
        <v>36</v>
      </c>
      <c r="O163" s="638">
        <v>7128</v>
      </c>
      <c r="P163" s="660">
        <v>4.5228426395939083</v>
      </c>
      <c r="Q163" s="639">
        <v>198</v>
      </c>
    </row>
    <row r="164" spans="1:17" ht="14.4" customHeight="1" x14ac:dyDescent="0.3">
      <c r="A164" s="634" t="s">
        <v>2418</v>
      </c>
      <c r="B164" s="635" t="s">
        <v>2254</v>
      </c>
      <c r="C164" s="635" t="s">
        <v>1819</v>
      </c>
      <c r="D164" s="635" t="s">
        <v>2549</v>
      </c>
      <c r="E164" s="635" t="s">
        <v>2550</v>
      </c>
      <c r="F164" s="638">
        <v>6</v>
      </c>
      <c r="G164" s="638">
        <v>2484</v>
      </c>
      <c r="H164" s="638">
        <v>1</v>
      </c>
      <c r="I164" s="638">
        <v>414</v>
      </c>
      <c r="J164" s="638">
        <v>10</v>
      </c>
      <c r="K164" s="638">
        <v>4150</v>
      </c>
      <c r="L164" s="638">
        <v>1.6706924315619969</v>
      </c>
      <c r="M164" s="638">
        <v>415</v>
      </c>
      <c r="N164" s="638">
        <v>1</v>
      </c>
      <c r="O164" s="638">
        <v>415</v>
      </c>
      <c r="P164" s="660">
        <v>0.16706924315619967</v>
      </c>
      <c r="Q164" s="639">
        <v>415</v>
      </c>
    </row>
    <row r="165" spans="1:17" ht="14.4" customHeight="1" x14ac:dyDescent="0.3">
      <c r="A165" s="634" t="s">
        <v>2418</v>
      </c>
      <c r="B165" s="635" t="s">
        <v>2254</v>
      </c>
      <c r="C165" s="635" t="s">
        <v>1819</v>
      </c>
      <c r="D165" s="635" t="s">
        <v>2551</v>
      </c>
      <c r="E165" s="635" t="s">
        <v>2552</v>
      </c>
      <c r="F165" s="638">
        <v>2</v>
      </c>
      <c r="G165" s="638">
        <v>848</v>
      </c>
      <c r="H165" s="638">
        <v>1</v>
      </c>
      <c r="I165" s="638">
        <v>424</v>
      </c>
      <c r="J165" s="638">
        <v>2</v>
      </c>
      <c r="K165" s="638">
        <v>850</v>
      </c>
      <c r="L165" s="638">
        <v>1.0023584905660377</v>
      </c>
      <c r="M165" s="638">
        <v>425</v>
      </c>
      <c r="N165" s="638"/>
      <c r="O165" s="638"/>
      <c r="P165" s="660"/>
      <c r="Q165" s="639"/>
    </row>
    <row r="166" spans="1:17" ht="14.4" customHeight="1" x14ac:dyDescent="0.3">
      <c r="A166" s="634" t="s">
        <v>2418</v>
      </c>
      <c r="B166" s="635" t="s">
        <v>2254</v>
      </c>
      <c r="C166" s="635" t="s">
        <v>1819</v>
      </c>
      <c r="D166" s="635" t="s">
        <v>2553</v>
      </c>
      <c r="E166" s="635" t="s">
        <v>2554</v>
      </c>
      <c r="F166" s="638"/>
      <c r="G166" s="638"/>
      <c r="H166" s="638"/>
      <c r="I166" s="638"/>
      <c r="J166" s="638">
        <v>14</v>
      </c>
      <c r="K166" s="638">
        <v>29652</v>
      </c>
      <c r="L166" s="638"/>
      <c r="M166" s="638">
        <v>2118</v>
      </c>
      <c r="N166" s="638">
        <v>16</v>
      </c>
      <c r="O166" s="638">
        <v>33888</v>
      </c>
      <c r="P166" s="660"/>
      <c r="Q166" s="639">
        <v>2118</v>
      </c>
    </row>
    <row r="167" spans="1:17" ht="14.4" customHeight="1" x14ac:dyDescent="0.3">
      <c r="A167" s="634" t="s">
        <v>2418</v>
      </c>
      <c r="B167" s="635" t="s">
        <v>2254</v>
      </c>
      <c r="C167" s="635" t="s">
        <v>1819</v>
      </c>
      <c r="D167" s="635" t="s">
        <v>2555</v>
      </c>
      <c r="E167" s="635" t="s">
        <v>2518</v>
      </c>
      <c r="F167" s="638">
        <v>2</v>
      </c>
      <c r="G167" s="638">
        <v>3724</v>
      </c>
      <c r="H167" s="638">
        <v>1</v>
      </c>
      <c r="I167" s="638">
        <v>1862</v>
      </c>
      <c r="J167" s="638">
        <v>10</v>
      </c>
      <c r="K167" s="638">
        <v>18640</v>
      </c>
      <c r="L167" s="638">
        <v>5.0053705692803439</v>
      </c>
      <c r="M167" s="638">
        <v>1864</v>
      </c>
      <c r="N167" s="638">
        <v>22</v>
      </c>
      <c r="O167" s="638">
        <v>41008</v>
      </c>
      <c r="P167" s="660">
        <v>11.011815252416756</v>
      </c>
      <c r="Q167" s="639">
        <v>1864</v>
      </c>
    </row>
    <row r="168" spans="1:17" ht="14.4" customHeight="1" x14ac:dyDescent="0.3">
      <c r="A168" s="634" t="s">
        <v>2418</v>
      </c>
      <c r="B168" s="635" t="s">
        <v>2254</v>
      </c>
      <c r="C168" s="635" t="s">
        <v>1819</v>
      </c>
      <c r="D168" s="635" t="s">
        <v>2556</v>
      </c>
      <c r="E168" s="635" t="s">
        <v>2557</v>
      </c>
      <c r="F168" s="638">
        <v>1</v>
      </c>
      <c r="G168" s="638">
        <v>910</v>
      </c>
      <c r="H168" s="638">
        <v>1</v>
      </c>
      <c r="I168" s="638">
        <v>910</v>
      </c>
      <c r="J168" s="638">
        <v>2</v>
      </c>
      <c r="K168" s="638">
        <v>1824</v>
      </c>
      <c r="L168" s="638">
        <v>2.0043956043956044</v>
      </c>
      <c r="M168" s="638">
        <v>912</v>
      </c>
      <c r="N168" s="638">
        <v>1</v>
      </c>
      <c r="O168" s="638">
        <v>912</v>
      </c>
      <c r="P168" s="660">
        <v>1.0021978021978022</v>
      </c>
      <c r="Q168" s="639">
        <v>912</v>
      </c>
    </row>
    <row r="169" spans="1:17" ht="14.4" customHeight="1" x14ac:dyDescent="0.3">
      <c r="A169" s="634" t="s">
        <v>2418</v>
      </c>
      <c r="B169" s="635" t="s">
        <v>2254</v>
      </c>
      <c r="C169" s="635" t="s">
        <v>1819</v>
      </c>
      <c r="D169" s="635" t="s">
        <v>2558</v>
      </c>
      <c r="E169" s="635" t="s">
        <v>2559</v>
      </c>
      <c r="F169" s="638">
        <v>1</v>
      </c>
      <c r="G169" s="638">
        <v>8378</v>
      </c>
      <c r="H169" s="638">
        <v>1</v>
      </c>
      <c r="I169" s="638">
        <v>8378</v>
      </c>
      <c r="J169" s="638">
        <v>5</v>
      </c>
      <c r="K169" s="638">
        <v>41920</v>
      </c>
      <c r="L169" s="638">
        <v>5.0035808068751493</v>
      </c>
      <c r="M169" s="638">
        <v>8384</v>
      </c>
      <c r="N169" s="638">
        <v>15</v>
      </c>
      <c r="O169" s="638">
        <v>125760</v>
      </c>
      <c r="P169" s="660">
        <v>15.010742420625448</v>
      </c>
      <c r="Q169" s="639">
        <v>8384</v>
      </c>
    </row>
    <row r="170" spans="1:17" ht="14.4" customHeight="1" x14ac:dyDescent="0.3">
      <c r="A170" s="634" t="s">
        <v>2418</v>
      </c>
      <c r="B170" s="635" t="s">
        <v>2254</v>
      </c>
      <c r="C170" s="635" t="s">
        <v>1819</v>
      </c>
      <c r="D170" s="635" t="s">
        <v>2560</v>
      </c>
      <c r="E170" s="635" t="s">
        <v>2561</v>
      </c>
      <c r="F170" s="638">
        <v>1</v>
      </c>
      <c r="G170" s="638">
        <v>1988</v>
      </c>
      <c r="H170" s="638">
        <v>1</v>
      </c>
      <c r="I170" s="638">
        <v>1988</v>
      </c>
      <c r="J170" s="638">
        <v>2</v>
      </c>
      <c r="K170" s="638">
        <v>3986</v>
      </c>
      <c r="L170" s="638">
        <v>2.0050301810865192</v>
      </c>
      <c r="M170" s="638">
        <v>1993</v>
      </c>
      <c r="N170" s="638"/>
      <c r="O170" s="638"/>
      <c r="P170" s="660"/>
      <c r="Q170" s="639"/>
    </row>
    <row r="171" spans="1:17" ht="14.4" customHeight="1" x14ac:dyDescent="0.3">
      <c r="A171" s="634" t="s">
        <v>2562</v>
      </c>
      <c r="B171" s="635" t="s">
        <v>2563</v>
      </c>
      <c r="C171" s="635" t="s">
        <v>1819</v>
      </c>
      <c r="D171" s="635" t="s">
        <v>2564</v>
      </c>
      <c r="E171" s="635" t="s">
        <v>2565</v>
      </c>
      <c r="F171" s="638">
        <v>119</v>
      </c>
      <c r="G171" s="638">
        <v>24038</v>
      </c>
      <c r="H171" s="638">
        <v>1</v>
      </c>
      <c r="I171" s="638">
        <v>202</v>
      </c>
      <c r="J171" s="638">
        <v>137</v>
      </c>
      <c r="K171" s="638">
        <v>27811</v>
      </c>
      <c r="L171" s="638">
        <v>1.1569598136284216</v>
      </c>
      <c r="M171" s="638">
        <v>203</v>
      </c>
      <c r="N171" s="638">
        <v>146</v>
      </c>
      <c r="O171" s="638">
        <v>29638</v>
      </c>
      <c r="P171" s="660">
        <v>1.2329644729178799</v>
      </c>
      <c r="Q171" s="639">
        <v>203</v>
      </c>
    </row>
    <row r="172" spans="1:17" ht="14.4" customHeight="1" x14ac:dyDescent="0.3">
      <c r="A172" s="634" t="s">
        <v>2562</v>
      </c>
      <c r="B172" s="635" t="s">
        <v>2563</v>
      </c>
      <c r="C172" s="635" t="s">
        <v>1819</v>
      </c>
      <c r="D172" s="635" t="s">
        <v>2566</v>
      </c>
      <c r="E172" s="635" t="s">
        <v>2567</v>
      </c>
      <c r="F172" s="638">
        <v>9</v>
      </c>
      <c r="G172" s="638">
        <v>2619</v>
      </c>
      <c r="H172" s="638">
        <v>1</v>
      </c>
      <c r="I172" s="638">
        <v>291</v>
      </c>
      <c r="J172" s="638">
        <v>39</v>
      </c>
      <c r="K172" s="638">
        <v>11388</v>
      </c>
      <c r="L172" s="638">
        <v>4.3482245131729664</v>
      </c>
      <c r="M172" s="638">
        <v>292</v>
      </c>
      <c r="N172" s="638">
        <v>73</v>
      </c>
      <c r="O172" s="638">
        <v>21316</v>
      </c>
      <c r="P172" s="660">
        <v>8.1389843451699129</v>
      </c>
      <c r="Q172" s="639">
        <v>292</v>
      </c>
    </row>
    <row r="173" spans="1:17" ht="14.4" customHeight="1" x14ac:dyDescent="0.3">
      <c r="A173" s="634" t="s">
        <v>2562</v>
      </c>
      <c r="B173" s="635" t="s">
        <v>2563</v>
      </c>
      <c r="C173" s="635" t="s">
        <v>1819</v>
      </c>
      <c r="D173" s="635" t="s">
        <v>2568</v>
      </c>
      <c r="E173" s="635" t="s">
        <v>2569</v>
      </c>
      <c r="F173" s="638"/>
      <c r="G173" s="638"/>
      <c r="H173" s="638"/>
      <c r="I173" s="638"/>
      <c r="J173" s="638">
        <v>3</v>
      </c>
      <c r="K173" s="638">
        <v>279</v>
      </c>
      <c r="L173" s="638"/>
      <c r="M173" s="638">
        <v>93</v>
      </c>
      <c r="N173" s="638">
        <v>6</v>
      </c>
      <c r="O173" s="638">
        <v>558</v>
      </c>
      <c r="P173" s="660"/>
      <c r="Q173" s="639">
        <v>93</v>
      </c>
    </row>
    <row r="174" spans="1:17" ht="14.4" customHeight="1" x14ac:dyDescent="0.3">
      <c r="A174" s="634" t="s">
        <v>2562</v>
      </c>
      <c r="B174" s="635" t="s">
        <v>2563</v>
      </c>
      <c r="C174" s="635" t="s">
        <v>1819</v>
      </c>
      <c r="D174" s="635" t="s">
        <v>2570</v>
      </c>
      <c r="E174" s="635" t="s">
        <v>2571</v>
      </c>
      <c r="F174" s="638">
        <v>21</v>
      </c>
      <c r="G174" s="638">
        <v>2793</v>
      </c>
      <c r="H174" s="638">
        <v>1</v>
      </c>
      <c r="I174" s="638">
        <v>133</v>
      </c>
      <c r="J174" s="638">
        <v>31</v>
      </c>
      <c r="K174" s="638">
        <v>4154</v>
      </c>
      <c r="L174" s="638">
        <v>1.4872896527031865</v>
      </c>
      <c r="M174" s="638">
        <v>134</v>
      </c>
      <c r="N174" s="638">
        <v>28</v>
      </c>
      <c r="O174" s="638">
        <v>3752</v>
      </c>
      <c r="P174" s="660">
        <v>1.3433583959899749</v>
      </c>
      <c r="Q174" s="639">
        <v>134</v>
      </c>
    </row>
    <row r="175" spans="1:17" ht="14.4" customHeight="1" x14ac:dyDescent="0.3">
      <c r="A175" s="634" t="s">
        <v>2562</v>
      </c>
      <c r="B175" s="635" t="s">
        <v>2563</v>
      </c>
      <c r="C175" s="635" t="s">
        <v>1819</v>
      </c>
      <c r="D175" s="635" t="s">
        <v>2572</v>
      </c>
      <c r="E175" s="635" t="s">
        <v>2573</v>
      </c>
      <c r="F175" s="638"/>
      <c r="G175" s="638"/>
      <c r="H175" s="638"/>
      <c r="I175" s="638"/>
      <c r="J175" s="638">
        <v>2</v>
      </c>
      <c r="K175" s="638">
        <v>318</v>
      </c>
      <c r="L175" s="638"/>
      <c r="M175" s="638">
        <v>159</v>
      </c>
      <c r="N175" s="638">
        <v>4</v>
      </c>
      <c r="O175" s="638">
        <v>636</v>
      </c>
      <c r="P175" s="660"/>
      <c r="Q175" s="639">
        <v>159</v>
      </c>
    </row>
    <row r="176" spans="1:17" ht="14.4" customHeight="1" x14ac:dyDescent="0.3">
      <c r="A176" s="634" t="s">
        <v>2562</v>
      </c>
      <c r="B176" s="635" t="s">
        <v>2563</v>
      </c>
      <c r="C176" s="635" t="s">
        <v>1819</v>
      </c>
      <c r="D176" s="635" t="s">
        <v>2574</v>
      </c>
      <c r="E176" s="635" t="s">
        <v>2575</v>
      </c>
      <c r="F176" s="638">
        <v>11</v>
      </c>
      <c r="G176" s="638">
        <v>2871</v>
      </c>
      <c r="H176" s="638">
        <v>1</v>
      </c>
      <c r="I176" s="638">
        <v>261</v>
      </c>
      <c r="J176" s="638">
        <v>27</v>
      </c>
      <c r="K176" s="638">
        <v>7074</v>
      </c>
      <c r="L176" s="638">
        <v>2.4639498432601883</v>
      </c>
      <c r="M176" s="638">
        <v>262</v>
      </c>
      <c r="N176" s="638">
        <v>30</v>
      </c>
      <c r="O176" s="638">
        <v>7860</v>
      </c>
      <c r="P176" s="660">
        <v>2.7377220480668756</v>
      </c>
      <c r="Q176" s="639">
        <v>262</v>
      </c>
    </row>
    <row r="177" spans="1:17" ht="14.4" customHeight="1" x14ac:dyDescent="0.3">
      <c r="A177" s="634" t="s">
        <v>2562</v>
      </c>
      <c r="B177" s="635" t="s">
        <v>2563</v>
      </c>
      <c r="C177" s="635" t="s">
        <v>1819</v>
      </c>
      <c r="D177" s="635" t="s">
        <v>2576</v>
      </c>
      <c r="E177" s="635" t="s">
        <v>2577</v>
      </c>
      <c r="F177" s="638">
        <v>31</v>
      </c>
      <c r="G177" s="638">
        <v>4340</v>
      </c>
      <c r="H177" s="638">
        <v>1</v>
      </c>
      <c r="I177" s="638">
        <v>140</v>
      </c>
      <c r="J177" s="638">
        <v>30</v>
      </c>
      <c r="K177" s="638">
        <v>4230</v>
      </c>
      <c r="L177" s="638">
        <v>0.97465437788018439</v>
      </c>
      <c r="M177" s="638">
        <v>141</v>
      </c>
      <c r="N177" s="638">
        <v>31</v>
      </c>
      <c r="O177" s="638">
        <v>4371</v>
      </c>
      <c r="P177" s="660">
        <v>1.0071428571428571</v>
      </c>
      <c r="Q177" s="639">
        <v>141</v>
      </c>
    </row>
    <row r="178" spans="1:17" ht="14.4" customHeight="1" x14ac:dyDescent="0.3">
      <c r="A178" s="634" t="s">
        <v>2562</v>
      </c>
      <c r="B178" s="635" t="s">
        <v>2563</v>
      </c>
      <c r="C178" s="635" t="s">
        <v>1819</v>
      </c>
      <c r="D178" s="635" t="s">
        <v>2578</v>
      </c>
      <c r="E178" s="635" t="s">
        <v>2577</v>
      </c>
      <c r="F178" s="638">
        <v>21</v>
      </c>
      <c r="G178" s="638">
        <v>1638</v>
      </c>
      <c r="H178" s="638">
        <v>1</v>
      </c>
      <c r="I178" s="638">
        <v>78</v>
      </c>
      <c r="J178" s="638">
        <v>31</v>
      </c>
      <c r="K178" s="638">
        <v>2418</v>
      </c>
      <c r="L178" s="638">
        <v>1.4761904761904763</v>
      </c>
      <c r="M178" s="638">
        <v>78</v>
      </c>
      <c r="N178" s="638">
        <v>28</v>
      </c>
      <c r="O178" s="638">
        <v>2184</v>
      </c>
      <c r="P178" s="660">
        <v>1.3333333333333333</v>
      </c>
      <c r="Q178" s="639">
        <v>78</v>
      </c>
    </row>
    <row r="179" spans="1:17" ht="14.4" customHeight="1" x14ac:dyDescent="0.3">
      <c r="A179" s="634" t="s">
        <v>2562</v>
      </c>
      <c r="B179" s="635" t="s">
        <v>2563</v>
      </c>
      <c r="C179" s="635" t="s">
        <v>1819</v>
      </c>
      <c r="D179" s="635" t="s">
        <v>2579</v>
      </c>
      <c r="E179" s="635" t="s">
        <v>2580</v>
      </c>
      <c r="F179" s="638">
        <v>31</v>
      </c>
      <c r="G179" s="638">
        <v>9362</v>
      </c>
      <c r="H179" s="638">
        <v>1</v>
      </c>
      <c r="I179" s="638">
        <v>302</v>
      </c>
      <c r="J179" s="638">
        <v>30</v>
      </c>
      <c r="K179" s="638">
        <v>9090</v>
      </c>
      <c r="L179" s="638">
        <v>0.97094637897885072</v>
      </c>
      <c r="M179" s="638">
        <v>303</v>
      </c>
      <c r="N179" s="638">
        <v>31</v>
      </c>
      <c r="O179" s="638">
        <v>9393</v>
      </c>
      <c r="P179" s="660">
        <v>1.0033112582781456</v>
      </c>
      <c r="Q179" s="639">
        <v>303</v>
      </c>
    </row>
    <row r="180" spans="1:17" ht="14.4" customHeight="1" x14ac:dyDescent="0.3">
      <c r="A180" s="634" t="s">
        <v>2562</v>
      </c>
      <c r="B180" s="635" t="s">
        <v>2563</v>
      </c>
      <c r="C180" s="635" t="s">
        <v>1819</v>
      </c>
      <c r="D180" s="635" t="s">
        <v>2581</v>
      </c>
      <c r="E180" s="635" t="s">
        <v>2582</v>
      </c>
      <c r="F180" s="638">
        <v>4</v>
      </c>
      <c r="G180" s="638">
        <v>636</v>
      </c>
      <c r="H180" s="638">
        <v>1</v>
      </c>
      <c r="I180" s="638">
        <v>159</v>
      </c>
      <c r="J180" s="638">
        <v>5</v>
      </c>
      <c r="K180" s="638">
        <v>800</v>
      </c>
      <c r="L180" s="638">
        <v>1.2578616352201257</v>
      </c>
      <c r="M180" s="638">
        <v>160</v>
      </c>
      <c r="N180" s="638">
        <v>9</v>
      </c>
      <c r="O180" s="638">
        <v>1440</v>
      </c>
      <c r="P180" s="660">
        <v>2.2641509433962264</v>
      </c>
      <c r="Q180" s="639">
        <v>160</v>
      </c>
    </row>
    <row r="181" spans="1:17" ht="14.4" customHeight="1" x14ac:dyDescent="0.3">
      <c r="A181" s="634" t="s">
        <v>2562</v>
      </c>
      <c r="B181" s="635" t="s">
        <v>2563</v>
      </c>
      <c r="C181" s="635" t="s">
        <v>1819</v>
      </c>
      <c r="D181" s="635" t="s">
        <v>2583</v>
      </c>
      <c r="E181" s="635" t="s">
        <v>2565</v>
      </c>
      <c r="F181" s="638">
        <v>58</v>
      </c>
      <c r="G181" s="638">
        <v>4060</v>
      </c>
      <c r="H181" s="638">
        <v>1</v>
      </c>
      <c r="I181" s="638">
        <v>70</v>
      </c>
      <c r="J181" s="638">
        <v>89</v>
      </c>
      <c r="K181" s="638">
        <v>6230</v>
      </c>
      <c r="L181" s="638">
        <v>1.5344827586206897</v>
      </c>
      <c r="M181" s="638">
        <v>70</v>
      </c>
      <c r="N181" s="638">
        <v>92</v>
      </c>
      <c r="O181" s="638">
        <v>6440</v>
      </c>
      <c r="P181" s="660">
        <v>1.5862068965517242</v>
      </c>
      <c r="Q181" s="639">
        <v>70</v>
      </c>
    </row>
    <row r="182" spans="1:17" ht="14.4" customHeight="1" x14ac:dyDescent="0.3">
      <c r="A182" s="634" t="s">
        <v>2562</v>
      </c>
      <c r="B182" s="635" t="s">
        <v>2563</v>
      </c>
      <c r="C182" s="635" t="s">
        <v>1819</v>
      </c>
      <c r="D182" s="635" t="s">
        <v>2584</v>
      </c>
      <c r="E182" s="635" t="s">
        <v>2585</v>
      </c>
      <c r="F182" s="638">
        <v>1</v>
      </c>
      <c r="G182" s="638">
        <v>215</v>
      </c>
      <c r="H182" s="638">
        <v>1</v>
      </c>
      <c r="I182" s="638">
        <v>215</v>
      </c>
      <c r="J182" s="638"/>
      <c r="K182" s="638"/>
      <c r="L182" s="638"/>
      <c r="M182" s="638"/>
      <c r="N182" s="638"/>
      <c r="O182" s="638"/>
      <c r="P182" s="660"/>
      <c r="Q182" s="639"/>
    </row>
    <row r="183" spans="1:17" ht="14.4" customHeight="1" x14ac:dyDescent="0.3">
      <c r="A183" s="634" t="s">
        <v>2562</v>
      </c>
      <c r="B183" s="635" t="s">
        <v>2563</v>
      </c>
      <c r="C183" s="635" t="s">
        <v>1819</v>
      </c>
      <c r="D183" s="635" t="s">
        <v>2586</v>
      </c>
      <c r="E183" s="635" t="s">
        <v>2587</v>
      </c>
      <c r="F183" s="638"/>
      <c r="G183" s="638"/>
      <c r="H183" s="638"/>
      <c r="I183" s="638"/>
      <c r="J183" s="638">
        <v>1</v>
      </c>
      <c r="K183" s="638">
        <v>1189</v>
      </c>
      <c r="L183" s="638"/>
      <c r="M183" s="638">
        <v>1189</v>
      </c>
      <c r="N183" s="638">
        <v>5</v>
      </c>
      <c r="O183" s="638">
        <v>5945</v>
      </c>
      <c r="P183" s="660"/>
      <c r="Q183" s="639">
        <v>1189</v>
      </c>
    </row>
    <row r="184" spans="1:17" ht="14.4" customHeight="1" x14ac:dyDescent="0.3">
      <c r="A184" s="634" t="s">
        <v>2562</v>
      </c>
      <c r="B184" s="635" t="s">
        <v>2563</v>
      </c>
      <c r="C184" s="635" t="s">
        <v>1819</v>
      </c>
      <c r="D184" s="635" t="s">
        <v>2588</v>
      </c>
      <c r="E184" s="635" t="s">
        <v>2589</v>
      </c>
      <c r="F184" s="638">
        <v>1</v>
      </c>
      <c r="G184" s="638">
        <v>107</v>
      </c>
      <c r="H184" s="638">
        <v>1</v>
      </c>
      <c r="I184" s="638">
        <v>107</v>
      </c>
      <c r="J184" s="638">
        <v>1</v>
      </c>
      <c r="K184" s="638">
        <v>108</v>
      </c>
      <c r="L184" s="638">
        <v>1.0093457943925233</v>
      </c>
      <c r="M184" s="638">
        <v>108</v>
      </c>
      <c r="N184" s="638">
        <v>4</v>
      </c>
      <c r="O184" s="638">
        <v>432</v>
      </c>
      <c r="P184" s="660">
        <v>4.037383177570093</v>
      </c>
      <c r="Q184" s="639">
        <v>108</v>
      </c>
    </row>
    <row r="185" spans="1:17" ht="14.4" customHeight="1" x14ac:dyDescent="0.3">
      <c r="A185" s="634" t="s">
        <v>2562</v>
      </c>
      <c r="B185" s="635" t="s">
        <v>2563</v>
      </c>
      <c r="C185" s="635" t="s">
        <v>1819</v>
      </c>
      <c r="D185" s="635" t="s">
        <v>2590</v>
      </c>
      <c r="E185" s="635" t="s">
        <v>2591</v>
      </c>
      <c r="F185" s="638">
        <v>1</v>
      </c>
      <c r="G185" s="638">
        <v>318</v>
      </c>
      <c r="H185" s="638">
        <v>1</v>
      </c>
      <c r="I185" s="638">
        <v>318</v>
      </c>
      <c r="J185" s="638"/>
      <c r="K185" s="638"/>
      <c r="L185" s="638"/>
      <c r="M185" s="638"/>
      <c r="N185" s="638"/>
      <c r="O185" s="638"/>
      <c r="P185" s="660"/>
      <c r="Q185" s="639"/>
    </row>
    <row r="186" spans="1:17" ht="14.4" customHeight="1" x14ac:dyDescent="0.3">
      <c r="A186" s="634" t="s">
        <v>2562</v>
      </c>
      <c r="B186" s="635" t="s">
        <v>2563</v>
      </c>
      <c r="C186" s="635" t="s">
        <v>1819</v>
      </c>
      <c r="D186" s="635" t="s">
        <v>2592</v>
      </c>
      <c r="E186" s="635" t="s">
        <v>2593</v>
      </c>
      <c r="F186" s="638"/>
      <c r="G186" s="638"/>
      <c r="H186" s="638"/>
      <c r="I186" s="638"/>
      <c r="J186" s="638"/>
      <c r="K186" s="638"/>
      <c r="L186" s="638"/>
      <c r="M186" s="638"/>
      <c r="N186" s="638">
        <v>1</v>
      </c>
      <c r="O186" s="638">
        <v>144</v>
      </c>
      <c r="P186" s="660"/>
      <c r="Q186" s="639">
        <v>144</v>
      </c>
    </row>
    <row r="187" spans="1:17" ht="14.4" customHeight="1" x14ac:dyDescent="0.3">
      <c r="A187" s="634" t="s">
        <v>2562</v>
      </c>
      <c r="B187" s="635" t="s">
        <v>2563</v>
      </c>
      <c r="C187" s="635" t="s">
        <v>1819</v>
      </c>
      <c r="D187" s="635" t="s">
        <v>2594</v>
      </c>
      <c r="E187" s="635" t="s">
        <v>2595</v>
      </c>
      <c r="F187" s="638">
        <v>1</v>
      </c>
      <c r="G187" s="638">
        <v>1015</v>
      </c>
      <c r="H187" s="638">
        <v>1</v>
      </c>
      <c r="I187" s="638">
        <v>1015</v>
      </c>
      <c r="J187" s="638"/>
      <c r="K187" s="638"/>
      <c r="L187" s="638"/>
      <c r="M187" s="638"/>
      <c r="N187" s="638"/>
      <c r="O187" s="638"/>
      <c r="P187" s="660"/>
      <c r="Q187" s="639"/>
    </row>
    <row r="188" spans="1:17" ht="14.4" customHeight="1" x14ac:dyDescent="0.3">
      <c r="A188" s="634" t="s">
        <v>2562</v>
      </c>
      <c r="B188" s="635" t="s">
        <v>2563</v>
      </c>
      <c r="C188" s="635" t="s">
        <v>1819</v>
      </c>
      <c r="D188" s="635" t="s">
        <v>2596</v>
      </c>
      <c r="E188" s="635" t="s">
        <v>2597</v>
      </c>
      <c r="F188" s="638"/>
      <c r="G188" s="638"/>
      <c r="H188" s="638"/>
      <c r="I188" s="638"/>
      <c r="J188" s="638"/>
      <c r="K188" s="638"/>
      <c r="L188" s="638"/>
      <c r="M188" s="638"/>
      <c r="N188" s="638">
        <v>1</v>
      </c>
      <c r="O188" s="638">
        <v>291</v>
      </c>
      <c r="P188" s="660"/>
      <c r="Q188" s="639">
        <v>291</v>
      </c>
    </row>
    <row r="189" spans="1:17" ht="14.4" customHeight="1" x14ac:dyDescent="0.3">
      <c r="A189" s="634" t="s">
        <v>2598</v>
      </c>
      <c r="B189" s="635" t="s">
        <v>2599</v>
      </c>
      <c r="C189" s="635" t="s">
        <v>1819</v>
      </c>
      <c r="D189" s="635" t="s">
        <v>2600</v>
      </c>
      <c r="E189" s="635" t="s">
        <v>2601</v>
      </c>
      <c r="F189" s="638">
        <v>118</v>
      </c>
      <c r="G189" s="638">
        <v>6254</v>
      </c>
      <c r="H189" s="638">
        <v>1</v>
      </c>
      <c r="I189" s="638">
        <v>53</v>
      </c>
      <c r="J189" s="638">
        <v>104</v>
      </c>
      <c r="K189" s="638">
        <v>5512</v>
      </c>
      <c r="L189" s="638">
        <v>0.88135593220338981</v>
      </c>
      <c r="M189" s="638">
        <v>53</v>
      </c>
      <c r="N189" s="638">
        <v>138</v>
      </c>
      <c r="O189" s="638">
        <v>7314</v>
      </c>
      <c r="P189" s="660">
        <v>1.1694915254237288</v>
      </c>
      <c r="Q189" s="639">
        <v>53</v>
      </c>
    </row>
    <row r="190" spans="1:17" ht="14.4" customHeight="1" x14ac:dyDescent="0.3">
      <c r="A190" s="634" t="s">
        <v>2598</v>
      </c>
      <c r="B190" s="635" t="s">
        <v>2599</v>
      </c>
      <c r="C190" s="635" t="s">
        <v>1819</v>
      </c>
      <c r="D190" s="635" t="s">
        <v>2602</v>
      </c>
      <c r="E190" s="635" t="s">
        <v>2603</v>
      </c>
      <c r="F190" s="638">
        <v>207</v>
      </c>
      <c r="G190" s="638">
        <v>24840</v>
      </c>
      <c r="H190" s="638">
        <v>1</v>
      </c>
      <c r="I190" s="638">
        <v>120</v>
      </c>
      <c r="J190" s="638">
        <v>185</v>
      </c>
      <c r="K190" s="638">
        <v>22385</v>
      </c>
      <c r="L190" s="638">
        <v>0.90116747181964574</v>
      </c>
      <c r="M190" s="638">
        <v>121</v>
      </c>
      <c r="N190" s="638">
        <v>210</v>
      </c>
      <c r="O190" s="638">
        <v>25410</v>
      </c>
      <c r="P190" s="660">
        <v>1.0229468599033817</v>
      </c>
      <c r="Q190" s="639">
        <v>121</v>
      </c>
    </row>
    <row r="191" spans="1:17" ht="14.4" customHeight="1" x14ac:dyDescent="0.3">
      <c r="A191" s="634" t="s">
        <v>2598</v>
      </c>
      <c r="B191" s="635" t="s">
        <v>2599</v>
      </c>
      <c r="C191" s="635" t="s">
        <v>1819</v>
      </c>
      <c r="D191" s="635" t="s">
        <v>2604</v>
      </c>
      <c r="E191" s="635" t="s">
        <v>2605</v>
      </c>
      <c r="F191" s="638">
        <v>17</v>
      </c>
      <c r="G191" s="638">
        <v>2941</v>
      </c>
      <c r="H191" s="638">
        <v>1</v>
      </c>
      <c r="I191" s="638">
        <v>173</v>
      </c>
      <c r="J191" s="638">
        <v>14</v>
      </c>
      <c r="K191" s="638">
        <v>2436</v>
      </c>
      <c r="L191" s="638">
        <v>0.82828969738184288</v>
      </c>
      <c r="M191" s="638">
        <v>174</v>
      </c>
      <c r="N191" s="638">
        <v>18</v>
      </c>
      <c r="O191" s="638">
        <v>3132</v>
      </c>
      <c r="P191" s="660">
        <v>1.0649438966337981</v>
      </c>
      <c r="Q191" s="639">
        <v>174</v>
      </c>
    </row>
    <row r="192" spans="1:17" ht="14.4" customHeight="1" x14ac:dyDescent="0.3">
      <c r="A192" s="634" t="s">
        <v>2598</v>
      </c>
      <c r="B192" s="635" t="s">
        <v>2599</v>
      </c>
      <c r="C192" s="635" t="s">
        <v>1819</v>
      </c>
      <c r="D192" s="635" t="s">
        <v>2606</v>
      </c>
      <c r="E192" s="635" t="s">
        <v>2607</v>
      </c>
      <c r="F192" s="638">
        <v>28</v>
      </c>
      <c r="G192" s="638">
        <v>10612</v>
      </c>
      <c r="H192" s="638">
        <v>1</v>
      </c>
      <c r="I192" s="638">
        <v>379</v>
      </c>
      <c r="J192" s="638">
        <v>18</v>
      </c>
      <c r="K192" s="638">
        <v>6840</v>
      </c>
      <c r="L192" s="638">
        <v>0.64455333584621188</v>
      </c>
      <c r="M192" s="638">
        <v>380</v>
      </c>
      <c r="N192" s="638">
        <v>32</v>
      </c>
      <c r="O192" s="638">
        <v>12160</v>
      </c>
      <c r="P192" s="660">
        <v>1.1458725970599322</v>
      </c>
      <c r="Q192" s="639">
        <v>380</v>
      </c>
    </row>
    <row r="193" spans="1:17" ht="14.4" customHeight="1" x14ac:dyDescent="0.3">
      <c r="A193" s="634" t="s">
        <v>2598</v>
      </c>
      <c r="B193" s="635" t="s">
        <v>2599</v>
      </c>
      <c r="C193" s="635" t="s">
        <v>1819</v>
      </c>
      <c r="D193" s="635" t="s">
        <v>2608</v>
      </c>
      <c r="E193" s="635" t="s">
        <v>2609</v>
      </c>
      <c r="F193" s="638">
        <v>31</v>
      </c>
      <c r="G193" s="638">
        <v>5177</v>
      </c>
      <c r="H193" s="638">
        <v>1</v>
      </c>
      <c r="I193" s="638">
        <v>167</v>
      </c>
      <c r="J193" s="638">
        <v>10</v>
      </c>
      <c r="K193" s="638">
        <v>1680</v>
      </c>
      <c r="L193" s="638">
        <v>0.32451226579099862</v>
      </c>
      <c r="M193" s="638">
        <v>168</v>
      </c>
      <c r="N193" s="638">
        <v>3</v>
      </c>
      <c r="O193" s="638">
        <v>504</v>
      </c>
      <c r="P193" s="660">
        <v>9.7353679737299595E-2</v>
      </c>
      <c r="Q193" s="639">
        <v>168</v>
      </c>
    </row>
    <row r="194" spans="1:17" ht="14.4" customHeight="1" x14ac:dyDescent="0.3">
      <c r="A194" s="634" t="s">
        <v>2598</v>
      </c>
      <c r="B194" s="635" t="s">
        <v>2599</v>
      </c>
      <c r="C194" s="635" t="s">
        <v>1819</v>
      </c>
      <c r="D194" s="635" t="s">
        <v>2610</v>
      </c>
      <c r="E194" s="635" t="s">
        <v>2611</v>
      </c>
      <c r="F194" s="638">
        <v>16</v>
      </c>
      <c r="G194" s="638">
        <v>5008</v>
      </c>
      <c r="H194" s="638">
        <v>1</v>
      </c>
      <c r="I194" s="638">
        <v>313</v>
      </c>
      <c r="J194" s="638">
        <v>18</v>
      </c>
      <c r="K194" s="638">
        <v>5688</v>
      </c>
      <c r="L194" s="638">
        <v>1.1357827476038338</v>
      </c>
      <c r="M194" s="638">
        <v>316</v>
      </c>
      <c r="N194" s="638">
        <v>3</v>
      </c>
      <c r="O194" s="638">
        <v>948</v>
      </c>
      <c r="P194" s="660">
        <v>0.18929712460063897</v>
      </c>
      <c r="Q194" s="639">
        <v>316</v>
      </c>
    </row>
    <row r="195" spans="1:17" ht="14.4" customHeight="1" x14ac:dyDescent="0.3">
      <c r="A195" s="634" t="s">
        <v>2598</v>
      </c>
      <c r="B195" s="635" t="s">
        <v>2599</v>
      </c>
      <c r="C195" s="635" t="s">
        <v>1819</v>
      </c>
      <c r="D195" s="635" t="s">
        <v>2612</v>
      </c>
      <c r="E195" s="635" t="s">
        <v>2613</v>
      </c>
      <c r="F195" s="638">
        <v>38</v>
      </c>
      <c r="G195" s="638">
        <v>12806</v>
      </c>
      <c r="H195" s="638">
        <v>1</v>
      </c>
      <c r="I195" s="638">
        <v>337</v>
      </c>
      <c r="J195" s="638">
        <v>95</v>
      </c>
      <c r="K195" s="638">
        <v>32110</v>
      </c>
      <c r="L195" s="638">
        <v>2.5074183976261128</v>
      </c>
      <c r="M195" s="638">
        <v>338</v>
      </c>
      <c r="N195" s="638">
        <v>68</v>
      </c>
      <c r="O195" s="638">
        <v>22984</v>
      </c>
      <c r="P195" s="660">
        <v>1.7947836951429017</v>
      </c>
      <c r="Q195" s="639">
        <v>338</v>
      </c>
    </row>
    <row r="196" spans="1:17" ht="14.4" customHeight="1" x14ac:dyDescent="0.3">
      <c r="A196" s="634" t="s">
        <v>2598</v>
      </c>
      <c r="B196" s="635" t="s">
        <v>2599</v>
      </c>
      <c r="C196" s="635" t="s">
        <v>1819</v>
      </c>
      <c r="D196" s="635" t="s">
        <v>2614</v>
      </c>
      <c r="E196" s="635" t="s">
        <v>2615</v>
      </c>
      <c r="F196" s="638">
        <v>9</v>
      </c>
      <c r="G196" s="638">
        <v>963</v>
      </c>
      <c r="H196" s="638">
        <v>1</v>
      </c>
      <c r="I196" s="638">
        <v>107</v>
      </c>
      <c r="J196" s="638">
        <v>8</v>
      </c>
      <c r="K196" s="638">
        <v>864</v>
      </c>
      <c r="L196" s="638">
        <v>0.89719626168224298</v>
      </c>
      <c r="M196" s="638">
        <v>108</v>
      </c>
      <c r="N196" s="638">
        <v>14</v>
      </c>
      <c r="O196" s="638">
        <v>1512</v>
      </c>
      <c r="P196" s="660">
        <v>1.5700934579439252</v>
      </c>
      <c r="Q196" s="639">
        <v>108</v>
      </c>
    </row>
    <row r="197" spans="1:17" ht="14.4" customHeight="1" x14ac:dyDescent="0.3">
      <c r="A197" s="634" t="s">
        <v>2598</v>
      </c>
      <c r="B197" s="635" t="s">
        <v>2599</v>
      </c>
      <c r="C197" s="635" t="s">
        <v>1819</v>
      </c>
      <c r="D197" s="635" t="s">
        <v>2616</v>
      </c>
      <c r="E197" s="635" t="s">
        <v>2617</v>
      </c>
      <c r="F197" s="638"/>
      <c r="G197" s="638"/>
      <c r="H197" s="638"/>
      <c r="I197" s="638"/>
      <c r="J197" s="638">
        <v>2</v>
      </c>
      <c r="K197" s="638">
        <v>730</v>
      </c>
      <c r="L197" s="638"/>
      <c r="M197" s="638">
        <v>365</v>
      </c>
      <c r="N197" s="638"/>
      <c r="O197" s="638"/>
      <c r="P197" s="660"/>
      <c r="Q197" s="639"/>
    </row>
    <row r="198" spans="1:17" ht="14.4" customHeight="1" x14ac:dyDescent="0.3">
      <c r="A198" s="634" t="s">
        <v>2598</v>
      </c>
      <c r="B198" s="635" t="s">
        <v>2599</v>
      </c>
      <c r="C198" s="635" t="s">
        <v>1819</v>
      </c>
      <c r="D198" s="635" t="s">
        <v>2618</v>
      </c>
      <c r="E198" s="635" t="s">
        <v>2619</v>
      </c>
      <c r="F198" s="638">
        <v>6</v>
      </c>
      <c r="G198" s="638">
        <v>216</v>
      </c>
      <c r="H198" s="638">
        <v>1</v>
      </c>
      <c r="I198" s="638">
        <v>36</v>
      </c>
      <c r="J198" s="638">
        <v>6</v>
      </c>
      <c r="K198" s="638">
        <v>222</v>
      </c>
      <c r="L198" s="638">
        <v>1.0277777777777777</v>
      </c>
      <c r="M198" s="638">
        <v>37</v>
      </c>
      <c r="N198" s="638">
        <v>10</v>
      </c>
      <c r="O198" s="638">
        <v>370</v>
      </c>
      <c r="P198" s="660">
        <v>1.712962962962963</v>
      </c>
      <c r="Q198" s="639">
        <v>37</v>
      </c>
    </row>
    <row r="199" spans="1:17" ht="14.4" customHeight="1" x14ac:dyDescent="0.3">
      <c r="A199" s="634" t="s">
        <v>2598</v>
      </c>
      <c r="B199" s="635" t="s">
        <v>2599</v>
      </c>
      <c r="C199" s="635" t="s">
        <v>1819</v>
      </c>
      <c r="D199" s="635" t="s">
        <v>2620</v>
      </c>
      <c r="E199" s="635" t="s">
        <v>2621</v>
      </c>
      <c r="F199" s="638"/>
      <c r="G199" s="638"/>
      <c r="H199" s="638"/>
      <c r="I199" s="638"/>
      <c r="J199" s="638">
        <v>2</v>
      </c>
      <c r="K199" s="638">
        <v>1328</v>
      </c>
      <c r="L199" s="638"/>
      <c r="M199" s="638">
        <v>664</v>
      </c>
      <c r="N199" s="638"/>
      <c r="O199" s="638"/>
      <c r="P199" s="660"/>
      <c r="Q199" s="639"/>
    </row>
    <row r="200" spans="1:17" ht="14.4" customHeight="1" x14ac:dyDescent="0.3">
      <c r="A200" s="634" t="s">
        <v>2598</v>
      </c>
      <c r="B200" s="635" t="s">
        <v>2599</v>
      </c>
      <c r="C200" s="635" t="s">
        <v>1819</v>
      </c>
      <c r="D200" s="635" t="s">
        <v>2622</v>
      </c>
      <c r="E200" s="635" t="s">
        <v>2623</v>
      </c>
      <c r="F200" s="638"/>
      <c r="G200" s="638"/>
      <c r="H200" s="638"/>
      <c r="I200" s="638"/>
      <c r="J200" s="638">
        <v>1</v>
      </c>
      <c r="K200" s="638">
        <v>136</v>
      </c>
      <c r="L200" s="638"/>
      <c r="M200" s="638">
        <v>136</v>
      </c>
      <c r="N200" s="638"/>
      <c r="O200" s="638"/>
      <c r="P200" s="660"/>
      <c r="Q200" s="639"/>
    </row>
    <row r="201" spans="1:17" ht="14.4" customHeight="1" x14ac:dyDescent="0.3">
      <c r="A201" s="634" t="s">
        <v>2598</v>
      </c>
      <c r="B201" s="635" t="s">
        <v>2599</v>
      </c>
      <c r="C201" s="635" t="s">
        <v>1819</v>
      </c>
      <c r="D201" s="635" t="s">
        <v>2624</v>
      </c>
      <c r="E201" s="635" t="s">
        <v>2625</v>
      </c>
      <c r="F201" s="638">
        <v>116</v>
      </c>
      <c r="G201" s="638">
        <v>32480</v>
      </c>
      <c r="H201" s="638">
        <v>1</v>
      </c>
      <c r="I201" s="638">
        <v>280</v>
      </c>
      <c r="J201" s="638">
        <v>71</v>
      </c>
      <c r="K201" s="638">
        <v>19951</v>
      </c>
      <c r="L201" s="638">
        <v>0.6142549261083744</v>
      </c>
      <c r="M201" s="638">
        <v>281</v>
      </c>
      <c r="N201" s="638">
        <v>99</v>
      </c>
      <c r="O201" s="638">
        <v>27819</v>
      </c>
      <c r="P201" s="660">
        <v>0.85649630541871924</v>
      </c>
      <c r="Q201" s="639">
        <v>281</v>
      </c>
    </row>
    <row r="202" spans="1:17" ht="14.4" customHeight="1" x14ac:dyDescent="0.3">
      <c r="A202" s="634" t="s">
        <v>2598</v>
      </c>
      <c r="B202" s="635" t="s">
        <v>2599</v>
      </c>
      <c r="C202" s="635" t="s">
        <v>1819</v>
      </c>
      <c r="D202" s="635" t="s">
        <v>2626</v>
      </c>
      <c r="E202" s="635" t="s">
        <v>2627</v>
      </c>
      <c r="F202" s="638">
        <v>62</v>
      </c>
      <c r="G202" s="638">
        <v>28086</v>
      </c>
      <c r="H202" s="638">
        <v>1</v>
      </c>
      <c r="I202" s="638">
        <v>453</v>
      </c>
      <c r="J202" s="638">
        <v>73</v>
      </c>
      <c r="K202" s="638">
        <v>33288</v>
      </c>
      <c r="L202" s="638">
        <v>1.185216834009827</v>
      </c>
      <c r="M202" s="638">
        <v>456</v>
      </c>
      <c r="N202" s="638">
        <v>83</v>
      </c>
      <c r="O202" s="638">
        <v>37848</v>
      </c>
      <c r="P202" s="660">
        <v>1.3475753044221319</v>
      </c>
      <c r="Q202" s="639">
        <v>456</v>
      </c>
    </row>
    <row r="203" spans="1:17" ht="14.4" customHeight="1" x14ac:dyDescent="0.3">
      <c r="A203" s="634" t="s">
        <v>2598</v>
      </c>
      <c r="B203" s="635" t="s">
        <v>2599</v>
      </c>
      <c r="C203" s="635" t="s">
        <v>1819</v>
      </c>
      <c r="D203" s="635" t="s">
        <v>2628</v>
      </c>
      <c r="E203" s="635" t="s">
        <v>2629</v>
      </c>
      <c r="F203" s="638">
        <v>160</v>
      </c>
      <c r="G203" s="638">
        <v>55200</v>
      </c>
      <c r="H203" s="638">
        <v>1</v>
      </c>
      <c r="I203" s="638">
        <v>345</v>
      </c>
      <c r="J203" s="638">
        <v>129</v>
      </c>
      <c r="K203" s="638">
        <v>44892</v>
      </c>
      <c r="L203" s="638">
        <v>0.81326086956521737</v>
      </c>
      <c r="M203" s="638">
        <v>348</v>
      </c>
      <c r="N203" s="638">
        <v>160</v>
      </c>
      <c r="O203" s="638">
        <v>55680</v>
      </c>
      <c r="P203" s="660">
        <v>1.008695652173913</v>
      </c>
      <c r="Q203" s="639">
        <v>348</v>
      </c>
    </row>
    <row r="204" spans="1:17" ht="14.4" customHeight="1" x14ac:dyDescent="0.3">
      <c r="A204" s="634" t="s">
        <v>2598</v>
      </c>
      <c r="B204" s="635" t="s">
        <v>2599</v>
      </c>
      <c r="C204" s="635" t="s">
        <v>1819</v>
      </c>
      <c r="D204" s="635" t="s">
        <v>2630</v>
      </c>
      <c r="E204" s="635" t="s">
        <v>2631</v>
      </c>
      <c r="F204" s="638">
        <v>1</v>
      </c>
      <c r="G204" s="638">
        <v>2874</v>
      </c>
      <c r="H204" s="638">
        <v>1</v>
      </c>
      <c r="I204" s="638">
        <v>2874</v>
      </c>
      <c r="J204" s="638"/>
      <c r="K204" s="638"/>
      <c r="L204" s="638"/>
      <c r="M204" s="638"/>
      <c r="N204" s="638"/>
      <c r="O204" s="638"/>
      <c r="P204" s="660"/>
      <c r="Q204" s="639"/>
    </row>
    <row r="205" spans="1:17" ht="14.4" customHeight="1" x14ac:dyDescent="0.3">
      <c r="A205" s="634" t="s">
        <v>2598</v>
      </c>
      <c r="B205" s="635" t="s">
        <v>2599</v>
      </c>
      <c r="C205" s="635" t="s">
        <v>1819</v>
      </c>
      <c r="D205" s="635" t="s">
        <v>2632</v>
      </c>
      <c r="E205" s="635" t="s">
        <v>2633</v>
      </c>
      <c r="F205" s="638">
        <v>1</v>
      </c>
      <c r="G205" s="638">
        <v>12774</v>
      </c>
      <c r="H205" s="638">
        <v>1</v>
      </c>
      <c r="I205" s="638">
        <v>12774</v>
      </c>
      <c r="J205" s="638"/>
      <c r="K205" s="638"/>
      <c r="L205" s="638"/>
      <c r="M205" s="638"/>
      <c r="N205" s="638"/>
      <c r="O205" s="638"/>
      <c r="P205" s="660"/>
      <c r="Q205" s="639"/>
    </row>
    <row r="206" spans="1:17" ht="14.4" customHeight="1" x14ac:dyDescent="0.3">
      <c r="A206" s="634" t="s">
        <v>2598</v>
      </c>
      <c r="B206" s="635" t="s">
        <v>2599</v>
      </c>
      <c r="C206" s="635" t="s">
        <v>1819</v>
      </c>
      <c r="D206" s="635" t="s">
        <v>2634</v>
      </c>
      <c r="E206" s="635" t="s">
        <v>2635</v>
      </c>
      <c r="F206" s="638">
        <v>1</v>
      </c>
      <c r="G206" s="638">
        <v>102</v>
      </c>
      <c r="H206" s="638">
        <v>1</v>
      </c>
      <c r="I206" s="638">
        <v>102</v>
      </c>
      <c r="J206" s="638"/>
      <c r="K206" s="638"/>
      <c r="L206" s="638"/>
      <c r="M206" s="638"/>
      <c r="N206" s="638"/>
      <c r="O206" s="638"/>
      <c r="P206" s="660"/>
      <c r="Q206" s="639"/>
    </row>
    <row r="207" spans="1:17" ht="14.4" customHeight="1" x14ac:dyDescent="0.3">
      <c r="A207" s="634" t="s">
        <v>2598</v>
      </c>
      <c r="B207" s="635" t="s">
        <v>2599</v>
      </c>
      <c r="C207" s="635" t="s">
        <v>1819</v>
      </c>
      <c r="D207" s="635" t="s">
        <v>2636</v>
      </c>
      <c r="E207" s="635" t="s">
        <v>2637</v>
      </c>
      <c r="F207" s="638">
        <v>10</v>
      </c>
      <c r="G207" s="638">
        <v>1150</v>
      </c>
      <c r="H207" s="638">
        <v>1</v>
      </c>
      <c r="I207" s="638">
        <v>115</v>
      </c>
      <c r="J207" s="638">
        <v>6</v>
      </c>
      <c r="K207" s="638">
        <v>690</v>
      </c>
      <c r="L207" s="638">
        <v>0.6</v>
      </c>
      <c r="M207" s="638">
        <v>115</v>
      </c>
      <c r="N207" s="638">
        <v>4</v>
      </c>
      <c r="O207" s="638">
        <v>460</v>
      </c>
      <c r="P207" s="660">
        <v>0.4</v>
      </c>
      <c r="Q207" s="639">
        <v>115</v>
      </c>
    </row>
    <row r="208" spans="1:17" ht="14.4" customHeight="1" x14ac:dyDescent="0.3">
      <c r="A208" s="634" t="s">
        <v>2598</v>
      </c>
      <c r="B208" s="635" t="s">
        <v>2599</v>
      </c>
      <c r="C208" s="635" t="s">
        <v>1819</v>
      </c>
      <c r="D208" s="635" t="s">
        <v>2638</v>
      </c>
      <c r="E208" s="635" t="s">
        <v>2639</v>
      </c>
      <c r="F208" s="638">
        <v>12</v>
      </c>
      <c r="G208" s="638">
        <v>5448</v>
      </c>
      <c r="H208" s="638">
        <v>1</v>
      </c>
      <c r="I208" s="638">
        <v>454</v>
      </c>
      <c r="J208" s="638">
        <v>9</v>
      </c>
      <c r="K208" s="638">
        <v>4113</v>
      </c>
      <c r="L208" s="638">
        <v>0.75495594713656389</v>
      </c>
      <c r="M208" s="638">
        <v>457</v>
      </c>
      <c r="N208" s="638">
        <v>14</v>
      </c>
      <c r="O208" s="638">
        <v>6398</v>
      </c>
      <c r="P208" s="660">
        <v>1.1743759177679882</v>
      </c>
      <c r="Q208" s="639">
        <v>457</v>
      </c>
    </row>
    <row r="209" spans="1:17" ht="14.4" customHeight="1" x14ac:dyDescent="0.3">
      <c r="A209" s="634" t="s">
        <v>2598</v>
      </c>
      <c r="B209" s="635" t="s">
        <v>2599</v>
      </c>
      <c r="C209" s="635" t="s">
        <v>1819</v>
      </c>
      <c r="D209" s="635" t="s">
        <v>2640</v>
      </c>
      <c r="E209" s="635" t="s">
        <v>2641</v>
      </c>
      <c r="F209" s="638">
        <v>5</v>
      </c>
      <c r="G209" s="638">
        <v>2125</v>
      </c>
      <c r="H209" s="638">
        <v>1</v>
      </c>
      <c r="I209" s="638">
        <v>425</v>
      </c>
      <c r="J209" s="638">
        <v>5</v>
      </c>
      <c r="K209" s="638">
        <v>2145</v>
      </c>
      <c r="L209" s="638">
        <v>1.0094117647058825</v>
      </c>
      <c r="M209" s="638">
        <v>429</v>
      </c>
      <c r="N209" s="638"/>
      <c r="O209" s="638"/>
      <c r="P209" s="660"/>
      <c r="Q209" s="639"/>
    </row>
    <row r="210" spans="1:17" ht="14.4" customHeight="1" x14ac:dyDescent="0.3">
      <c r="A210" s="634" t="s">
        <v>2598</v>
      </c>
      <c r="B210" s="635" t="s">
        <v>2599</v>
      </c>
      <c r="C210" s="635" t="s">
        <v>1819</v>
      </c>
      <c r="D210" s="635" t="s">
        <v>2642</v>
      </c>
      <c r="E210" s="635" t="s">
        <v>2643</v>
      </c>
      <c r="F210" s="638">
        <v>8</v>
      </c>
      <c r="G210" s="638">
        <v>424</v>
      </c>
      <c r="H210" s="638">
        <v>1</v>
      </c>
      <c r="I210" s="638">
        <v>53</v>
      </c>
      <c r="J210" s="638"/>
      <c r="K210" s="638"/>
      <c r="L210" s="638"/>
      <c r="M210" s="638"/>
      <c r="N210" s="638">
        <v>8</v>
      </c>
      <c r="O210" s="638">
        <v>424</v>
      </c>
      <c r="P210" s="660">
        <v>1</v>
      </c>
      <c r="Q210" s="639">
        <v>53</v>
      </c>
    </row>
    <row r="211" spans="1:17" ht="14.4" customHeight="1" x14ac:dyDescent="0.3">
      <c r="A211" s="634" t="s">
        <v>2598</v>
      </c>
      <c r="B211" s="635" t="s">
        <v>2599</v>
      </c>
      <c r="C211" s="635" t="s">
        <v>1819</v>
      </c>
      <c r="D211" s="635" t="s">
        <v>2644</v>
      </c>
      <c r="E211" s="635" t="s">
        <v>2645</v>
      </c>
      <c r="F211" s="638">
        <v>1</v>
      </c>
      <c r="G211" s="638">
        <v>2161</v>
      </c>
      <c r="H211" s="638">
        <v>1</v>
      </c>
      <c r="I211" s="638">
        <v>2161</v>
      </c>
      <c r="J211" s="638">
        <v>1</v>
      </c>
      <c r="K211" s="638">
        <v>2164</v>
      </c>
      <c r="L211" s="638">
        <v>1.0013882461823229</v>
      </c>
      <c r="M211" s="638">
        <v>2164</v>
      </c>
      <c r="N211" s="638"/>
      <c r="O211" s="638"/>
      <c r="P211" s="660"/>
      <c r="Q211" s="639"/>
    </row>
    <row r="212" spans="1:17" ht="14.4" customHeight="1" x14ac:dyDescent="0.3">
      <c r="A212" s="634" t="s">
        <v>2598</v>
      </c>
      <c r="B212" s="635" t="s">
        <v>2599</v>
      </c>
      <c r="C212" s="635" t="s">
        <v>1819</v>
      </c>
      <c r="D212" s="635" t="s">
        <v>2646</v>
      </c>
      <c r="E212" s="635" t="s">
        <v>2647</v>
      </c>
      <c r="F212" s="638">
        <v>895</v>
      </c>
      <c r="G212" s="638">
        <v>146780</v>
      </c>
      <c r="H212" s="638">
        <v>1</v>
      </c>
      <c r="I212" s="638">
        <v>164</v>
      </c>
      <c r="J212" s="638">
        <v>882</v>
      </c>
      <c r="K212" s="638">
        <v>145530</v>
      </c>
      <c r="L212" s="638">
        <v>0.99148385338601985</v>
      </c>
      <c r="M212" s="638">
        <v>165</v>
      </c>
      <c r="N212" s="638">
        <v>958</v>
      </c>
      <c r="O212" s="638">
        <v>158070</v>
      </c>
      <c r="P212" s="660">
        <v>1.0769178362174683</v>
      </c>
      <c r="Q212" s="639">
        <v>165</v>
      </c>
    </row>
    <row r="213" spans="1:17" ht="14.4" customHeight="1" x14ac:dyDescent="0.3">
      <c r="A213" s="634" t="s">
        <v>2598</v>
      </c>
      <c r="B213" s="635" t="s">
        <v>2599</v>
      </c>
      <c r="C213" s="635" t="s">
        <v>1819</v>
      </c>
      <c r="D213" s="635" t="s">
        <v>2648</v>
      </c>
      <c r="E213" s="635" t="s">
        <v>2649</v>
      </c>
      <c r="F213" s="638"/>
      <c r="G213" s="638"/>
      <c r="H213" s="638"/>
      <c r="I213" s="638"/>
      <c r="J213" s="638">
        <v>4</v>
      </c>
      <c r="K213" s="638">
        <v>316</v>
      </c>
      <c r="L213" s="638"/>
      <c r="M213" s="638">
        <v>79</v>
      </c>
      <c r="N213" s="638"/>
      <c r="O213" s="638"/>
      <c r="P213" s="660"/>
      <c r="Q213" s="639"/>
    </row>
    <row r="214" spans="1:17" ht="14.4" customHeight="1" x14ac:dyDescent="0.3">
      <c r="A214" s="634" t="s">
        <v>2598</v>
      </c>
      <c r="B214" s="635" t="s">
        <v>2599</v>
      </c>
      <c r="C214" s="635" t="s">
        <v>1819</v>
      </c>
      <c r="D214" s="635" t="s">
        <v>2245</v>
      </c>
      <c r="E214" s="635" t="s">
        <v>2246</v>
      </c>
      <c r="F214" s="638"/>
      <c r="G214" s="638"/>
      <c r="H214" s="638"/>
      <c r="I214" s="638"/>
      <c r="J214" s="638">
        <v>1</v>
      </c>
      <c r="K214" s="638">
        <v>164</v>
      </c>
      <c r="L214" s="638"/>
      <c r="M214" s="638">
        <v>164</v>
      </c>
      <c r="N214" s="638"/>
      <c r="O214" s="638"/>
      <c r="P214" s="660"/>
      <c r="Q214" s="639"/>
    </row>
    <row r="215" spans="1:17" ht="14.4" customHeight="1" x14ac:dyDescent="0.3">
      <c r="A215" s="634" t="s">
        <v>2598</v>
      </c>
      <c r="B215" s="635" t="s">
        <v>2599</v>
      </c>
      <c r="C215" s="635" t="s">
        <v>1819</v>
      </c>
      <c r="D215" s="635" t="s">
        <v>2650</v>
      </c>
      <c r="E215" s="635" t="s">
        <v>2651</v>
      </c>
      <c r="F215" s="638">
        <v>6</v>
      </c>
      <c r="G215" s="638">
        <v>954</v>
      </c>
      <c r="H215" s="638">
        <v>1</v>
      </c>
      <c r="I215" s="638">
        <v>159</v>
      </c>
      <c r="J215" s="638">
        <v>9</v>
      </c>
      <c r="K215" s="638">
        <v>1440</v>
      </c>
      <c r="L215" s="638">
        <v>1.5094339622641511</v>
      </c>
      <c r="M215" s="638">
        <v>160</v>
      </c>
      <c r="N215" s="638">
        <v>1</v>
      </c>
      <c r="O215" s="638">
        <v>160</v>
      </c>
      <c r="P215" s="660">
        <v>0.16771488469601678</v>
      </c>
      <c r="Q215" s="639">
        <v>160</v>
      </c>
    </row>
    <row r="216" spans="1:17" ht="14.4" customHeight="1" x14ac:dyDescent="0.3">
      <c r="A216" s="634" t="s">
        <v>2598</v>
      </c>
      <c r="B216" s="635" t="s">
        <v>2599</v>
      </c>
      <c r="C216" s="635" t="s">
        <v>1819</v>
      </c>
      <c r="D216" s="635" t="s">
        <v>2652</v>
      </c>
      <c r="E216" s="635" t="s">
        <v>2653</v>
      </c>
      <c r="F216" s="638"/>
      <c r="G216" s="638"/>
      <c r="H216" s="638"/>
      <c r="I216" s="638"/>
      <c r="J216" s="638">
        <v>1</v>
      </c>
      <c r="K216" s="638">
        <v>167</v>
      </c>
      <c r="L216" s="638"/>
      <c r="M216" s="638">
        <v>167</v>
      </c>
      <c r="N216" s="638"/>
      <c r="O216" s="638"/>
      <c r="P216" s="660"/>
      <c r="Q216" s="639"/>
    </row>
    <row r="217" spans="1:17" ht="14.4" customHeight="1" x14ac:dyDescent="0.3">
      <c r="A217" s="634" t="s">
        <v>2598</v>
      </c>
      <c r="B217" s="635" t="s">
        <v>2599</v>
      </c>
      <c r="C217" s="635" t="s">
        <v>1819</v>
      </c>
      <c r="D217" s="635" t="s">
        <v>2654</v>
      </c>
      <c r="E217" s="635" t="s">
        <v>2655</v>
      </c>
      <c r="F217" s="638"/>
      <c r="G217" s="638"/>
      <c r="H217" s="638"/>
      <c r="I217" s="638"/>
      <c r="J217" s="638">
        <v>1</v>
      </c>
      <c r="K217" s="638">
        <v>243</v>
      </c>
      <c r="L217" s="638"/>
      <c r="M217" s="638">
        <v>243</v>
      </c>
      <c r="N217" s="638"/>
      <c r="O217" s="638"/>
      <c r="P217" s="660"/>
      <c r="Q217" s="639"/>
    </row>
    <row r="218" spans="1:17" ht="14.4" customHeight="1" x14ac:dyDescent="0.3">
      <c r="A218" s="634" t="s">
        <v>2598</v>
      </c>
      <c r="B218" s="635" t="s">
        <v>2599</v>
      </c>
      <c r="C218" s="635" t="s">
        <v>1819</v>
      </c>
      <c r="D218" s="635" t="s">
        <v>2656</v>
      </c>
      <c r="E218" s="635" t="s">
        <v>2657</v>
      </c>
      <c r="F218" s="638">
        <v>3</v>
      </c>
      <c r="G218" s="638">
        <v>5955</v>
      </c>
      <c r="H218" s="638">
        <v>1</v>
      </c>
      <c r="I218" s="638">
        <v>1985</v>
      </c>
      <c r="J218" s="638">
        <v>4</v>
      </c>
      <c r="K218" s="638">
        <v>7972</v>
      </c>
      <c r="L218" s="638">
        <v>1.3387069689336693</v>
      </c>
      <c r="M218" s="638">
        <v>1993</v>
      </c>
      <c r="N218" s="638"/>
      <c r="O218" s="638"/>
      <c r="P218" s="660"/>
      <c r="Q218" s="639"/>
    </row>
    <row r="219" spans="1:17" ht="14.4" customHeight="1" x14ac:dyDescent="0.3">
      <c r="A219" s="634" t="s">
        <v>2598</v>
      </c>
      <c r="B219" s="635" t="s">
        <v>2599</v>
      </c>
      <c r="C219" s="635" t="s">
        <v>1819</v>
      </c>
      <c r="D219" s="635" t="s">
        <v>2658</v>
      </c>
      <c r="E219" s="635" t="s">
        <v>2659</v>
      </c>
      <c r="F219" s="638">
        <v>12</v>
      </c>
      <c r="G219" s="638">
        <v>2664</v>
      </c>
      <c r="H219" s="638">
        <v>1</v>
      </c>
      <c r="I219" s="638">
        <v>222</v>
      </c>
      <c r="J219" s="638">
        <v>13</v>
      </c>
      <c r="K219" s="638">
        <v>2899</v>
      </c>
      <c r="L219" s="638">
        <v>1.0882132132132132</v>
      </c>
      <c r="M219" s="638">
        <v>223</v>
      </c>
      <c r="N219" s="638">
        <v>17</v>
      </c>
      <c r="O219" s="638">
        <v>3791</v>
      </c>
      <c r="P219" s="660">
        <v>1.4230480480480481</v>
      </c>
      <c r="Q219" s="639">
        <v>223</v>
      </c>
    </row>
    <row r="220" spans="1:17" ht="14.4" customHeight="1" x14ac:dyDescent="0.3">
      <c r="A220" s="634" t="s">
        <v>2598</v>
      </c>
      <c r="B220" s="635" t="s">
        <v>2599</v>
      </c>
      <c r="C220" s="635" t="s">
        <v>1819</v>
      </c>
      <c r="D220" s="635" t="s">
        <v>2660</v>
      </c>
      <c r="E220" s="635" t="s">
        <v>2661</v>
      </c>
      <c r="F220" s="638">
        <v>1</v>
      </c>
      <c r="G220" s="638">
        <v>399</v>
      </c>
      <c r="H220" s="638">
        <v>1</v>
      </c>
      <c r="I220" s="638">
        <v>399</v>
      </c>
      <c r="J220" s="638">
        <v>3</v>
      </c>
      <c r="K220" s="638">
        <v>1212</v>
      </c>
      <c r="L220" s="638">
        <v>3.0375939849624061</v>
      </c>
      <c r="M220" s="638">
        <v>404</v>
      </c>
      <c r="N220" s="638"/>
      <c r="O220" s="638"/>
      <c r="P220" s="660"/>
      <c r="Q220" s="639"/>
    </row>
    <row r="221" spans="1:17" ht="14.4" customHeight="1" x14ac:dyDescent="0.3">
      <c r="A221" s="634" t="s">
        <v>2598</v>
      </c>
      <c r="B221" s="635" t="s">
        <v>2599</v>
      </c>
      <c r="C221" s="635" t="s">
        <v>1819</v>
      </c>
      <c r="D221" s="635" t="s">
        <v>2662</v>
      </c>
      <c r="E221" s="635" t="s">
        <v>2663</v>
      </c>
      <c r="F221" s="638"/>
      <c r="G221" s="638"/>
      <c r="H221" s="638"/>
      <c r="I221" s="638"/>
      <c r="J221" s="638"/>
      <c r="K221" s="638"/>
      <c r="L221" s="638"/>
      <c r="M221" s="638"/>
      <c r="N221" s="638">
        <v>4</v>
      </c>
      <c r="O221" s="638">
        <v>4088</v>
      </c>
      <c r="P221" s="660"/>
      <c r="Q221" s="639">
        <v>1022</v>
      </c>
    </row>
    <row r="222" spans="1:17" ht="14.4" customHeight="1" x14ac:dyDescent="0.3">
      <c r="A222" s="634" t="s">
        <v>2598</v>
      </c>
      <c r="B222" s="635" t="s">
        <v>2599</v>
      </c>
      <c r="C222" s="635" t="s">
        <v>1819</v>
      </c>
      <c r="D222" s="635" t="s">
        <v>2664</v>
      </c>
      <c r="E222" s="635" t="s">
        <v>2665</v>
      </c>
      <c r="F222" s="638">
        <v>2</v>
      </c>
      <c r="G222" s="638">
        <v>530</v>
      </c>
      <c r="H222" s="638">
        <v>1</v>
      </c>
      <c r="I222" s="638">
        <v>265</v>
      </c>
      <c r="J222" s="638"/>
      <c r="K222" s="638"/>
      <c r="L222" s="638"/>
      <c r="M222" s="638"/>
      <c r="N222" s="638"/>
      <c r="O222" s="638"/>
      <c r="P222" s="660"/>
      <c r="Q222" s="639"/>
    </row>
    <row r="223" spans="1:17" ht="14.4" customHeight="1" x14ac:dyDescent="0.3">
      <c r="A223" s="634" t="s">
        <v>2666</v>
      </c>
      <c r="B223" s="635" t="s">
        <v>2667</v>
      </c>
      <c r="C223" s="635" t="s">
        <v>1819</v>
      </c>
      <c r="D223" s="635" t="s">
        <v>2668</v>
      </c>
      <c r="E223" s="635" t="s">
        <v>2669</v>
      </c>
      <c r="F223" s="638">
        <v>298</v>
      </c>
      <c r="G223" s="638">
        <v>47084</v>
      </c>
      <c r="H223" s="638">
        <v>1</v>
      </c>
      <c r="I223" s="638">
        <v>158</v>
      </c>
      <c r="J223" s="638">
        <v>361</v>
      </c>
      <c r="K223" s="638">
        <v>57399</v>
      </c>
      <c r="L223" s="638">
        <v>1.2190765440489337</v>
      </c>
      <c r="M223" s="638">
        <v>159</v>
      </c>
      <c r="N223" s="638">
        <v>309</v>
      </c>
      <c r="O223" s="638">
        <v>49131</v>
      </c>
      <c r="P223" s="660">
        <v>1.0434754906125223</v>
      </c>
      <c r="Q223" s="639">
        <v>159</v>
      </c>
    </row>
    <row r="224" spans="1:17" ht="14.4" customHeight="1" x14ac:dyDescent="0.3">
      <c r="A224" s="634" t="s">
        <v>2666</v>
      </c>
      <c r="B224" s="635" t="s">
        <v>2667</v>
      </c>
      <c r="C224" s="635" t="s">
        <v>1819</v>
      </c>
      <c r="D224" s="635" t="s">
        <v>2670</v>
      </c>
      <c r="E224" s="635" t="s">
        <v>2671</v>
      </c>
      <c r="F224" s="638"/>
      <c r="G224" s="638"/>
      <c r="H224" s="638"/>
      <c r="I224" s="638"/>
      <c r="J224" s="638">
        <v>1</v>
      </c>
      <c r="K224" s="638">
        <v>1165</v>
      </c>
      <c r="L224" s="638"/>
      <c r="M224" s="638">
        <v>1165</v>
      </c>
      <c r="N224" s="638"/>
      <c r="O224" s="638"/>
      <c r="P224" s="660"/>
      <c r="Q224" s="639"/>
    </row>
    <row r="225" spans="1:17" ht="14.4" customHeight="1" x14ac:dyDescent="0.3">
      <c r="A225" s="634" t="s">
        <v>2666</v>
      </c>
      <c r="B225" s="635" t="s">
        <v>2667</v>
      </c>
      <c r="C225" s="635" t="s">
        <v>1819</v>
      </c>
      <c r="D225" s="635" t="s">
        <v>2672</v>
      </c>
      <c r="E225" s="635" t="s">
        <v>2673</v>
      </c>
      <c r="F225" s="638">
        <v>55</v>
      </c>
      <c r="G225" s="638">
        <v>2145</v>
      </c>
      <c r="H225" s="638">
        <v>1</v>
      </c>
      <c r="I225" s="638">
        <v>39</v>
      </c>
      <c r="J225" s="638">
        <v>76</v>
      </c>
      <c r="K225" s="638">
        <v>2964</v>
      </c>
      <c r="L225" s="638">
        <v>1.3818181818181818</v>
      </c>
      <c r="M225" s="638">
        <v>39</v>
      </c>
      <c r="N225" s="638">
        <v>67</v>
      </c>
      <c r="O225" s="638">
        <v>2613</v>
      </c>
      <c r="P225" s="660">
        <v>1.2181818181818183</v>
      </c>
      <c r="Q225" s="639">
        <v>39</v>
      </c>
    </row>
    <row r="226" spans="1:17" ht="14.4" customHeight="1" x14ac:dyDescent="0.3">
      <c r="A226" s="634" t="s">
        <v>2666</v>
      </c>
      <c r="B226" s="635" t="s">
        <v>2667</v>
      </c>
      <c r="C226" s="635" t="s">
        <v>1819</v>
      </c>
      <c r="D226" s="635" t="s">
        <v>2674</v>
      </c>
      <c r="E226" s="635" t="s">
        <v>2675</v>
      </c>
      <c r="F226" s="638">
        <v>4</v>
      </c>
      <c r="G226" s="638">
        <v>1616</v>
      </c>
      <c r="H226" s="638">
        <v>1</v>
      </c>
      <c r="I226" s="638">
        <v>404</v>
      </c>
      <c r="J226" s="638"/>
      <c r="K226" s="638"/>
      <c r="L226" s="638"/>
      <c r="M226" s="638"/>
      <c r="N226" s="638"/>
      <c r="O226" s="638"/>
      <c r="P226" s="660"/>
      <c r="Q226" s="639"/>
    </row>
    <row r="227" spans="1:17" ht="14.4" customHeight="1" x14ac:dyDescent="0.3">
      <c r="A227" s="634" t="s">
        <v>2666</v>
      </c>
      <c r="B227" s="635" t="s">
        <v>2667</v>
      </c>
      <c r="C227" s="635" t="s">
        <v>1819</v>
      </c>
      <c r="D227" s="635" t="s">
        <v>2676</v>
      </c>
      <c r="E227" s="635" t="s">
        <v>2677</v>
      </c>
      <c r="F227" s="638">
        <v>5</v>
      </c>
      <c r="G227" s="638">
        <v>1910</v>
      </c>
      <c r="H227" s="638">
        <v>1</v>
      </c>
      <c r="I227" s="638">
        <v>382</v>
      </c>
      <c r="J227" s="638">
        <v>3</v>
      </c>
      <c r="K227" s="638">
        <v>1146</v>
      </c>
      <c r="L227" s="638">
        <v>0.6</v>
      </c>
      <c r="M227" s="638">
        <v>382</v>
      </c>
      <c r="N227" s="638">
        <v>6</v>
      </c>
      <c r="O227" s="638">
        <v>2292</v>
      </c>
      <c r="P227" s="660">
        <v>1.2</v>
      </c>
      <c r="Q227" s="639">
        <v>382</v>
      </c>
    </row>
    <row r="228" spans="1:17" ht="14.4" customHeight="1" x14ac:dyDescent="0.3">
      <c r="A228" s="634" t="s">
        <v>2666</v>
      </c>
      <c r="B228" s="635" t="s">
        <v>2667</v>
      </c>
      <c r="C228" s="635" t="s">
        <v>1819</v>
      </c>
      <c r="D228" s="635" t="s">
        <v>2678</v>
      </c>
      <c r="E228" s="635" t="s">
        <v>2679</v>
      </c>
      <c r="F228" s="638"/>
      <c r="G228" s="638"/>
      <c r="H228" s="638"/>
      <c r="I228" s="638"/>
      <c r="J228" s="638">
        <v>11</v>
      </c>
      <c r="K228" s="638">
        <v>407</v>
      </c>
      <c r="L228" s="638"/>
      <c r="M228" s="638">
        <v>37</v>
      </c>
      <c r="N228" s="638">
        <v>11</v>
      </c>
      <c r="O228" s="638">
        <v>407</v>
      </c>
      <c r="P228" s="660"/>
      <c r="Q228" s="639">
        <v>37</v>
      </c>
    </row>
    <row r="229" spans="1:17" ht="14.4" customHeight="1" x14ac:dyDescent="0.3">
      <c r="A229" s="634" t="s">
        <v>2666</v>
      </c>
      <c r="B229" s="635" t="s">
        <v>2667</v>
      </c>
      <c r="C229" s="635" t="s">
        <v>1819</v>
      </c>
      <c r="D229" s="635" t="s">
        <v>2680</v>
      </c>
      <c r="E229" s="635" t="s">
        <v>2681</v>
      </c>
      <c r="F229" s="638">
        <v>3</v>
      </c>
      <c r="G229" s="638">
        <v>1332</v>
      </c>
      <c r="H229" s="638">
        <v>1</v>
      </c>
      <c r="I229" s="638">
        <v>444</v>
      </c>
      <c r="J229" s="638"/>
      <c r="K229" s="638"/>
      <c r="L229" s="638"/>
      <c r="M229" s="638"/>
      <c r="N229" s="638">
        <v>12</v>
      </c>
      <c r="O229" s="638">
        <v>5328</v>
      </c>
      <c r="P229" s="660">
        <v>4</v>
      </c>
      <c r="Q229" s="639">
        <v>444</v>
      </c>
    </row>
    <row r="230" spans="1:17" ht="14.4" customHeight="1" x14ac:dyDescent="0.3">
      <c r="A230" s="634" t="s">
        <v>2666</v>
      </c>
      <c r="B230" s="635" t="s">
        <v>2667</v>
      </c>
      <c r="C230" s="635" t="s">
        <v>1819</v>
      </c>
      <c r="D230" s="635" t="s">
        <v>2682</v>
      </c>
      <c r="E230" s="635" t="s">
        <v>2683</v>
      </c>
      <c r="F230" s="638">
        <v>2</v>
      </c>
      <c r="G230" s="638">
        <v>80</v>
      </c>
      <c r="H230" s="638">
        <v>1</v>
      </c>
      <c r="I230" s="638">
        <v>40</v>
      </c>
      <c r="J230" s="638">
        <v>1</v>
      </c>
      <c r="K230" s="638">
        <v>41</v>
      </c>
      <c r="L230" s="638">
        <v>0.51249999999999996</v>
      </c>
      <c r="M230" s="638">
        <v>41</v>
      </c>
      <c r="N230" s="638">
        <v>2</v>
      </c>
      <c r="O230" s="638">
        <v>82</v>
      </c>
      <c r="P230" s="660">
        <v>1.0249999999999999</v>
      </c>
      <c r="Q230" s="639">
        <v>41</v>
      </c>
    </row>
    <row r="231" spans="1:17" ht="14.4" customHeight="1" x14ac:dyDescent="0.3">
      <c r="A231" s="634" t="s">
        <v>2666</v>
      </c>
      <c r="B231" s="635" t="s">
        <v>2667</v>
      </c>
      <c r="C231" s="635" t="s">
        <v>1819</v>
      </c>
      <c r="D231" s="635" t="s">
        <v>2684</v>
      </c>
      <c r="E231" s="635" t="s">
        <v>2685</v>
      </c>
      <c r="F231" s="638">
        <v>1</v>
      </c>
      <c r="G231" s="638">
        <v>490</v>
      </c>
      <c r="H231" s="638">
        <v>1</v>
      </c>
      <c r="I231" s="638">
        <v>490</v>
      </c>
      <c r="J231" s="638"/>
      <c r="K231" s="638"/>
      <c r="L231" s="638"/>
      <c r="M231" s="638"/>
      <c r="N231" s="638">
        <v>7</v>
      </c>
      <c r="O231" s="638">
        <v>3430</v>
      </c>
      <c r="P231" s="660">
        <v>7</v>
      </c>
      <c r="Q231" s="639">
        <v>490</v>
      </c>
    </row>
    <row r="232" spans="1:17" ht="14.4" customHeight="1" x14ac:dyDescent="0.3">
      <c r="A232" s="634" t="s">
        <v>2666</v>
      </c>
      <c r="B232" s="635" t="s">
        <v>2667</v>
      </c>
      <c r="C232" s="635" t="s">
        <v>1819</v>
      </c>
      <c r="D232" s="635" t="s">
        <v>2686</v>
      </c>
      <c r="E232" s="635" t="s">
        <v>2687</v>
      </c>
      <c r="F232" s="638">
        <v>6</v>
      </c>
      <c r="G232" s="638">
        <v>186</v>
      </c>
      <c r="H232" s="638">
        <v>1</v>
      </c>
      <c r="I232" s="638">
        <v>31</v>
      </c>
      <c r="J232" s="638">
        <v>6</v>
      </c>
      <c r="K232" s="638">
        <v>186</v>
      </c>
      <c r="L232" s="638">
        <v>1</v>
      </c>
      <c r="M232" s="638">
        <v>31</v>
      </c>
      <c r="N232" s="638">
        <v>7</v>
      </c>
      <c r="O232" s="638">
        <v>217</v>
      </c>
      <c r="P232" s="660">
        <v>1.1666666666666667</v>
      </c>
      <c r="Q232" s="639">
        <v>31</v>
      </c>
    </row>
    <row r="233" spans="1:17" ht="14.4" customHeight="1" x14ac:dyDescent="0.3">
      <c r="A233" s="634" t="s">
        <v>2666</v>
      </c>
      <c r="B233" s="635" t="s">
        <v>2667</v>
      </c>
      <c r="C233" s="635" t="s">
        <v>1819</v>
      </c>
      <c r="D233" s="635" t="s">
        <v>2688</v>
      </c>
      <c r="E233" s="635" t="s">
        <v>2689</v>
      </c>
      <c r="F233" s="638">
        <v>226</v>
      </c>
      <c r="G233" s="638">
        <v>25312</v>
      </c>
      <c r="H233" s="638">
        <v>1</v>
      </c>
      <c r="I233" s="638">
        <v>112</v>
      </c>
      <c r="J233" s="638">
        <v>250</v>
      </c>
      <c r="K233" s="638">
        <v>28250</v>
      </c>
      <c r="L233" s="638">
        <v>1.1160714285714286</v>
      </c>
      <c r="M233" s="638">
        <v>113</v>
      </c>
      <c r="N233" s="638">
        <v>184</v>
      </c>
      <c r="O233" s="638">
        <v>20792</v>
      </c>
      <c r="P233" s="660">
        <v>0.8214285714285714</v>
      </c>
      <c r="Q233" s="639">
        <v>113</v>
      </c>
    </row>
    <row r="234" spans="1:17" ht="14.4" customHeight="1" x14ac:dyDescent="0.3">
      <c r="A234" s="634" t="s">
        <v>2666</v>
      </c>
      <c r="B234" s="635" t="s">
        <v>2667</v>
      </c>
      <c r="C234" s="635" t="s">
        <v>1819</v>
      </c>
      <c r="D234" s="635" t="s">
        <v>2690</v>
      </c>
      <c r="E234" s="635" t="s">
        <v>2691</v>
      </c>
      <c r="F234" s="638">
        <v>108</v>
      </c>
      <c r="G234" s="638">
        <v>8964</v>
      </c>
      <c r="H234" s="638">
        <v>1</v>
      </c>
      <c r="I234" s="638">
        <v>83</v>
      </c>
      <c r="J234" s="638">
        <v>146</v>
      </c>
      <c r="K234" s="638">
        <v>12264</v>
      </c>
      <c r="L234" s="638">
        <v>1.3681392235609102</v>
      </c>
      <c r="M234" s="638">
        <v>84</v>
      </c>
      <c r="N234" s="638">
        <v>119</v>
      </c>
      <c r="O234" s="638">
        <v>9996</v>
      </c>
      <c r="P234" s="660">
        <v>1.1151271753681393</v>
      </c>
      <c r="Q234" s="639">
        <v>84</v>
      </c>
    </row>
    <row r="235" spans="1:17" ht="14.4" customHeight="1" x14ac:dyDescent="0.3">
      <c r="A235" s="634" t="s">
        <v>2666</v>
      </c>
      <c r="B235" s="635" t="s">
        <v>2667</v>
      </c>
      <c r="C235" s="635" t="s">
        <v>1819</v>
      </c>
      <c r="D235" s="635" t="s">
        <v>2692</v>
      </c>
      <c r="E235" s="635" t="s">
        <v>2693</v>
      </c>
      <c r="F235" s="638"/>
      <c r="G235" s="638"/>
      <c r="H235" s="638"/>
      <c r="I235" s="638"/>
      <c r="J235" s="638">
        <v>1</v>
      </c>
      <c r="K235" s="638">
        <v>96</v>
      </c>
      <c r="L235" s="638"/>
      <c r="M235" s="638">
        <v>96</v>
      </c>
      <c r="N235" s="638"/>
      <c r="O235" s="638"/>
      <c r="P235" s="660"/>
      <c r="Q235" s="639"/>
    </row>
    <row r="236" spans="1:17" ht="14.4" customHeight="1" x14ac:dyDescent="0.3">
      <c r="A236" s="634" t="s">
        <v>2666</v>
      </c>
      <c r="B236" s="635" t="s">
        <v>2667</v>
      </c>
      <c r="C236" s="635" t="s">
        <v>1819</v>
      </c>
      <c r="D236" s="635" t="s">
        <v>2694</v>
      </c>
      <c r="E236" s="635" t="s">
        <v>2695</v>
      </c>
      <c r="F236" s="638">
        <v>9</v>
      </c>
      <c r="G236" s="638">
        <v>189</v>
      </c>
      <c r="H236" s="638">
        <v>1</v>
      </c>
      <c r="I236" s="638">
        <v>21</v>
      </c>
      <c r="J236" s="638">
        <v>19</v>
      </c>
      <c r="K236" s="638">
        <v>399</v>
      </c>
      <c r="L236" s="638">
        <v>2.1111111111111112</v>
      </c>
      <c r="M236" s="638">
        <v>21</v>
      </c>
      <c r="N236" s="638">
        <v>12</v>
      </c>
      <c r="O236" s="638">
        <v>252</v>
      </c>
      <c r="P236" s="660">
        <v>1.3333333333333333</v>
      </c>
      <c r="Q236" s="639">
        <v>21</v>
      </c>
    </row>
    <row r="237" spans="1:17" ht="14.4" customHeight="1" x14ac:dyDescent="0.3">
      <c r="A237" s="634" t="s">
        <v>2666</v>
      </c>
      <c r="B237" s="635" t="s">
        <v>2667</v>
      </c>
      <c r="C237" s="635" t="s">
        <v>1819</v>
      </c>
      <c r="D237" s="635" t="s">
        <v>2696</v>
      </c>
      <c r="E237" s="635" t="s">
        <v>2697</v>
      </c>
      <c r="F237" s="638">
        <v>7</v>
      </c>
      <c r="G237" s="638">
        <v>3402</v>
      </c>
      <c r="H237" s="638">
        <v>1</v>
      </c>
      <c r="I237" s="638">
        <v>486</v>
      </c>
      <c r="J237" s="638">
        <v>14</v>
      </c>
      <c r="K237" s="638">
        <v>6804</v>
      </c>
      <c r="L237" s="638">
        <v>2</v>
      </c>
      <c r="M237" s="638">
        <v>486</v>
      </c>
      <c r="N237" s="638">
        <v>11</v>
      </c>
      <c r="O237" s="638">
        <v>5346</v>
      </c>
      <c r="P237" s="660">
        <v>1.5714285714285714</v>
      </c>
      <c r="Q237" s="639">
        <v>486</v>
      </c>
    </row>
    <row r="238" spans="1:17" ht="14.4" customHeight="1" x14ac:dyDescent="0.3">
      <c r="A238" s="634" t="s">
        <v>2666</v>
      </c>
      <c r="B238" s="635" t="s">
        <v>2667</v>
      </c>
      <c r="C238" s="635" t="s">
        <v>1819</v>
      </c>
      <c r="D238" s="635" t="s">
        <v>2698</v>
      </c>
      <c r="E238" s="635" t="s">
        <v>2699</v>
      </c>
      <c r="F238" s="638">
        <v>23</v>
      </c>
      <c r="G238" s="638">
        <v>920</v>
      </c>
      <c r="H238" s="638">
        <v>1</v>
      </c>
      <c r="I238" s="638">
        <v>40</v>
      </c>
      <c r="J238" s="638">
        <v>27</v>
      </c>
      <c r="K238" s="638">
        <v>1080</v>
      </c>
      <c r="L238" s="638">
        <v>1.173913043478261</v>
      </c>
      <c r="M238" s="638">
        <v>40</v>
      </c>
      <c r="N238" s="638">
        <v>30</v>
      </c>
      <c r="O238" s="638">
        <v>1200</v>
      </c>
      <c r="P238" s="660">
        <v>1.3043478260869565</v>
      </c>
      <c r="Q238" s="639">
        <v>40</v>
      </c>
    </row>
    <row r="239" spans="1:17" ht="14.4" customHeight="1" x14ac:dyDescent="0.3">
      <c r="A239" s="634" t="s">
        <v>2666</v>
      </c>
      <c r="B239" s="635" t="s">
        <v>2667</v>
      </c>
      <c r="C239" s="635" t="s">
        <v>1819</v>
      </c>
      <c r="D239" s="635" t="s">
        <v>2700</v>
      </c>
      <c r="E239" s="635" t="s">
        <v>2701</v>
      </c>
      <c r="F239" s="638"/>
      <c r="G239" s="638"/>
      <c r="H239" s="638"/>
      <c r="I239" s="638"/>
      <c r="J239" s="638"/>
      <c r="K239" s="638"/>
      <c r="L239" s="638"/>
      <c r="M239" s="638"/>
      <c r="N239" s="638">
        <v>4</v>
      </c>
      <c r="O239" s="638">
        <v>2416</v>
      </c>
      <c r="P239" s="660"/>
      <c r="Q239" s="639">
        <v>604</v>
      </c>
    </row>
    <row r="240" spans="1:17" ht="14.4" customHeight="1" x14ac:dyDescent="0.3">
      <c r="A240" s="634" t="s">
        <v>2702</v>
      </c>
      <c r="B240" s="635" t="s">
        <v>2417</v>
      </c>
      <c r="C240" s="635" t="s">
        <v>1819</v>
      </c>
      <c r="D240" s="635" t="s">
        <v>2703</v>
      </c>
      <c r="E240" s="635" t="s">
        <v>2704</v>
      </c>
      <c r="F240" s="638">
        <v>1</v>
      </c>
      <c r="G240" s="638">
        <v>825</v>
      </c>
      <c r="H240" s="638">
        <v>1</v>
      </c>
      <c r="I240" s="638">
        <v>825</v>
      </c>
      <c r="J240" s="638"/>
      <c r="K240" s="638"/>
      <c r="L240" s="638"/>
      <c r="M240" s="638"/>
      <c r="N240" s="638"/>
      <c r="O240" s="638"/>
      <c r="P240" s="660"/>
      <c r="Q240" s="639"/>
    </row>
    <row r="241" spans="1:17" ht="14.4" customHeight="1" x14ac:dyDescent="0.3">
      <c r="A241" s="634" t="s">
        <v>2702</v>
      </c>
      <c r="B241" s="635" t="s">
        <v>2417</v>
      </c>
      <c r="C241" s="635" t="s">
        <v>1819</v>
      </c>
      <c r="D241" s="635" t="s">
        <v>2329</v>
      </c>
      <c r="E241" s="635" t="s">
        <v>2330</v>
      </c>
      <c r="F241" s="638">
        <v>3</v>
      </c>
      <c r="G241" s="638">
        <v>498</v>
      </c>
      <c r="H241" s="638">
        <v>1</v>
      </c>
      <c r="I241" s="638">
        <v>166</v>
      </c>
      <c r="J241" s="638">
        <v>6</v>
      </c>
      <c r="K241" s="638">
        <v>996</v>
      </c>
      <c r="L241" s="638">
        <v>2</v>
      </c>
      <c r="M241" s="638">
        <v>166</v>
      </c>
      <c r="N241" s="638">
        <v>2</v>
      </c>
      <c r="O241" s="638">
        <v>332</v>
      </c>
      <c r="P241" s="660">
        <v>0.66666666666666663</v>
      </c>
      <c r="Q241" s="639">
        <v>166</v>
      </c>
    </row>
    <row r="242" spans="1:17" ht="14.4" customHeight="1" x14ac:dyDescent="0.3">
      <c r="A242" s="634" t="s">
        <v>2702</v>
      </c>
      <c r="B242" s="635" t="s">
        <v>2417</v>
      </c>
      <c r="C242" s="635" t="s">
        <v>1819</v>
      </c>
      <c r="D242" s="635" t="s">
        <v>2705</v>
      </c>
      <c r="E242" s="635" t="s">
        <v>2706</v>
      </c>
      <c r="F242" s="638">
        <v>3</v>
      </c>
      <c r="G242" s="638">
        <v>516</v>
      </c>
      <c r="H242" s="638">
        <v>1</v>
      </c>
      <c r="I242" s="638">
        <v>172</v>
      </c>
      <c r="J242" s="638">
        <v>8</v>
      </c>
      <c r="K242" s="638">
        <v>1376</v>
      </c>
      <c r="L242" s="638">
        <v>2.6666666666666665</v>
      </c>
      <c r="M242" s="638">
        <v>172</v>
      </c>
      <c r="N242" s="638">
        <v>2</v>
      </c>
      <c r="O242" s="638">
        <v>344</v>
      </c>
      <c r="P242" s="660">
        <v>0.66666666666666663</v>
      </c>
      <c r="Q242" s="639">
        <v>172</v>
      </c>
    </row>
    <row r="243" spans="1:17" ht="14.4" customHeight="1" x14ac:dyDescent="0.3">
      <c r="A243" s="634" t="s">
        <v>2702</v>
      </c>
      <c r="B243" s="635" t="s">
        <v>2417</v>
      </c>
      <c r="C243" s="635" t="s">
        <v>1819</v>
      </c>
      <c r="D243" s="635" t="s">
        <v>2707</v>
      </c>
      <c r="E243" s="635" t="s">
        <v>2708</v>
      </c>
      <c r="F243" s="638">
        <v>9</v>
      </c>
      <c r="G243" s="638">
        <v>3123</v>
      </c>
      <c r="H243" s="638">
        <v>1</v>
      </c>
      <c r="I243" s="638">
        <v>347</v>
      </c>
      <c r="J243" s="638">
        <v>28</v>
      </c>
      <c r="K243" s="638">
        <v>9744</v>
      </c>
      <c r="L243" s="638">
        <v>3.1200768491834774</v>
      </c>
      <c r="M243" s="638">
        <v>348</v>
      </c>
      <c r="N243" s="638">
        <v>6</v>
      </c>
      <c r="O243" s="638">
        <v>2088</v>
      </c>
      <c r="P243" s="660">
        <v>0.66858789625360227</v>
      </c>
      <c r="Q243" s="639">
        <v>348</v>
      </c>
    </row>
    <row r="244" spans="1:17" ht="14.4" customHeight="1" x14ac:dyDescent="0.3">
      <c r="A244" s="634" t="s">
        <v>2702</v>
      </c>
      <c r="B244" s="635" t="s">
        <v>2417</v>
      </c>
      <c r="C244" s="635" t="s">
        <v>1819</v>
      </c>
      <c r="D244" s="635" t="s">
        <v>2353</v>
      </c>
      <c r="E244" s="635" t="s">
        <v>2354</v>
      </c>
      <c r="F244" s="638"/>
      <c r="G244" s="638"/>
      <c r="H244" s="638"/>
      <c r="I244" s="638"/>
      <c r="J244" s="638"/>
      <c r="K244" s="638"/>
      <c r="L244" s="638"/>
      <c r="M244" s="638"/>
      <c r="N244" s="638">
        <v>1</v>
      </c>
      <c r="O244" s="638">
        <v>147</v>
      </c>
      <c r="P244" s="660"/>
      <c r="Q244" s="639">
        <v>147</v>
      </c>
    </row>
    <row r="245" spans="1:17" ht="14.4" customHeight="1" x14ac:dyDescent="0.3">
      <c r="A245" s="634" t="s">
        <v>2702</v>
      </c>
      <c r="B245" s="635" t="s">
        <v>2417</v>
      </c>
      <c r="C245" s="635" t="s">
        <v>1819</v>
      </c>
      <c r="D245" s="635" t="s">
        <v>2709</v>
      </c>
      <c r="E245" s="635" t="s">
        <v>2710</v>
      </c>
      <c r="F245" s="638">
        <v>3</v>
      </c>
      <c r="G245" s="638">
        <v>114</v>
      </c>
      <c r="H245" s="638">
        <v>1</v>
      </c>
      <c r="I245" s="638">
        <v>38</v>
      </c>
      <c r="J245" s="638">
        <v>8</v>
      </c>
      <c r="K245" s="638">
        <v>304</v>
      </c>
      <c r="L245" s="638">
        <v>2.6666666666666665</v>
      </c>
      <c r="M245" s="638">
        <v>38</v>
      </c>
      <c r="N245" s="638">
        <v>1</v>
      </c>
      <c r="O245" s="638">
        <v>38</v>
      </c>
      <c r="P245" s="660">
        <v>0.33333333333333331</v>
      </c>
      <c r="Q245" s="639">
        <v>38</v>
      </c>
    </row>
    <row r="246" spans="1:17" ht="14.4" customHeight="1" x14ac:dyDescent="0.3">
      <c r="A246" s="634" t="s">
        <v>2702</v>
      </c>
      <c r="B246" s="635" t="s">
        <v>2417</v>
      </c>
      <c r="C246" s="635" t="s">
        <v>1819</v>
      </c>
      <c r="D246" s="635" t="s">
        <v>2383</v>
      </c>
      <c r="E246" s="635" t="s">
        <v>2384</v>
      </c>
      <c r="F246" s="638">
        <v>3</v>
      </c>
      <c r="G246" s="638">
        <v>507</v>
      </c>
      <c r="H246" s="638">
        <v>1</v>
      </c>
      <c r="I246" s="638">
        <v>169</v>
      </c>
      <c r="J246" s="638">
        <v>6</v>
      </c>
      <c r="K246" s="638">
        <v>1014</v>
      </c>
      <c r="L246" s="638">
        <v>2</v>
      </c>
      <c r="M246" s="638">
        <v>169</v>
      </c>
      <c r="N246" s="638">
        <v>2</v>
      </c>
      <c r="O246" s="638">
        <v>338</v>
      </c>
      <c r="P246" s="660">
        <v>0.66666666666666663</v>
      </c>
      <c r="Q246" s="639">
        <v>169</v>
      </c>
    </row>
    <row r="247" spans="1:17" ht="14.4" customHeight="1" x14ac:dyDescent="0.3">
      <c r="A247" s="634" t="s">
        <v>2702</v>
      </c>
      <c r="B247" s="635" t="s">
        <v>2417</v>
      </c>
      <c r="C247" s="635" t="s">
        <v>1819</v>
      </c>
      <c r="D247" s="635" t="s">
        <v>2395</v>
      </c>
      <c r="E247" s="635" t="s">
        <v>2396</v>
      </c>
      <c r="F247" s="638">
        <v>3</v>
      </c>
      <c r="G247" s="638">
        <v>516</v>
      </c>
      <c r="H247" s="638">
        <v>1</v>
      </c>
      <c r="I247" s="638">
        <v>172</v>
      </c>
      <c r="J247" s="638">
        <v>6</v>
      </c>
      <c r="K247" s="638">
        <v>1032</v>
      </c>
      <c r="L247" s="638">
        <v>2</v>
      </c>
      <c r="M247" s="638">
        <v>172</v>
      </c>
      <c r="N247" s="638">
        <v>2</v>
      </c>
      <c r="O247" s="638">
        <v>344</v>
      </c>
      <c r="P247" s="660">
        <v>0.66666666666666663</v>
      </c>
      <c r="Q247" s="639">
        <v>172</v>
      </c>
    </row>
    <row r="248" spans="1:17" ht="14.4" customHeight="1" thickBot="1" x14ac:dyDescent="0.35">
      <c r="A248" s="640" t="s">
        <v>2702</v>
      </c>
      <c r="B248" s="641" t="s">
        <v>2417</v>
      </c>
      <c r="C248" s="641" t="s">
        <v>1819</v>
      </c>
      <c r="D248" s="641" t="s">
        <v>2711</v>
      </c>
      <c r="E248" s="641" t="s">
        <v>2712</v>
      </c>
      <c r="F248" s="644">
        <v>3</v>
      </c>
      <c r="G248" s="644">
        <v>498</v>
      </c>
      <c r="H248" s="644">
        <v>1</v>
      </c>
      <c r="I248" s="644">
        <v>166</v>
      </c>
      <c r="J248" s="644">
        <v>8</v>
      </c>
      <c r="K248" s="644">
        <v>1328</v>
      </c>
      <c r="L248" s="644">
        <v>2.6666666666666665</v>
      </c>
      <c r="M248" s="644">
        <v>166</v>
      </c>
      <c r="N248" s="644">
        <v>2</v>
      </c>
      <c r="O248" s="644">
        <v>332</v>
      </c>
      <c r="P248" s="652">
        <v>0.66666666666666663</v>
      </c>
      <c r="Q248" s="645">
        <v>166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81" t="s">
        <v>185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</row>
    <row r="2" spans="1:14" ht="14.4" customHeight="1" thickBot="1" x14ac:dyDescent="0.35">
      <c r="A2" s="389" t="s">
        <v>298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163</v>
      </c>
      <c r="C3" s="196">
        <f>SUBTOTAL(9,C6:C1048576)</f>
        <v>460</v>
      </c>
      <c r="D3" s="197">
        <f>SUBTOTAL(9,D6:D1048576)</f>
        <v>540</v>
      </c>
      <c r="E3" s="197">
        <f>SUBTOTAL(9,E6:E1048576)</f>
        <v>424</v>
      </c>
      <c r="F3" s="198">
        <f>IF(OR(E3=0,C3=0),"",E3/C3)</f>
        <v>0.92173913043478262</v>
      </c>
      <c r="G3" s="199">
        <f>SUBTOTAL(9,G6:G1048576)</f>
        <v>4846760</v>
      </c>
      <c r="H3" s="200">
        <f>SUBTOTAL(9,H6:H1048576)</f>
        <v>5578335</v>
      </c>
      <c r="I3" s="200">
        <f>SUBTOTAL(9,I6:I1048576)</f>
        <v>4316341</v>
      </c>
      <c r="J3" s="198">
        <f>IF(OR(I3=0,G3=0),"",I3/G3)</f>
        <v>0.89056214873441231</v>
      </c>
      <c r="K3" s="199">
        <f>SUBTOTAL(9,K6:K1048576)</f>
        <v>955000</v>
      </c>
      <c r="L3" s="200">
        <f>SUBTOTAL(9,L6:L1048576)</f>
        <v>1086000</v>
      </c>
      <c r="M3" s="200">
        <f>SUBTOTAL(9,M6:M1048576)</f>
        <v>819500</v>
      </c>
      <c r="N3" s="201">
        <f>IF(OR(M3=0,E3=0),"",M3/E3)</f>
        <v>1932.7830188679245</v>
      </c>
    </row>
    <row r="4" spans="1:14" ht="14.4" customHeight="1" x14ac:dyDescent="0.3">
      <c r="A4" s="583" t="s">
        <v>93</v>
      </c>
      <c r="B4" s="584" t="s">
        <v>14</v>
      </c>
      <c r="C4" s="585" t="s">
        <v>94</v>
      </c>
      <c r="D4" s="585"/>
      <c r="E4" s="585"/>
      <c r="F4" s="586"/>
      <c r="G4" s="587" t="s">
        <v>17</v>
      </c>
      <c r="H4" s="585"/>
      <c r="I4" s="585"/>
      <c r="J4" s="586"/>
      <c r="K4" s="587" t="s">
        <v>95</v>
      </c>
      <c r="L4" s="585"/>
      <c r="M4" s="585"/>
      <c r="N4" s="588"/>
    </row>
    <row r="5" spans="1:14" ht="14.4" customHeight="1" thickBot="1" x14ac:dyDescent="0.35">
      <c r="A5" s="834"/>
      <c r="B5" s="835"/>
      <c r="C5" s="842">
        <v>2012</v>
      </c>
      <c r="D5" s="842">
        <v>2013</v>
      </c>
      <c r="E5" s="842">
        <v>2014</v>
      </c>
      <c r="F5" s="843" t="s">
        <v>5</v>
      </c>
      <c r="G5" s="853">
        <v>2012</v>
      </c>
      <c r="H5" s="842">
        <v>2013</v>
      </c>
      <c r="I5" s="842">
        <v>2014</v>
      </c>
      <c r="J5" s="843" t="s">
        <v>5</v>
      </c>
      <c r="K5" s="853">
        <v>2012</v>
      </c>
      <c r="L5" s="842">
        <v>2013</v>
      </c>
      <c r="M5" s="842">
        <v>2014</v>
      </c>
      <c r="N5" s="860" t="s">
        <v>96</v>
      </c>
    </row>
    <row r="6" spans="1:14" ht="14.4" customHeight="1" x14ac:dyDescent="0.3">
      <c r="A6" s="836" t="s">
        <v>2167</v>
      </c>
      <c r="B6" s="839" t="s">
        <v>2714</v>
      </c>
      <c r="C6" s="844">
        <v>2</v>
      </c>
      <c r="D6" s="845">
        <v>2</v>
      </c>
      <c r="E6" s="845">
        <v>0</v>
      </c>
      <c r="F6" s="850" t="s">
        <v>488</v>
      </c>
      <c r="G6" s="854">
        <v>50320</v>
      </c>
      <c r="H6" s="855">
        <v>50338</v>
      </c>
      <c r="I6" s="855">
        <v>0</v>
      </c>
      <c r="J6" s="850" t="s">
        <v>488</v>
      </c>
      <c r="K6" s="854">
        <v>18000</v>
      </c>
      <c r="L6" s="855">
        <v>18000</v>
      </c>
      <c r="M6" s="855">
        <v>0</v>
      </c>
      <c r="N6" s="861" t="s">
        <v>488</v>
      </c>
    </row>
    <row r="7" spans="1:14" ht="14.4" customHeight="1" x14ac:dyDescent="0.3">
      <c r="A7" s="837" t="s">
        <v>2090</v>
      </c>
      <c r="B7" s="840" t="s">
        <v>2714</v>
      </c>
      <c r="C7" s="846">
        <v>17</v>
      </c>
      <c r="D7" s="847">
        <v>16</v>
      </c>
      <c r="E7" s="847">
        <v>8</v>
      </c>
      <c r="F7" s="851">
        <v>0.47058823529411764</v>
      </c>
      <c r="G7" s="856">
        <v>366526</v>
      </c>
      <c r="H7" s="857">
        <v>345105</v>
      </c>
      <c r="I7" s="857">
        <v>172555</v>
      </c>
      <c r="J7" s="851">
        <v>0.4707851557597551</v>
      </c>
      <c r="K7" s="856">
        <v>119000</v>
      </c>
      <c r="L7" s="857">
        <v>112000</v>
      </c>
      <c r="M7" s="857">
        <v>56000</v>
      </c>
      <c r="N7" s="862">
        <v>7000</v>
      </c>
    </row>
    <row r="8" spans="1:14" ht="14.4" customHeight="1" x14ac:dyDescent="0.3">
      <c r="A8" s="837" t="s">
        <v>2067</v>
      </c>
      <c r="B8" s="840" t="s">
        <v>2714</v>
      </c>
      <c r="C8" s="846">
        <v>382</v>
      </c>
      <c r="D8" s="847">
        <v>437</v>
      </c>
      <c r="E8" s="847">
        <v>352</v>
      </c>
      <c r="F8" s="851">
        <v>0.92146596858638741</v>
      </c>
      <c r="G8" s="856">
        <v>4086750</v>
      </c>
      <c r="H8" s="857">
        <v>4678726</v>
      </c>
      <c r="I8" s="857">
        <v>3768969</v>
      </c>
      <c r="J8" s="851">
        <v>0.92224114516425038</v>
      </c>
      <c r="K8" s="856">
        <v>764000</v>
      </c>
      <c r="L8" s="857">
        <v>874000</v>
      </c>
      <c r="M8" s="857">
        <v>704000</v>
      </c>
      <c r="N8" s="862">
        <v>2000</v>
      </c>
    </row>
    <row r="9" spans="1:14" ht="14.4" customHeight="1" x14ac:dyDescent="0.3">
      <c r="A9" s="837" t="s">
        <v>2092</v>
      </c>
      <c r="B9" s="840" t="s">
        <v>2714</v>
      </c>
      <c r="C9" s="846">
        <v>49</v>
      </c>
      <c r="D9" s="847">
        <v>79</v>
      </c>
      <c r="E9" s="847">
        <v>55</v>
      </c>
      <c r="F9" s="851">
        <v>1.1224489795918366</v>
      </c>
      <c r="G9" s="856">
        <v>293970</v>
      </c>
      <c r="H9" s="857">
        <v>474598</v>
      </c>
      <c r="I9" s="857">
        <v>330462</v>
      </c>
      <c r="J9" s="851">
        <v>1.1241351158281456</v>
      </c>
      <c r="K9" s="856">
        <v>49000</v>
      </c>
      <c r="L9" s="857">
        <v>79000</v>
      </c>
      <c r="M9" s="857">
        <v>55000</v>
      </c>
      <c r="N9" s="862">
        <v>1000</v>
      </c>
    </row>
    <row r="10" spans="1:14" ht="14.4" customHeight="1" thickBot="1" x14ac:dyDescent="0.35">
      <c r="A10" s="838" t="s">
        <v>2086</v>
      </c>
      <c r="B10" s="841" t="s">
        <v>2714</v>
      </c>
      <c r="C10" s="848">
        <v>10</v>
      </c>
      <c r="D10" s="849">
        <v>6</v>
      </c>
      <c r="E10" s="849">
        <v>9</v>
      </c>
      <c r="F10" s="852">
        <v>0.9</v>
      </c>
      <c r="G10" s="858">
        <v>49194</v>
      </c>
      <c r="H10" s="859">
        <v>29568</v>
      </c>
      <c r="I10" s="859">
        <v>44355</v>
      </c>
      <c r="J10" s="852">
        <v>0.90163434565190881</v>
      </c>
      <c r="K10" s="858">
        <v>5000</v>
      </c>
      <c r="L10" s="859">
        <v>3000</v>
      </c>
      <c r="M10" s="859">
        <v>4500</v>
      </c>
      <c r="N10" s="863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60" bestFit="1" customWidth="1"/>
    <col min="2" max="3" width="9.5546875" style="260" customWidth="1"/>
    <col min="4" max="4" width="2.44140625" style="260" customWidth="1"/>
    <col min="5" max="8" width="9.5546875" style="260" customWidth="1"/>
    <col min="9" max="16384" width="8.88671875" style="260"/>
  </cols>
  <sheetData>
    <row r="1" spans="1:8" ht="18.600000000000001" customHeight="1" thickBot="1" x14ac:dyDescent="0.4">
      <c r="A1" s="464" t="s">
        <v>179</v>
      </c>
      <c r="B1" s="464"/>
      <c r="C1" s="464"/>
      <c r="D1" s="464"/>
      <c r="E1" s="464"/>
      <c r="F1" s="464"/>
      <c r="G1" s="465"/>
      <c r="H1" s="465"/>
    </row>
    <row r="2" spans="1:8" ht="14.4" customHeight="1" thickBot="1" x14ac:dyDescent="0.35">
      <c r="A2" s="389" t="s">
        <v>298</v>
      </c>
      <c r="B2" s="230"/>
      <c r="C2" s="230"/>
      <c r="D2" s="230"/>
      <c r="E2" s="230"/>
      <c r="F2" s="230"/>
    </row>
    <row r="3" spans="1:8" ht="14.4" customHeight="1" x14ac:dyDescent="0.3">
      <c r="A3" s="466"/>
      <c r="B3" s="226">
        <v>2012</v>
      </c>
      <c r="C3" s="44">
        <v>2013</v>
      </c>
      <c r="D3" s="11"/>
      <c r="E3" s="470">
        <v>2014</v>
      </c>
      <c r="F3" s="471"/>
      <c r="G3" s="471"/>
      <c r="H3" s="472"/>
    </row>
    <row r="4" spans="1:8" ht="14.4" customHeight="1" thickBot="1" x14ac:dyDescent="0.35">
      <c r="A4" s="467"/>
      <c r="B4" s="468" t="s">
        <v>97</v>
      </c>
      <c r="C4" s="469"/>
      <c r="D4" s="11"/>
      <c r="E4" s="247" t="s">
        <v>97</v>
      </c>
      <c r="F4" s="228" t="s">
        <v>98</v>
      </c>
      <c r="G4" s="228" t="s">
        <v>72</v>
      </c>
      <c r="H4" s="229" t="s">
        <v>99</v>
      </c>
    </row>
    <row r="5" spans="1:8" ht="14.4" customHeight="1" x14ac:dyDescent="0.3">
      <c r="A5" s="231" t="str">
        <f>HYPERLINK("#'Léky Žádanky'!A1","Léky (Kč)")</f>
        <v>Léky (Kč)</v>
      </c>
      <c r="B5" s="31">
        <v>1081.23206</v>
      </c>
      <c r="C5" s="33">
        <v>1223.62482</v>
      </c>
      <c r="D5" s="12"/>
      <c r="E5" s="236">
        <v>942.24918000000196</v>
      </c>
      <c r="F5" s="32">
        <v>1280</v>
      </c>
      <c r="G5" s="235">
        <f>E5-F5</f>
        <v>-337.75081999999804</v>
      </c>
      <c r="H5" s="241">
        <f>IF(F5&lt;0.00000001,"",E5/F5)</f>
        <v>0.73613217187500157</v>
      </c>
    </row>
    <row r="6" spans="1:8" ht="14.4" customHeight="1" x14ac:dyDescent="0.3">
      <c r="A6" s="231" t="str">
        <f>HYPERLINK("#'Materiál Žádanky'!A1","Materiál - SZM (Kč)")</f>
        <v>Materiál - SZM (Kč)</v>
      </c>
      <c r="B6" s="14">
        <v>547.63649999999996</v>
      </c>
      <c r="C6" s="35">
        <v>510.54466000000002</v>
      </c>
      <c r="D6" s="12"/>
      <c r="E6" s="237">
        <v>438.96865000000099</v>
      </c>
      <c r="F6" s="34">
        <v>647</v>
      </c>
      <c r="G6" s="238">
        <f>E6-F6</f>
        <v>-208.03134999999901</v>
      </c>
      <c r="H6" s="242">
        <f>IF(F6&lt;0.00000001,"",E6/F6)</f>
        <v>0.67846777434312366</v>
      </c>
    </row>
    <row r="7" spans="1:8" ht="14.4" customHeight="1" x14ac:dyDescent="0.3">
      <c r="A7" s="454" t="str">
        <f>HYPERLINK("#'Osobní náklady'!A1","Osobní náklady (Kč) *")</f>
        <v>Osobní náklady (Kč) *</v>
      </c>
      <c r="B7" s="14">
        <v>4451.0004499999995</v>
      </c>
      <c r="C7" s="35">
        <v>4654.4879000000001</v>
      </c>
      <c r="D7" s="12"/>
      <c r="E7" s="237">
        <v>5082.49442000001</v>
      </c>
      <c r="F7" s="34">
        <v>5536</v>
      </c>
      <c r="G7" s="238">
        <f>E7-F7</f>
        <v>-453.50557999999</v>
      </c>
      <c r="H7" s="242">
        <f>IF(F7&lt;0.00000001,"",E7/F7)</f>
        <v>0.91808063945086882</v>
      </c>
    </row>
    <row r="8" spans="1:8" ht="14.4" customHeight="1" thickBot="1" x14ac:dyDescent="0.35">
      <c r="A8" s="1" t="s">
        <v>100</v>
      </c>
      <c r="B8" s="15">
        <v>1433.19616</v>
      </c>
      <c r="C8" s="37">
        <v>1424.9419399999999</v>
      </c>
      <c r="D8" s="12"/>
      <c r="E8" s="239">
        <v>1178.8593800000001</v>
      </c>
      <c r="F8" s="36">
        <v>1342</v>
      </c>
      <c r="G8" s="240">
        <f>E8-F8</f>
        <v>-163.1406199999999</v>
      </c>
      <c r="H8" s="243">
        <f>IF(F8&lt;0.00000001,"",E8/F8)</f>
        <v>0.87843470938897172</v>
      </c>
    </row>
    <row r="9" spans="1:8" ht="14.4" customHeight="1" thickBot="1" x14ac:dyDescent="0.35">
      <c r="A9" s="2" t="s">
        <v>101</v>
      </c>
      <c r="B9" s="3">
        <v>7513.0651699999999</v>
      </c>
      <c r="C9" s="39">
        <v>7813.5993200000003</v>
      </c>
      <c r="D9" s="12"/>
      <c r="E9" s="3">
        <v>7642.5716300000204</v>
      </c>
      <c r="F9" s="38">
        <v>8805</v>
      </c>
      <c r="G9" s="38">
        <f>E9-F9</f>
        <v>-1162.4283699999796</v>
      </c>
      <c r="H9" s="244">
        <f>IF(F9&lt;0.00000001,"",E9/F9)</f>
        <v>0.86798087791028056</v>
      </c>
    </row>
    <row r="10" spans="1:8" ht="14.4" customHeight="1" thickBot="1" x14ac:dyDescent="0.35">
      <c r="A10" s="16"/>
      <c r="B10" s="16"/>
      <c r="C10" s="227"/>
      <c r="D10" s="12"/>
      <c r="E10" s="16"/>
      <c r="F10" s="17"/>
    </row>
    <row r="11" spans="1:8" ht="14.4" customHeight="1" x14ac:dyDescent="0.3">
      <c r="A11" s="263" t="str">
        <f>HYPERLINK("#'ZV Vykáz.-A'!A1","Ambulance *")</f>
        <v>Ambulance *</v>
      </c>
      <c r="B11" s="13">
        <f>IF(ISERROR(VLOOKUP("Celkem:",'ZV Vykáz.-A'!A:F,2,0)),0,VLOOKUP("Celkem:",'ZV Vykáz.-A'!A:F,2,0)/1000)</f>
        <v>38.372</v>
      </c>
      <c r="C11" s="33">
        <f>IF(ISERROR(VLOOKUP("Celkem:",'ZV Vykáz.-A'!A:F,4,0)),0,VLOOKUP("Celkem:",'ZV Vykáz.-A'!A:F,4,0)/1000)</f>
        <v>135.18799999999999</v>
      </c>
      <c r="D11" s="12"/>
      <c r="E11" s="236">
        <f>IF(ISERROR(VLOOKUP("Celkem:",'ZV Vykáz.-A'!A:F,6,0)),0,VLOOKUP("Celkem:",'ZV Vykáz.-A'!A:F,6,0)/1000)</f>
        <v>6.8949999999999996</v>
      </c>
      <c r="F11" s="32">
        <f>B11</f>
        <v>38.372</v>
      </c>
      <c r="G11" s="235">
        <f>E11-F11</f>
        <v>-31.477</v>
      </c>
      <c r="H11" s="241">
        <f>IF(F11&lt;0.00000001,"",E11/F11)</f>
        <v>0.17968831439591368</v>
      </c>
    </row>
    <row r="12" spans="1:8" ht="14.4" customHeight="1" thickBot="1" x14ac:dyDescent="0.35">
      <c r="A12" s="264" t="str">
        <f>HYPERLINK("#CaseMix!A1","Hospitalizace *")</f>
        <v>Hospitalizace *</v>
      </c>
      <c r="B12" s="15">
        <f>IF(ISERROR(VLOOKUP("Celkem",CaseMix!A:D,2,0)),0,VLOOKUP("Celkem",CaseMix!A:D,2,0)*30)</f>
        <v>3185.52</v>
      </c>
      <c r="C12" s="37">
        <f>IF(ISERROR(VLOOKUP("Celkem",CaseMix!A:D,3,0)),0,VLOOKUP("Celkem",CaseMix!A:D,3,0)*30)</f>
        <v>2384.6099999999997</v>
      </c>
      <c r="D12" s="12"/>
      <c r="E12" s="239">
        <f>IF(ISERROR(VLOOKUP("Celkem",CaseMix!A:D,4,0)),0,VLOOKUP("Celkem",CaseMix!A:D,4,0)*30)</f>
        <v>2019.5700000000002</v>
      </c>
      <c r="F12" s="36">
        <f>B12</f>
        <v>3185.52</v>
      </c>
      <c r="G12" s="240">
        <f>E12-F12</f>
        <v>-1165.9499999999998</v>
      </c>
      <c r="H12" s="243">
        <f>IF(F12&lt;0.00000001,"",E12/F12)</f>
        <v>0.633984404430046</v>
      </c>
    </row>
    <row r="13" spans="1:8" ht="14.4" customHeight="1" thickBot="1" x14ac:dyDescent="0.35">
      <c r="A13" s="4" t="s">
        <v>104</v>
      </c>
      <c r="B13" s="9">
        <f>SUM(B11:B12)</f>
        <v>3223.8919999999998</v>
      </c>
      <c r="C13" s="41">
        <f>SUM(C11:C12)</f>
        <v>2519.7979999999998</v>
      </c>
      <c r="D13" s="12"/>
      <c r="E13" s="9">
        <f>SUM(E11:E12)</f>
        <v>2026.4650000000001</v>
      </c>
      <c r="F13" s="40">
        <f>SUM(F11:F12)</f>
        <v>3223.8919999999998</v>
      </c>
      <c r="G13" s="40">
        <f>E13-F13</f>
        <v>-1197.4269999999997</v>
      </c>
      <c r="H13" s="245">
        <f>IF(F13&lt;0.00000001,"",E13/F13)</f>
        <v>0.62857719799546641</v>
      </c>
    </row>
    <row r="14" spans="1:8" ht="14.4" customHeight="1" thickBot="1" x14ac:dyDescent="0.35">
      <c r="A14" s="16"/>
      <c r="B14" s="16"/>
      <c r="C14" s="227"/>
      <c r="D14" s="12"/>
      <c r="E14" s="16"/>
      <c r="F14" s="17"/>
    </row>
    <row r="15" spans="1:8" ht="14.4" customHeight="1" thickBot="1" x14ac:dyDescent="0.35">
      <c r="A15" s="265" t="str">
        <f>HYPERLINK("#'HI Graf'!A1","Hospodářský index (Výnosy / Náklady) *")</f>
        <v>Hospodářský index (Výnosy / Náklady) *</v>
      </c>
      <c r="B15" s="10">
        <f>IF(B9=0,"",B13/B9)</f>
        <v>0.42910475645454838</v>
      </c>
      <c r="C15" s="43">
        <f>IF(C9=0,"",C13/C9)</f>
        <v>0.32248876565121842</v>
      </c>
      <c r="D15" s="12"/>
      <c r="E15" s="10">
        <f>IF(E9=0,"",E13/E9)</f>
        <v>0.26515485861399701</v>
      </c>
      <c r="F15" s="42">
        <f>IF(F9=0,"",F13/F9)</f>
        <v>0.36614332765474161</v>
      </c>
      <c r="G15" s="42">
        <f>IF(ISERROR(F15-E15),"",E15-F15)</f>
        <v>-0.1009884690407446</v>
      </c>
      <c r="H15" s="246">
        <f>IF(ISERROR(F15-E15),"",IF(F15&lt;0.00000001,"",E15/F15))</f>
        <v>0.72418323259471584</v>
      </c>
    </row>
    <row r="17" spans="1:8" ht="14.4" customHeight="1" x14ac:dyDescent="0.3">
      <c r="A17" s="232" t="s">
        <v>207</v>
      </c>
    </row>
    <row r="18" spans="1:8" ht="14.4" customHeight="1" x14ac:dyDescent="0.3">
      <c r="A18" s="456" t="s">
        <v>295</v>
      </c>
      <c r="B18" s="457"/>
      <c r="C18" s="457"/>
      <c r="D18" s="457"/>
      <c r="E18" s="457"/>
      <c r="F18" s="457"/>
      <c r="G18" s="457"/>
      <c r="H18" s="457"/>
    </row>
    <row r="19" spans="1:8" x14ac:dyDescent="0.3">
      <c r="A19" s="455" t="s">
        <v>294</v>
      </c>
      <c r="B19" s="457"/>
      <c r="C19" s="457"/>
      <c r="D19" s="457"/>
      <c r="E19" s="457"/>
      <c r="F19" s="457"/>
      <c r="G19" s="457"/>
      <c r="H19" s="457"/>
    </row>
    <row r="20" spans="1:8" ht="14.4" customHeight="1" x14ac:dyDescent="0.3">
      <c r="A20" s="233" t="s">
        <v>208</v>
      </c>
    </row>
    <row r="21" spans="1:8" ht="14.4" customHeight="1" x14ac:dyDescent="0.3">
      <c r="A21" s="233" t="s">
        <v>209</v>
      </c>
    </row>
    <row r="22" spans="1:8" ht="14.4" customHeight="1" x14ac:dyDescent="0.3">
      <c r="A22" s="234" t="s">
        <v>210</v>
      </c>
    </row>
    <row r="23" spans="1:8" ht="14.4" customHeight="1" x14ac:dyDescent="0.3">
      <c r="A23" s="234" t="s">
        <v>211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4" operator="greaterThan">
      <formula>0</formula>
    </cfRule>
  </conditionalFormatting>
  <conditionalFormatting sqref="G11:G13 G15">
    <cfRule type="cellIs" dxfId="68" priority="3" operator="lessThan">
      <formula>0</formula>
    </cfRule>
  </conditionalFormatting>
  <conditionalFormatting sqref="H5:H9">
    <cfRule type="cellIs" dxfId="67" priority="2" operator="greaterThan">
      <formula>1</formula>
    </cfRule>
  </conditionalFormatting>
  <conditionalFormatting sqref="H11:H13 H15">
    <cfRule type="cellIs" dxfId="6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60"/>
    <col min="2" max="13" width="8.88671875" style="260" customWidth="1"/>
    <col min="14" max="16384" width="8.88671875" style="260"/>
  </cols>
  <sheetData>
    <row r="1" spans="1:13" ht="18.600000000000001" customHeight="1" thickBot="1" x14ac:dyDescent="0.4">
      <c r="A1" s="464" t="s">
        <v>132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ht="14.4" customHeight="1" x14ac:dyDescent="0.3">
      <c r="A2" s="389" t="s">
        <v>298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14.4" customHeight="1" x14ac:dyDescent="0.3">
      <c r="A3" s="334"/>
      <c r="B3" s="335" t="s">
        <v>106</v>
      </c>
      <c r="C3" s="336" t="s">
        <v>107</v>
      </c>
      <c r="D3" s="336" t="s">
        <v>108</v>
      </c>
      <c r="E3" s="335" t="s">
        <v>109</v>
      </c>
      <c r="F3" s="336" t="s">
        <v>110</v>
      </c>
      <c r="G3" s="336" t="s">
        <v>111</v>
      </c>
      <c r="H3" s="336" t="s">
        <v>112</v>
      </c>
      <c r="I3" s="336" t="s">
        <v>113</v>
      </c>
      <c r="J3" s="336" t="s">
        <v>114</v>
      </c>
      <c r="K3" s="336" t="s">
        <v>115</v>
      </c>
      <c r="L3" s="336" t="s">
        <v>116</v>
      </c>
      <c r="M3" s="336" t="s">
        <v>117</v>
      </c>
    </row>
    <row r="4" spans="1:13" ht="14.4" customHeight="1" x14ac:dyDescent="0.3">
      <c r="A4" s="334" t="s">
        <v>105</v>
      </c>
      <c r="B4" s="337">
        <f>(B10+B8)/B6</f>
        <v>0.25799929416598882</v>
      </c>
      <c r="C4" s="337">
        <f t="shared" ref="C4:M4" si="0">(C10+C8)/C6</f>
        <v>0.26515485861399701</v>
      </c>
      <c r="D4" s="337">
        <f t="shared" si="0"/>
        <v>9.0218323540920231E-4</v>
      </c>
      <c r="E4" s="337">
        <f t="shared" si="0"/>
        <v>9.0218323540920231E-4</v>
      </c>
      <c r="F4" s="337">
        <f t="shared" si="0"/>
        <v>9.0218323540920231E-4</v>
      </c>
      <c r="G4" s="337">
        <f t="shared" si="0"/>
        <v>9.0218323540920231E-4</v>
      </c>
      <c r="H4" s="337">
        <f t="shared" si="0"/>
        <v>9.0218323540920231E-4</v>
      </c>
      <c r="I4" s="337">
        <f t="shared" si="0"/>
        <v>9.0218323540920231E-4</v>
      </c>
      <c r="J4" s="337">
        <f t="shared" si="0"/>
        <v>9.0218323540920231E-4</v>
      </c>
      <c r="K4" s="337">
        <f t="shared" si="0"/>
        <v>9.0218323540920231E-4</v>
      </c>
      <c r="L4" s="337">
        <f t="shared" si="0"/>
        <v>9.0218323540920231E-4</v>
      </c>
      <c r="M4" s="337">
        <f t="shared" si="0"/>
        <v>9.0218323540920231E-4</v>
      </c>
    </row>
    <row r="5" spans="1:13" ht="14.4" customHeight="1" x14ac:dyDescent="0.3">
      <c r="A5" s="338" t="s">
        <v>56</v>
      </c>
      <c r="B5" s="337">
        <f>IF(ISERROR(VLOOKUP($A5,'Man Tab'!$A:$Q,COLUMN()+2,0)),0,VLOOKUP($A5,'Man Tab'!$A:$Q,COLUMN()+2,0))</f>
        <v>3603.5951300000202</v>
      </c>
      <c r="C5" s="337">
        <f>IF(ISERROR(VLOOKUP($A5,'Man Tab'!$A:$Q,COLUMN()+2,0)),0,VLOOKUP($A5,'Man Tab'!$A:$Q,COLUMN()+2,0))</f>
        <v>4038.9765000000002</v>
      </c>
      <c r="D5" s="337">
        <f>IF(ISERROR(VLOOKUP($A5,'Man Tab'!$A:$Q,COLUMN()+2,0)),0,VLOOKUP($A5,'Man Tab'!$A:$Q,COLUMN()+2,0))</f>
        <v>4.9406564584124654E-324</v>
      </c>
      <c r="E5" s="337">
        <f>IF(ISERROR(VLOOKUP($A5,'Man Tab'!$A:$Q,COLUMN()+2,0)),0,VLOOKUP($A5,'Man Tab'!$A:$Q,COLUMN()+2,0))</f>
        <v>4.9406564584124654E-324</v>
      </c>
      <c r="F5" s="337">
        <f>IF(ISERROR(VLOOKUP($A5,'Man Tab'!$A:$Q,COLUMN()+2,0)),0,VLOOKUP($A5,'Man Tab'!$A:$Q,COLUMN()+2,0))</f>
        <v>4.9406564584124654E-324</v>
      </c>
      <c r="G5" s="337">
        <f>IF(ISERROR(VLOOKUP($A5,'Man Tab'!$A:$Q,COLUMN()+2,0)),0,VLOOKUP($A5,'Man Tab'!$A:$Q,COLUMN()+2,0))</f>
        <v>4.9406564584124654E-324</v>
      </c>
      <c r="H5" s="337">
        <f>IF(ISERROR(VLOOKUP($A5,'Man Tab'!$A:$Q,COLUMN()+2,0)),0,VLOOKUP($A5,'Man Tab'!$A:$Q,COLUMN()+2,0))</f>
        <v>4.9406564584124654E-324</v>
      </c>
      <c r="I5" s="337">
        <f>IF(ISERROR(VLOOKUP($A5,'Man Tab'!$A:$Q,COLUMN()+2,0)),0,VLOOKUP($A5,'Man Tab'!$A:$Q,COLUMN()+2,0))</f>
        <v>4.9406564584124654E-324</v>
      </c>
      <c r="J5" s="337">
        <f>IF(ISERROR(VLOOKUP($A5,'Man Tab'!$A:$Q,COLUMN()+2,0)),0,VLOOKUP($A5,'Man Tab'!$A:$Q,COLUMN()+2,0))</f>
        <v>4.9406564584124654E-324</v>
      </c>
      <c r="K5" s="337">
        <f>IF(ISERROR(VLOOKUP($A5,'Man Tab'!$A:$Q,COLUMN()+2,0)),0,VLOOKUP($A5,'Man Tab'!$A:$Q,COLUMN()+2,0))</f>
        <v>4.9406564584124654E-324</v>
      </c>
      <c r="L5" s="337">
        <f>IF(ISERROR(VLOOKUP($A5,'Man Tab'!$A:$Q,COLUMN()+2,0)),0,VLOOKUP($A5,'Man Tab'!$A:$Q,COLUMN()+2,0))</f>
        <v>4.9406564584124654E-324</v>
      </c>
      <c r="M5" s="337">
        <f>IF(ISERROR(VLOOKUP($A5,'Man Tab'!$A:$Q,COLUMN()+2,0)),0,VLOOKUP($A5,'Man Tab'!$A:$Q,COLUMN()+2,0))</f>
        <v>4.9406564584124654E-324</v>
      </c>
    </row>
    <row r="6" spans="1:13" ht="14.4" customHeight="1" x14ac:dyDescent="0.3">
      <c r="A6" s="338" t="s">
        <v>101</v>
      </c>
      <c r="B6" s="339">
        <f>B5</f>
        <v>3603.5951300000202</v>
      </c>
      <c r="C6" s="339">
        <f t="shared" ref="C6:M6" si="1">C5+B6</f>
        <v>7642.5716300000204</v>
      </c>
      <c r="D6" s="339">
        <f t="shared" si="1"/>
        <v>7642.5716300000204</v>
      </c>
      <c r="E6" s="339">
        <f t="shared" si="1"/>
        <v>7642.5716300000204</v>
      </c>
      <c r="F6" s="339">
        <f t="shared" si="1"/>
        <v>7642.5716300000204</v>
      </c>
      <c r="G6" s="339">
        <f t="shared" si="1"/>
        <v>7642.5716300000204</v>
      </c>
      <c r="H6" s="339">
        <f t="shared" si="1"/>
        <v>7642.5716300000204</v>
      </c>
      <c r="I6" s="339">
        <f t="shared" si="1"/>
        <v>7642.5716300000204</v>
      </c>
      <c r="J6" s="339">
        <f t="shared" si="1"/>
        <v>7642.5716300000204</v>
      </c>
      <c r="K6" s="339">
        <f t="shared" si="1"/>
        <v>7642.5716300000204</v>
      </c>
      <c r="L6" s="339">
        <f t="shared" si="1"/>
        <v>7642.5716300000204</v>
      </c>
      <c r="M6" s="339">
        <f t="shared" si="1"/>
        <v>7642.5716300000204</v>
      </c>
    </row>
    <row r="7" spans="1:13" ht="14.4" customHeight="1" x14ac:dyDescent="0.3">
      <c r="A7" s="338" t="s">
        <v>130</v>
      </c>
      <c r="B7" s="338">
        <v>30.760999999999999</v>
      </c>
      <c r="C7" s="338">
        <v>67.319000000000003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</row>
    <row r="8" spans="1:13" ht="14.4" customHeight="1" x14ac:dyDescent="0.3">
      <c r="A8" s="338" t="s">
        <v>102</v>
      </c>
      <c r="B8" s="339">
        <f>B7*30</f>
        <v>922.82999999999993</v>
      </c>
      <c r="C8" s="339">
        <f t="shared" ref="C8:M8" si="2">C7*30</f>
        <v>2019.5700000000002</v>
      </c>
      <c r="D8" s="339">
        <f t="shared" si="2"/>
        <v>0</v>
      </c>
      <c r="E8" s="339">
        <f t="shared" si="2"/>
        <v>0</v>
      </c>
      <c r="F8" s="339">
        <f t="shared" si="2"/>
        <v>0</v>
      </c>
      <c r="G8" s="339">
        <f t="shared" si="2"/>
        <v>0</v>
      </c>
      <c r="H8" s="339">
        <f t="shared" si="2"/>
        <v>0</v>
      </c>
      <c r="I8" s="339">
        <f t="shared" si="2"/>
        <v>0</v>
      </c>
      <c r="J8" s="339">
        <f t="shared" si="2"/>
        <v>0</v>
      </c>
      <c r="K8" s="339">
        <f t="shared" si="2"/>
        <v>0</v>
      </c>
      <c r="L8" s="339">
        <f t="shared" si="2"/>
        <v>0</v>
      </c>
      <c r="M8" s="339">
        <f t="shared" si="2"/>
        <v>0</v>
      </c>
    </row>
    <row r="9" spans="1:13" ht="14.4" customHeight="1" x14ac:dyDescent="0.3">
      <c r="A9" s="338" t="s">
        <v>131</v>
      </c>
      <c r="B9" s="338">
        <v>6895</v>
      </c>
      <c r="C9" s="338">
        <v>0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</row>
    <row r="10" spans="1:13" ht="14.4" customHeight="1" x14ac:dyDescent="0.3">
      <c r="A10" s="338" t="s">
        <v>103</v>
      </c>
      <c r="B10" s="339">
        <f>B9/1000</f>
        <v>6.8949999999999996</v>
      </c>
      <c r="C10" s="339">
        <f t="shared" ref="C10:M10" si="3">C9/1000+B10</f>
        <v>6.8949999999999996</v>
      </c>
      <c r="D10" s="339">
        <f t="shared" si="3"/>
        <v>6.8949999999999996</v>
      </c>
      <c r="E10" s="339">
        <f t="shared" si="3"/>
        <v>6.8949999999999996</v>
      </c>
      <c r="F10" s="339">
        <f t="shared" si="3"/>
        <v>6.8949999999999996</v>
      </c>
      <c r="G10" s="339">
        <f t="shared" si="3"/>
        <v>6.8949999999999996</v>
      </c>
      <c r="H10" s="339">
        <f t="shared" si="3"/>
        <v>6.8949999999999996</v>
      </c>
      <c r="I10" s="339">
        <f t="shared" si="3"/>
        <v>6.8949999999999996</v>
      </c>
      <c r="J10" s="339">
        <f t="shared" si="3"/>
        <v>6.8949999999999996</v>
      </c>
      <c r="K10" s="339">
        <f t="shared" si="3"/>
        <v>6.8949999999999996</v>
      </c>
      <c r="L10" s="339">
        <f t="shared" si="3"/>
        <v>6.8949999999999996</v>
      </c>
      <c r="M10" s="339">
        <f t="shared" si="3"/>
        <v>6.8949999999999996</v>
      </c>
    </row>
    <row r="11" spans="1:13" ht="14.4" customHeight="1" x14ac:dyDescent="0.3">
      <c r="A11" s="334"/>
      <c r="B11" s="334" t="s">
        <v>119</v>
      </c>
      <c r="C11" s="334">
        <f>COUNTIF(B7:M7,"&lt;&gt;")</f>
        <v>2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</row>
    <row r="12" spans="1:13" ht="14.4" customHeight="1" x14ac:dyDescent="0.3">
      <c r="A12" s="334">
        <v>0</v>
      </c>
      <c r="B12" s="337">
        <f>IF(ISERROR(HI!F15),#REF!,HI!F15)</f>
        <v>0.36614332765474161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</row>
    <row r="13" spans="1:13" ht="14.4" customHeight="1" x14ac:dyDescent="0.3">
      <c r="A13" s="334">
        <v>1</v>
      </c>
      <c r="B13" s="337">
        <f>IF(ISERROR(HI!F15),#REF!,HI!F15)</f>
        <v>0.36614332765474161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60" bestFit="1" customWidth="1"/>
    <col min="2" max="2" width="12.77734375" style="260" bestFit="1" customWidth="1"/>
    <col min="3" max="3" width="13.6640625" style="260" bestFit="1" customWidth="1"/>
    <col min="4" max="15" width="7.77734375" style="260" bestFit="1" customWidth="1"/>
    <col min="16" max="16" width="8.88671875" style="260" customWidth="1"/>
    <col min="17" max="17" width="6.6640625" style="260" bestFit="1" customWidth="1"/>
    <col min="18" max="16384" width="8.88671875" style="260"/>
  </cols>
  <sheetData>
    <row r="1" spans="1:17" s="340" customFormat="1" ht="18.600000000000001" customHeight="1" thickBot="1" x14ac:dyDescent="0.4">
      <c r="A1" s="473" t="s">
        <v>300</v>
      </c>
      <c r="B1" s="473"/>
      <c r="C1" s="473"/>
      <c r="D1" s="473"/>
      <c r="E1" s="473"/>
      <c r="F1" s="473"/>
      <c r="G1" s="473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s="340" customFormat="1" ht="14.4" customHeight="1" thickBot="1" x14ac:dyDescent="0.3">
      <c r="A2" s="389" t="s">
        <v>298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14.4" customHeight="1" x14ac:dyDescent="0.3">
      <c r="A3" s="101"/>
      <c r="B3" s="474" t="s">
        <v>32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269"/>
      <c r="Q3" s="271"/>
    </row>
    <row r="4" spans="1:17" ht="14.4" customHeight="1" x14ac:dyDescent="0.3">
      <c r="A4" s="102"/>
      <c r="B4" s="24">
        <v>2014</v>
      </c>
      <c r="C4" s="270" t="s">
        <v>33</v>
      </c>
      <c r="D4" s="248" t="s">
        <v>215</v>
      </c>
      <c r="E4" s="248" t="s">
        <v>216</v>
      </c>
      <c r="F4" s="248" t="s">
        <v>217</v>
      </c>
      <c r="G4" s="248" t="s">
        <v>218</v>
      </c>
      <c r="H4" s="248" t="s">
        <v>219</v>
      </c>
      <c r="I4" s="248" t="s">
        <v>220</v>
      </c>
      <c r="J4" s="248" t="s">
        <v>221</v>
      </c>
      <c r="K4" s="248" t="s">
        <v>222</v>
      </c>
      <c r="L4" s="248" t="s">
        <v>223</v>
      </c>
      <c r="M4" s="248" t="s">
        <v>224</v>
      </c>
      <c r="N4" s="248" t="s">
        <v>225</v>
      </c>
      <c r="O4" s="248" t="s">
        <v>226</v>
      </c>
      <c r="P4" s="476" t="s">
        <v>6</v>
      </c>
      <c r="Q4" s="477"/>
    </row>
    <row r="5" spans="1:17" ht="14.4" customHeight="1" thickBot="1" x14ac:dyDescent="0.35">
      <c r="A5" s="103"/>
      <c r="B5" s="25" t="s">
        <v>34</v>
      </c>
      <c r="C5" s="26" t="s">
        <v>34</v>
      </c>
      <c r="D5" s="26" t="s">
        <v>35</v>
      </c>
      <c r="E5" s="26" t="s">
        <v>35</v>
      </c>
      <c r="F5" s="26" t="s">
        <v>35</v>
      </c>
      <c r="G5" s="26" t="s">
        <v>35</v>
      </c>
      <c r="H5" s="26" t="s">
        <v>35</v>
      </c>
      <c r="I5" s="26" t="s">
        <v>35</v>
      </c>
      <c r="J5" s="26" t="s">
        <v>35</v>
      </c>
      <c r="K5" s="26" t="s">
        <v>35</v>
      </c>
      <c r="L5" s="26" t="s">
        <v>35</v>
      </c>
      <c r="M5" s="26" t="s">
        <v>35</v>
      </c>
      <c r="N5" s="26" t="s">
        <v>35</v>
      </c>
      <c r="O5" s="26" t="s">
        <v>35</v>
      </c>
      <c r="P5" s="26" t="s">
        <v>35</v>
      </c>
      <c r="Q5" s="27" t="s">
        <v>36</v>
      </c>
    </row>
    <row r="6" spans="1:17" ht="14.4" customHeight="1" x14ac:dyDescent="0.3">
      <c r="A6" s="18" t="s">
        <v>37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9.8813129168249309E-324</v>
      </c>
      <c r="Q6" s="188" t="s">
        <v>299</v>
      </c>
    </row>
    <row r="7" spans="1:17" ht="14.4" customHeight="1" x14ac:dyDescent="0.3">
      <c r="A7" s="19" t="s">
        <v>38</v>
      </c>
      <c r="B7" s="55">
        <v>7055.0433569288398</v>
      </c>
      <c r="C7" s="56">
        <v>587.92027974406994</v>
      </c>
      <c r="D7" s="56">
        <v>386.16287000000199</v>
      </c>
      <c r="E7" s="56">
        <v>556.08631000000003</v>
      </c>
      <c r="F7" s="56">
        <v>4.9406564584124654E-324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942.24918000000196</v>
      </c>
      <c r="Q7" s="189">
        <v>0.80134094065399997</v>
      </c>
    </row>
    <row r="8" spans="1:17" ht="14.4" customHeight="1" x14ac:dyDescent="0.3">
      <c r="A8" s="19" t="s">
        <v>39</v>
      </c>
      <c r="B8" s="55">
        <v>3394.97988424399</v>
      </c>
      <c r="C8" s="56">
        <v>282.91499035366502</v>
      </c>
      <c r="D8" s="56">
        <v>179.91500000000099</v>
      </c>
      <c r="E8" s="56">
        <v>329.76799999999997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509.68300000000102</v>
      </c>
      <c r="Q8" s="189">
        <v>0.90077058017099998</v>
      </c>
    </row>
    <row r="9" spans="1:17" ht="14.4" customHeight="1" x14ac:dyDescent="0.3">
      <c r="A9" s="19" t="s">
        <v>40</v>
      </c>
      <c r="B9" s="55">
        <v>3318.2701150048802</v>
      </c>
      <c r="C9" s="56">
        <v>276.52250958373997</v>
      </c>
      <c r="D9" s="56">
        <v>214.41202000000101</v>
      </c>
      <c r="E9" s="56">
        <v>224.55663000000001</v>
      </c>
      <c r="F9" s="56">
        <v>4.9406564584124654E-324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438.96865000000099</v>
      </c>
      <c r="Q9" s="189">
        <v>0.79373041033900005</v>
      </c>
    </row>
    <row r="10" spans="1:17" ht="14.4" customHeight="1" x14ac:dyDescent="0.3">
      <c r="A10" s="19" t="s">
        <v>41</v>
      </c>
      <c r="B10" s="55">
        <v>57.999795446105999</v>
      </c>
      <c r="C10" s="56">
        <v>4.8333162871750002</v>
      </c>
      <c r="D10" s="56">
        <v>4.6252800000000001</v>
      </c>
      <c r="E10" s="56">
        <v>3.7244899999999999</v>
      </c>
      <c r="F10" s="56">
        <v>4.9406564584124654E-324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8.3497699999999995</v>
      </c>
      <c r="Q10" s="189">
        <v>0.86377235668899999</v>
      </c>
    </row>
    <row r="11" spans="1:17" ht="14.4" customHeight="1" x14ac:dyDescent="0.3">
      <c r="A11" s="19" t="s">
        <v>42</v>
      </c>
      <c r="B11" s="55">
        <v>323.210944503203</v>
      </c>
      <c r="C11" s="56">
        <v>26.934245375265998</v>
      </c>
      <c r="D11" s="56">
        <v>22.301169999999999</v>
      </c>
      <c r="E11" s="56">
        <v>27.73808</v>
      </c>
      <c r="F11" s="56">
        <v>4.9406564584124654E-324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50.039250000000003</v>
      </c>
      <c r="Q11" s="189">
        <v>0.92891501697500001</v>
      </c>
    </row>
    <row r="12" spans="1:17" ht="14.4" customHeight="1" x14ac:dyDescent="0.3">
      <c r="A12" s="19" t="s">
        <v>43</v>
      </c>
      <c r="B12" s="55">
        <v>59.436186645969997</v>
      </c>
      <c r="C12" s="56">
        <v>4.9530155538300003</v>
      </c>
      <c r="D12" s="56">
        <v>0.20319999999999999</v>
      </c>
      <c r="E12" s="56">
        <v>12.91337</v>
      </c>
      <c r="F12" s="56">
        <v>4.9406564584124654E-324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13.116569999999999</v>
      </c>
      <c r="Q12" s="189">
        <v>1.3240994155420001</v>
      </c>
    </row>
    <row r="13" spans="1:17" ht="14.4" customHeight="1" x14ac:dyDescent="0.3">
      <c r="A13" s="19" t="s">
        <v>44</v>
      </c>
      <c r="B13" s="55">
        <v>126.230395954993</v>
      </c>
      <c r="C13" s="56">
        <v>10.519199662916</v>
      </c>
      <c r="D13" s="56">
        <v>6.5537099999999997</v>
      </c>
      <c r="E13" s="56">
        <v>8.6322600000000005</v>
      </c>
      <c r="F13" s="56">
        <v>4.9406564584124654E-324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15.185969999999999</v>
      </c>
      <c r="Q13" s="189">
        <v>0.72182154948199995</v>
      </c>
    </row>
    <row r="14" spans="1:17" ht="14.4" customHeight="1" x14ac:dyDescent="0.3">
      <c r="A14" s="19" t="s">
        <v>45</v>
      </c>
      <c r="B14" s="55">
        <v>322.77884899141901</v>
      </c>
      <c r="C14" s="56">
        <v>26.898237415951002</v>
      </c>
      <c r="D14" s="56">
        <v>35.643000000000001</v>
      </c>
      <c r="E14" s="56">
        <v>30.004000000000001</v>
      </c>
      <c r="F14" s="56">
        <v>4.9406564584124654E-324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65.647000000000006</v>
      </c>
      <c r="Q14" s="189">
        <v>1.2202844183579999</v>
      </c>
    </row>
    <row r="15" spans="1:17" ht="14.4" customHeight="1" x14ac:dyDescent="0.3">
      <c r="A15" s="19" t="s">
        <v>46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9.8813129168249309E-324</v>
      </c>
      <c r="Q15" s="189" t="s">
        <v>299</v>
      </c>
    </row>
    <row r="16" spans="1:17" ht="14.4" customHeight="1" x14ac:dyDescent="0.3">
      <c r="A16" s="19" t="s">
        <v>47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9.8813129168249309E-324</v>
      </c>
      <c r="Q16" s="189" t="s">
        <v>299</v>
      </c>
    </row>
    <row r="17" spans="1:17" ht="14.4" customHeight="1" x14ac:dyDescent="0.3">
      <c r="A17" s="19" t="s">
        <v>48</v>
      </c>
      <c r="B17" s="55">
        <v>351.66175781058598</v>
      </c>
      <c r="C17" s="56">
        <v>29.305146484215001</v>
      </c>
      <c r="D17" s="56">
        <v>18.300989999999999</v>
      </c>
      <c r="E17" s="56">
        <v>78.216949999999997</v>
      </c>
      <c r="F17" s="56">
        <v>4.9406564584124654E-324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96.517939999999996</v>
      </c>
      <c r="Q17" s="189">
        <v>1.6467745699880001</v>
      </c>
    </row>
    <row r="18" spans="1:17" ht="14.4" customHeight="1" x14ac:dyDescent="0.3">
      <c r="A18" s="19" t="s">
        <v>49</v>
      </c>
      <c r="B18" s="55">
        <v>0</v>
      </c>
      <c r="C18" s="56">
        <v>0</v>
      </c>
      <c r="D18" s="56">
        <v>9.1389999999999993</v>
      </c>
      <c r="E18" s="56">
        <v>4.9406564584124654E-324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9.1389999999999993</v>
      </c>
      <c r="Q18" s="189" t="s">
        <v>299</v>
      </c>
    </row>
    <row r="19" spans="1:17" ht="14.4" customHeight="1" x14ac:dyDescent="0.3">
      <c r="A19" s="19" t="s">
        <v>50</v>
      </c>
      <c r="B19" s="55">
        <v>891.49599297832299</v>
      </c>
      <c r="C19" s="56">
        <v>74.291332748193</v>
      </c>
      <c r="D19" s="56">
        <v>64.847340000000003</v>
      </c>
      <c r="E19" s="56">
        <v>22.09104</v>
      </c>
      <c r="F19" s="56">
        <v>4.9406564584124654E-324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86.938379999999995</v>
      </c>
      <c r="Q19" s="189">
        <v>0.58511791876599994</v>
      </c>
    </row>
    <row r="20" spans="1:17" ht="14.4" customHeight="1" x14ac:dyDescent="0.3">
      <c r="A20" s="19" t="s">
        <v>51</v>
      </c>
      <c r="B20" s="55">
        <v>30448.149869839501</v>
      </c>
      <c r="C20" s="56">
        <v>2537.3458224866299</v>
      </c>
      <c r="D20" s="56">
        <v>2493.9939200000099</v>
      </c>
      <c r="E20" s="56">
        <v>2588.5005000000001</v>
      </c>
      <c r="F20" s="56">
        <v>4.9406564584124654E-324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5082.49442000001</v>
      </c>
      <c r="Q20" s="189">
        <v>1.0015375860389999</v>
      </c>
    </row>
    <row r="21" spans="1:17" ht="14.4" customHeight="1" x14ac:dyDescent="0.3">
      <c r="A21" s="20" t="s">
        <v>52</v>
      </c>
      <c r="B21" s="55">
        <v>1811.98979524115</v>
      </c>
      <c r="C21" s="56">
        <v>150.999149603429</v>
      </c>
      <c r="D21" s="56">
        <v>156.746000000001</v>
      </c>
      <c r="E21" s="56">
        <v>156.744</v>
      </c>
      <c r="F21" s="56">
        <v>1.4821969375237396E-323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313.49000000000098</v>
      </c>
      <c r="Q21" s="189">
        <v>1.0380522036819999</v>
      </c>
    </row>
    <row r="22" spans="1:17" ht="14.4" customHeight="1" x14ac:dyDescent="0.3">
      <c r="A22" s="19" t="s">
        <v>53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9.8813129168249309E-324</v>
      </c>
      <c r="Q22" s="189" t="s">
        <v>299</v>
      </c>
    </row>
    <row r="23" spans="1:17" ht="14.4" customHeight="1" x14ac:dyDescent="0.3">
      <c r="A23" s="20" t="s">
        <v>54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3.9525251667299724E-323</v>
      </c>
      <c r="Q23" s="189" t="s">
        <v>299</v>
      </c>
    </row>
    <row r="24" spans="1:17" ht="14.4" customHeight="1" x14ac:dyDescent="0.3">
      <c r="A24" s="20" t="s">
        <v>55</v>
      </c>
      <c r="B24" s="55">
        <v>7.2759576141834308E-12</v>
      </c>
      <c r="C24" s="56">
        <v>4.5474735088646402E-13</v>
      </c>
      <c r="D24" s="56">
        <v>10.75163</v>
      </c>
      <c r="E24" s="56">
        <v>8.7000000000000001E-4</v>
      </c>
      <c r="F24" s="56">
        <v>-1.0869444208507424E-322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10.752500000001</v>
      </c>
      <c r="Q24" s="189"/>
    </row>
    <row r="25" spans="1:17" ht="14.4" customHeight="1" x14ac:dyDescent="0.3">
      <c r="A25" s="21" t="s">
        <v>56</v>
      </c>
      <c r="B25" s="58">
        <v>48161.246943589002</v>
      </c>
      <c r="C25" s="59">
        <v>4013.4372452990801</v>
      </c>
      <c r="D25" s="59">
        <v>3603.5951300000202</v>
      </c>
      <c r="E25" s="59">
        <v>4038.9765000000002</v>
      </c>
      <c r="F25" s="59">
        <v>4.9406564584124654E-324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7642.5716300000204</v>
      </c>
      <c r="Q25" s="190">
        <v>0.95212297625300002</v>
      </c>
    </row>
    <row r="26" spans="1:17" ht="14.4" customHeight="1" x14ac:dyDescent="0.3">
      <c r="A26" s="19" t="s">
        <v>57</v>
      </c>
      <c r="B26" s="55">
        <v>4619.0160192798403</v>
      </c>
      <c r="C26" s="56">
        <v>384.91800160665298</v>
      </c>
      <c r="D26" s="56">
        <v>471.54777999999999</v>
      </c>
      <c r="E26" s="56">
        <v>486.41426999999999</v>
      </c>
      <c r="F26" s="56">
        <v>4.9406564584124654E-324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957.96204999999998</v>
      </c>
      <c r="Q26" s="189">
        <v>1.244371588236</v>
      </c>
    </row>
    <row r="27" spans="1:17" ht="14.4" customHeight="1" x14ac:dyDescent="0.3">
      <c r="A27" s="22" t="s">
        <v>58</v>
      </c>
      <c r="B27" s="58">
        <v>52780.262962868801</v>
      </c>
      <c r="C27" s="59">
        <v>4398.3552469057404</v>
      </c>
      <c r="D27" s="59">
        <v>4075.14291000002</v>
      </c>
      <c r="E27" s="59">
        <v>4525.39077</v>
      </c>
      <c r="F27" s="59">
        <v>9.8813129168249309E-324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8600.5336800000205</v>
      </c>
      <c r="Q27" s="190">
        <v>0.97769884390799999</v>
      </c>
    </row>
    <row r="28" spans="1:17" ht="14.4" customHeight="1" x14ac:dyDescent="0.3">
      <c r="A28" s="20" t="s">
        <v>59</v>
      </c>
      <c r="B28" s="55">
        <v>0.73186149742499995</v>
      </c>
      <c r="C28" s="56">
        <v>6.0988458118000001E-2</v>
      </c>
      <c r="D28" s="56">
        <v>6.5299999999999997E-2</v>
      </c>
      <c r="E28" s="56">
        <v>7.8509999999999996E-2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0.14380999999999999</v>
      </c>
      <c r="Q28" s="189">
        <v>1.1789935705529999</v>
      </c>
    </row>
    <row r="29" spans="1:17" ht="14.4" customHeight="1" x14ac:dyDescent="0.3">
      <c r="A29" s="20" t="s">
        <v>60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1.9762625833649862E-323</v>
      </c>
      <c r="Q29" s="189" t="s">
        <v>299</v>
      </c>
    </row>
    <row r="30" spans="1:17" ht="14.4" customHeight="1" x14ac:dyDescent="0.3">
      <c r="A30" s="20" t="s">
        <v>61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9.8813129168249309E-323</v>
      </c>
      <c r="Q30" s="189">
        <v>0</v>
      </c>
    </row>
    <row r="31" spans="1:17" ht="14.4" customHeight="1" thickBot="1" x14ac:dyDescent="0.35">
      <c r="A31" s="23" t="s">
        <v>62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4.9406564584124654E-323</v>
      </c>
      <c r="Q31" s="191" t="s">
        <v>299</v>
      </c>
    </row>
    <row r="32" spans="1:17" ht="14.4" customHeight="1" x14ac:dyDescent="0.3"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</row>
    <row r="33" spans="1:17" ht="14.4" customHeight="1" x14ac:dyDescent="0.3">
      <c r="A33" s="232" t="s">
        <v>207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17" ht="14.4" customHeight="1" x14ac:dyDescent="0.3">
      <c r="A34" s="266" t="s">
        <v>243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17" ht="14.4" customHeight="1" x14ac:dyDescent="0.3">
      <c r="A35" s="267" t="s">
        <v>63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60" customWidth="1"/>
    <col min="2" max="11" width="10" style="260" customWidth="1"/>
    <col min="12" max="16384" width="8.88671875" style="260"/>
  </cols>
  <sheetData>
    <row r="1" spans="1:11" s="64" customFormat="1" ht="18.600000000000001" customHeight="1" thickBot="1" x14ac:dyDescent="0.4">
      <c r="A1" s="473" t="s">
        <v>64</v>
      </c>
      <c r="B1" s="473"/>
      <c r="C1" s="473"/>
      <c r="D1" s="473"/>
      <c r="E1" s="473"/>
      <c r="F1" s="473"/>
      <c r="G1" s="473"/>
      <c r="H1" s="478"/>
      <c r="I1" s="478"/>
      <c r="J1" s="478"/>
      <c r="K1" s="478"/>
    </row>
    <row r="2" spans="1:11" s="64" customFormat="1" ht="14.4" customHeight="1" thickBot="1" x14ac:dyDescent="0.35">
      <c r="A2" s="389" t="s">
        <v>298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4" t="s">
        <v>65</v>
      </c>
      <c r="C3" s="475"/>
      <c r="D3" s="475"/>
      <c r="E3" s="475"/>
      <c r="F3" s="481" t="s">
        <v>66</v>
      </c>
      <c r="G3" s="475"/>
      <c r="H3" s="475"/>
      <c r="I3" s="475"/>
      <c r="J3" s="475"/>
      <c r="K3" s="482"/>
    </row>
    <row r="4" spans="1:11" ht="14.4" customHeight="1" x14ac:dyDescent="0.3">
      <c r="A4" s="102"/>
      <c r="B4" s="479"/>
      <c r="C4" s="480"/>
      <c r="D4" s="480"/>
      <c r="E4" s="480"/>
      <c r="F4" s="483" t="s">
        <v>231</v>
      </c>
      <c r="G4" s="485" t="s">
        <v>67</v>
      </c>
      <c r="H4" s="272" t="s">
        <v>187</v>
      </c>
      <c r="I4" s="483" t="s">
        <v>68</v>
      </c>
      <c r="J4" s="485" t="s">
        <v>233</v>
      </c>
      <c r="K4" s="486" t="s">
        <v>234</v>
      </c>
    </row>
    <row r="5" spans="1:11" ht="42" thickBot="1" x14ac:dyDescent="0.35">
      <c r="A5" s="103"/>
      <c r="B5" s="28" t="s">
        <v>227</v>
      </c>
      <c r="C5" s="29" t="s">
        <v>228</v>
      </c>
      <c r="D5" s="30" t="s">
        <v>229</v>
      </c>
      <c r="E5" s="30" t="s">
        <v>230</v>
      </c>
      <c r="F5" s="484"/>
      <c r="G5" s="484"/>
      <c r="H5" s="29" t="s">
        <v>232</v>
      </c>
      <c r="I5" s="484"/>
      <c r="J5" s="484"/>
      <c r="K5" s="487"/>
    </row>
    <row r="6" spans="1:11" ht="14.4" customHeight="1" thickBot="1" x14ac:dyDescent="0.35">
      <c r="A6" s="607" t="s">
        <v>301</v>
      </c>
      <c r="B6" s="589">
        <v>49090.116234739296</v>
      </c>
      <c r="C6" s="589">
        <v>51580.890670000001</v>
      </c>
      <c r="D6" s="590">
        <v>2490.7744352606601</v>
      </c>
      <c r="E6" s="591">
        <v>1.0507388172259999</v>
      </c>
      <c r="F6" s="589">
        <v>48161.246943589002</v>
      </c>
      <c r="G6" s="590">
        <v>8026.8744905981703</v>
      </c>
      <c r="H6" s="592">
        <v>4038.9765000000002</v>
      </c>
      <c r="I6" s="589">
        <v>7642.5716300000204</v>
      </c>
      <c r="J6" s="590">
        <v>-384.30286059814802</v>
      </c>
      <c r="K6" s="593">
        <v>0.15868716270800001</v>
      </c>
    </row>
    <row r="7" spans="1:11" ht="14.4" customHeight="1" thickBot="1" x14ac:dyDescent="0.35">
      <c r="A7" s="608" t="s">
        <v>302</v>
      </c>
      <c r="B7" s="589">
        <v>16032.465254189299</v>
      </c>
      <c r="C7" s="589">
        <v>15450.136640000001</v>
      </c>
      <c r="D7" s="590">
        <v>-582.32861418934795</v>
      </c>
      <c r="E7" s="591">
        <v>0.96367816146999996</v>
      </c>
      <c r="F7" s="589">
        <v>14657.9495277194</v>
      </c>
      <c r="G7" s="590">
        <v>2442.99158795323</v>
      </c>
      <c r="H7" s="592">
        <v>1193.42401</v>
      </c>
      <c r="I7" s="589">
        <v>2043.2398900000001</v>
      </c>
      <c r="J7" s="590">
        <v>-399.75169795322802</v>
      </c>
      <c r="K7" s="593">
        <v>0.13939465995100001</v>
      </c>
    </row>
    <row r="8" spans="1:11" ht="14.4" customHeight="1" thickBot="1" x14ac:dyDescent="0.35">
      <c r="A8" s="609" t="s">
        <v>303</v>
      </c>
      <c r="B8" s="589">
        <v>15684.8734408826</v>
      </c>
      <c r="C8" s="589">
        <v>15111.33064</v>
      </c>
      <c r="D8" s="590">
        <v>-573.54280088260703</v>
      </c>
      <c r="E8" s="591">
        <v>0.96343338038100002</v>
      </c>
      <c r="F8" s="589">
        <v>14335.170678728</v>
      </c>
      <c r="G8" s="590">
        <v>2389.19511312133</v>
      </c>
      <c r="H8" s="592">
        <v>1163.42001</v>
      </c>
      <c r="I8" s="589">
        <v>1977.5928899999999</v>
      </c>
      <c r="J8" s="590">
        <v>-411.60222312132498</v>
      </c>
      <c r="K8" s="593">
        <v>0.13795391309300001</v>
      </c>
    </row>
    <row r="9" spans="1:11" ht="14.4" customHeight="1" thickBot="1" x14ac:dyDescent="0.35">
      <c r="A9" s="610" t="s">
        <v>304</v>
      </c>
      <c r="B9" s="594">
        <v>4.9406564584124654E-324</v>
      </c>
      <c r="C9" s="594">
        <v>5.8100000000000001E-3</v>
      </c>
      <c r="D9" s="595">
        <v>5.8100000000000001E-3</v>
      </c>
      <c r="E9" s="596" t="s">
        <v>305</v>
      </c>
      <c r="F9" s="594">
        <v>0</v>
      </c>
      <c r="G9" s="595">
        <v>0</v>
      </c>
      <c r="H9" s="597">
        <v>8.7000000000000001E-4</v>
      </c>
      <c r="I9" s="594">
        <v>4.9999999900000001E-4</v>
      </c>
      <c r="J9" s="595">
        <v>4.9999999900000001E-4</v>
      </c>
      <c r="K9" s="598" t="s">
        <v>299</v>
      </c>
    </row>
    <row r="10" spans="1:11" ht="14.4" customHeight="1" thickBot="1" x14ac:dyDescent="0.35">
      <c r="A10" s="611" t="s">
        <v>306</v>
      </c>
      <c r="B10" s="589">
        <v>4.9406564584124654E-324</v>
      </c>
      <c r="C10" s="589">
        <v>5.8100000000000001E-3</v>
      </c>
      <c r="D10" s="590">
        <v>5.8100000000000001E-3</v>
      </c>
      <c r="E10" s="599" t="s">
        <v>305</v>
      </c>
      <c r="F10" s="589">
        <v>0</v>
      </c>
      <c r="G10" s="590">
        <v>0</v>
      </c>
      <c r="H10" s="592">
        <v>8.7000000000000001E-4</v>
      </c>
      <c r="I10" s="589">
        <v>4.9999999900000001E-4</v>
      </c>
      <c r="J10" s="590">
        <v>4.9999999900000001E-4</v>
      </c>
      <c r="K10" s="600" t="s">
        <v>299</v>
      </c>
    </row>
    <row r="11" spans="1:11" ht="14.4" customHeight="1" thickBot="1" x14ac:dyDescent="0.35">
      <c r="A11" s="610" t="s">
        <v>307</v>
      </c>
      <c r="B11" s="594">
        <v>7593.9190081377801</v>
      </c>
      <c r="C11" s="594">
        <v>7492.75306</v>
      </c>
      <c r="D11" s="595">
        <v>-101.165948137776</v>
      </c>
      <c r="E11" s="601">
        <v>0.98667803172099999</v>
      </c>
      <c r="F11" s="594">
        <v>7055.0433569288398</v>
      </c>
      <c r="G11" s="595">
        <v>1175.8405594881399</v>
      </c>
      <c r="H11" s="597">
        <v>556.08631000000003</v>
      </c>
      <c r="I11" s="594">
        <v>942.24918000000196</v>
      </c>
      <c r="J11" s="595">
        <v>-233.59137948813799</v>
      </c>
      <c r="K11" s="602">
        <v>0.13355682344200001</v>
      </c>
    </row>
    <row r="12" spans="1:11" ht="14.4" customHeight="1" thickBot="1" x14ac:dyDescent="0.35">
      <c r="A12" s="611" t="s">
        <v>308</v>
      </c>
      <c r="B12" s="589">
        <v>3995.9980111987302</v>
      </c>
      <c r="C12" s="589">
        <v>3482.0259999999998</v>
      </c>
      <c r="D12" s="590">
        <v>-513.97201119872705</v>
      </c>
      <c r="E12" s="591">
        <v>0.87137831156099999</v>
      </c>
      <c r="F12" s="589">
        <v>3445.00978985852</v>
      </c>
      <c r="G12" s="590">
        <v>574.16829830975405</v>
      </c>
      <c r="H12" s="592">
        <v>242.84457</v>
      </c>
      <c r="I12" s="589">
        <v>389.640880000001</v>
      </c>
      <c r="J12" s="590">
        <v>-184.52741830975299</v>
      </c>
      <c r="K12" s="593">
        <v>0.113102981926</v>
      </c>
    </row>
    <row r="13" spans="1:11" ht="14.4" customHeight="1" thickBot="1" x14ac:dyDescent="0.35">
      <c r="A13" s="611" t="s">
        <v>309</v>
      </c>
      <c r="B13" s="589">
        <v>1439.5347154585399</v>
      </c>
      <c r="C13" s="589">
        <v>1543.90139</v>
      </c>
      <c r="D13" s="590">
        <v>104.366674541458</v>
      </c>
      <c r="E13" s="591">
        <v>1.072500283196</v>
      </c>
      <c r="F13" s="589">
        <v>1541.5947783716099</v>
      </c>
      <c r="G13" s="590">
        <v>256.93246306193498</v>
      </c>
      <c r="H13" s="592">
        <v>131.88039000000001</v>
      </c>
      <c r="I13" s="589">
        <v>226.71214000000001</v>
      </c>
      <c r="J13" s="590">
        <v>-30.220323061934</v>
      </c>
      <c r="K13" s="593">
        <v>0.147063380844</v>
      </c>
    </row>
    <row r="14" spans="1:11" ht="14.4" customHeight="1" thickBot="1" x14ac:dyDescent="0.35">
      <c r="A14" s="611" t="s">
        <v>310</v>
      </c>
      <c r="B14" s="589">
        <v>63.626758242942003</v>
      </c>
      <c r="C14" s="589">
        <v>27.062760000000001</v>
      </c>
      <c r="D14" s="590">
        <v>-36.563998242941999</v>
      </c>
      <c r="E14" s="591">
        <v>0.425336143901</v>
      </c>
      <c r="F14" s="589">
        <v>26.364851961125002</v>
      </c>
      <c r="G14" s="590">
        <v>4.3941419935199999</v>
      </c>
      <c r="H14" s="592">
        <v>4.9406564584124654E-324</v>
      </c>
      <c r="I14" s="589">
        <v>9.8813129168249309E-324</v>
      </c>
      <c r="J14" s="590">
        <v>-4.3941419935199999</v>
      </c>
      <c r="K14" s="593">
        <v>0</v>
      </c>
    </row>
    <row r="15" spans="1:11" ht="14.4" customHeight="1" thickBot="1" x14ac:dyDescent="0.35">
      <c r="A15" s="611" t="s">
        <v>311</v>
      </c>
      <c r="B15" s="589">
        <v>149.79259747347399</v>
      </c>
      <c r="C15" s="589">
        <v>360.54921000000002</v>
      </c>
      <c r="D15" s="590">
        <v>210.756612526526</v>
      </c>
      <c r="E15" s="591">
        <v>2.406989504697</v>
      </c>
      <c r="F15" s="589">
        <v>360.00316104062301</v>
      </c>
      <c r="G15" s="590">
        <v>60.000526840102999</v>
      </c>
      <c r="H15" s="592">
        <v>57.160519999999998</v>
      </c>
      <c r="I15" s="589">
        <v>89.323939999999993</v>
      </c>
      <c r="J15" s="590">
        <v>29.323413159895999</v>
      </c>
      <c r="K15" s="593">
        <v>0.24811987689699999</v>
      </c>
    </row>
    <row r="16" spans="1:11" ht="14.4" customHeight="1" thickBot="1" x14ac:dyDescent="0.35">
      <c r="A16" s="611" t="s">
        <v>312</v>
      </c>
      <c r="B16" s="589">
        <v>67.663492218779993</v>
      </c>
      <c r="C16" s="589">
        <v>17.746980000000001</v>
      </c>
      <c r="D16" s="590">
        <v>-49.916512218779999</v>
      </c>
      <c r="E16" s="591">
        <v>0.262282944879</v>
      </c>
      <c r="F16" s="589">
        <v>17.999999999999002</v>
      </c>
      <c r="G16" s="590">
        <v>2.9999999999989999</v>
      </c>
      <c r="H16" s="592">
        <v>4.9406564584124654E-324</v>
      </c>
      <c r="I16" s="589">
        <v>9.8813129168249309E-324</v>
      </c>
      <c r="J16" s="590">
        <v>-2.9999999999989999</v>
      </c>
      <c r="K16" s="593">
        <v>0</v>
      </c>
    </row>
    <row r="17" spans="1:11" ht="14.4" customHeight="1" thickBot="1" x14ac:dyDescent="0.35">
      <c r="A17" s="611" t="s">
        <v>313</v>
      </c>
      <c r="B17" s="589">
        <v>1497.3038787042201</v>
      </c>
      <c r="C17" s="589">
        <v>1496.9118699999999</v>
      </c>
      <c r="D17" s="590">
        <v>-0.39200870421799999</v>
      </c>
      <c r="E17" s="591">
        <v>0.99973819028300004</v>
      </c>
      <c r="F17" s="589">
        <v>974.90935041099101</v>
      </c>
      <c r="G17" s="590">
        <v>162.48489173516501</v>
      </c>
      <c r="H17" s="592">
        <v>92.505629999999996</v>
      </c>
      <c r="I17" s="589">
        <v>186.56461999999999</v>
      </c>
      <c r="J17" s="590">
        <v>24.079728264835001</v>
      </c>
      <c r="K17" s="593">
        <v>0.191366120266</v>
      </c>
    </row>
    <row r="18" spans="1:11" ht="14.4" customHeight="1" thickBot="1" x14ac:dyDescent="0.35">
      <c r="A18" s="611" t="s">
        <v>314</v>
      </c>
      <c r="B18" s="589">
        <v>252.331954000873</v>
      </c>
      <c r="C18" s="589">
        <v>421.21330000000103</v>
      </c>
      <c r="D18" s="590">
        <v>168.88134599912701</v>
      </c>
      <c r="E18" s="591">
        <v>1.6692824405360001</v>
      </c>
      <c r="F18" s="589">
        <v>552.02352766858996</v>
      </c>
      <c r="G18" s="590">
        <v>92.003921278098005</v>
      </c>
      <c r="H18" s="592">
        <v>20.226109999999998</v>
      </c>
      <c r="I18" s="589">
        <v>26.734839999999998</v>
      </c>
      <c r="J18" s="590">
        <v>-65.269081278098</v>
      </c>
      <c r="K18" s="593">
        <v>4.8430616921000001E-2</v>
      </c>
    </row>
    <row r="19" spans="1:11" ht="14.4" customHeight="1" thickBot="1" x14ac:dyDescent="0.35">
      <c r="A19" s="611" t="s">
        <v>315</v>
      </c>
      <c r="B19" s="589">
        <v>127.667600840219</v>
      </c>
      <c r="C19" s="589">
        <v>143.34155000000001</v>
      </c>
      <c r="D19" s="590">
        <v>15.673949159779999</v>
      </c>
      <c r="E19" s="591">
        <v>1.1227715493720001</v>
      </c>
      <c r="F19" s="589">
        <v>137.13789761737999</v>
      </c>
      <c r="G19" s="590">
        <v>22.856316269562999</v>
      </c>
      <c r="H19" s="592">
        <v>11.46909</v>
      </c>
      <c r="I19" s="589">
        <v>23.272760000000002</v>
      </c>
      <c r="J19" s="590">
        <v>0.41644373043600003</v>
      </c>
      <c r="K19" s="593">
        <v>0.16970334535000001</v>
      </c>
    </row>
    <row r="20" spans="1:11" ht="14.4" customHeight="1" thickBot="1" x14ac:dyDescent="0.35">
      <c r="A20" s="610" t="s">
        <v>316</v>
      </c>
      <c r="B20" s="594">
        <v>3540.0635855801002</v>
      </c>
      <c r="C20" s="594">
        <v>3384.2579999999998</v>
      </c>
      <c r="D20" s="595">
        <v>-155.80558558010199</v>
      </c>
      <c r="E20" s="601">
        <v>0.95598791326300003</v>
      </c>
      <c r="F20" s="594">
        <v>3394.97988424399</v>
      </c>
      <c r="G20" s="595">
        <v>565.82998070733095</v>
      </c>
      <c r="H20" s="597">
        <v>329.76799999999997</v>
      </c>
      <c r="I20" s="594">
        <v>509.68300000000102</v>
      </c>
      <c r="J20" s="595">
        <v>-56.146980707330002</v>
      </c>
      <c r="K20" s="602">
        <v>0.150128430028</v>
      </c>
    </row>
    <row r="21" spans="1:11" ht="14.4" customHeight="1" thickBot="1" x14ac:dyDescent="0.35">
      <c r="A21" s="611" t="s">
        <v>317</v>
      </c>
      <c r="B21" s="589">
        <v>3041.29174018909</v>
      </c>
      <c r="C21" s="589">
        <v>2928.0120000000002</v>
      </c>
      <c r="D21" s="590">
        <v>-113.279740189091</v>
      </c>
      <c r="E21" s="591">
        <v>0.96275275446499997</v>
      </c>
      <c r="F21" s="589">
        <v>2934.9826097956102</v>
      </c>
      <c r="G21" s="590">
        <v>489.16376829926799</v>
      </c>
      <c r="H21" s="592">
        <v>281.33199999999999</v>
      </c>
      <c r="I21" s="589">
        <v>438.69500000000102</v>
      </c>
      <c r="J21" s="590">
        <v>-50.468768299266998</v>
      </c>
      <c r="K21" s="593">
        <v>0.14947107302599999</v>
      </c>
    </row>
    <row r="22" spans="1:11" ht="14.4" customHeight="1" thickBot="1" x14ac:dyDescent="0.35">
      <c r="A22" s="611" t="s">
        <v>318</v>
      </c>
      <c r="B22" s="589">
        <v>498.77184539101103</v>
      </c>
      <c r="C22" s="589">
        <v>456.24599999999998</v>
      </c>
      <c r="D22" s="590">
        <v>-42.525845391011003</v>
      </c>
      <c r="E22" s="591">
        <v>0.91473888154600003</v>
      </c>
      <c r="F22" s="589">
        <v>459.99727444837498</v>
      </c>
      <c r="G22" s="590">
        <v>76.666212408061995</v>
      </c>
      <c r="H22" s="592">
        <v>48.436</v>
      </c>
      <c r="I22" s="589">
        <v>70.988</v>
      </c>
      <c r="J22" s="590">
        <v>-5.6782124080619996</v>
      </c>
      <c r="K22" s="593">
        <v>0.15432265350900001</v>
      </c>
    </row>
    <row r="23" spans="1:11" ht="14.4" customHeight="1" thickBot="1" x14ac:dyDescent="0.35">
      <c r="A23" s="610" t="s">
        <v>319</v>
      </c>
      <c r="B23" s="594">
        <v>3815.01892257497</v>
      </c>
      <c r="C23" s="594">
        <v>3613.6540799999998</v>
      </c>
      <c r="D23" s="595">
        <v>-201.36484257497099</v>
      </c>
      <c r="E23" s="601">
        <v>0.94721786531999996</v>
      </c>
      <c r="F23" s="594">
        <v>3318.2701150048802</v>
      </c>
      <c r="G23" s="595">
        <v>553.04501916747995</v>
      </c>
      <c r="H23" s="597">
        <v>224.55663000000001</v>
      </c>
      <c r="I23" s="594">
        <v>438.96865000000099</v>
      </c>
      <c r="J23" s="595">
        <v>-114.076369167479</v>
      </c>
      <c r="K23" s="602">
        <v>0.13228840172299999</v>
      </c>
    </row>
    <row r="24" spans="1:11" ht="14.4" customHeight="1" thickBot="1" x14ac:dyDescent="0.35">
      <c r="A24" s="611" t="s">
        <v>320</v>
      </c>
      <c r="B24" s="589">
        <v>372.49998328630301</v>
      </c>
      <c r="C24" s="589">
        <v>284.96645000000001</v>
      </c>
      <c r="D24" s="590">
        <v>-87.533533286302998</v>
      </c>
      <c r="E24" s="591">
        <v>0.76501063835200001</v>
      </c>
      <c r="F24" s="589">
        <v>284.96614817726402</v>
      </c>
      <c r="G24" s="590">
        <v>47.494358029544003</v>
      </c>
      <c r="H24" s="592">
        <v>44.557879999999997</v>
      </c>
      <c r="I24" s="589">
        <v>47.346679999999999</v>
      </c>
      <c r="J24" s="590">
        <v>-0.147678029544</v>
      </c>
      <c r="K24" s="593">
        <v>0.16614843658699999</v>
      </c>
    </row>
    <row r="25" spans="1:11" ht="14.4" customHeight="1" thickBot="1" x14ac:dyDescent="0.35">
      <c r="A25" s="611" t="s">
        <v>321</v>
      </c>
      <c r="B25" s="589">
        <v>0.94990943338099998</v>
      </c>
      <c r="C25" s="589">
        <v>0.73479000000000005</v>
      </c>
      <c r="D25" s="590">
        <v>-0.21511943338100001</v>
      </c>
      <c r="E25" s="591">
        <v>0.77353690170599998</v>
      </c>
      <c r="F25" s="589">
        <v>0.73483645211699999</v>
      </c>
      <c r="G25" s="590">
        <v>0.12247274201900001</v>
      </c>
      <c r="H25" s="592">
        <v>4.9406564584124654E-324</v>
      </c>
      <c r="I25" s="589">
        <v>9.8813129168249309E-324</v>
      </c>
      <c r="J25" s="590">
        <v>-0.12247274201900001</v>
      </c>
      <c r="K25" s="593">
        <v>1.4821969375237396E-323</v>
      </c>
    </row>
    <row r="26" spans="1:11" ht="14.4" customHeight="1" thickBot="1" x14ac:dyDescent="0.35">
      <c r="A26" s="611" t="s">
        <v>322</v>
      </c>
      <c r="B26" s="589">
        <v>366.672213054054</v>
      </c>
      <c r="C26" s="589">
        <v>372.91534000000001</v>
      </c>
      <c r="D26" s="590">
        <v>6.2431269459449998</v>
      </c>
      <c r="E26" s="591">
        <v>1.017026452301</v>
      </c>
      <c r="F26" s="589">
        <v>360.32113971040701</v>
      </c>
      <c r="G26" s="590">
        <v>60.053523285067001</v>
      </c>
      <c r="H26" s="592">
        <v>23.413170000000001</v>
      </c>
      <c r="I26" s="589">
        <v>52.417299999999997</v>
      </c>
      <c r="J26" s="590">
        <v>-7.6362232850670004</v>
      </c>
      <c r="K26" s="593">
        <v>0.14547384048000001</v>
      </c>
    </row>
    <row r="27" spans="1:11" ht="14.4" customHeight="1" thickBot="1" x14ac:dyDescent="0.35">
      <c r="A27" s="611" t="s">
        <v>323</v>
      </c>
      <c r="B27" s="589">
        <v>2570.1361796951201</v>
      </c>
      <c r="C27" s="589">
        <v>2335.6608000000001</v>
      </c>
      <c r="D27" s="590">
        <v>-234.47537969511501</v>
      </c>
      <c r="E27" s="591">
        <v>0.90876927784999995</v>
      </c>
      <c r="F27" s="589">
        <v>2123.8776199868098</v>
      </c>
      <c r="G27" s="590">
        <v>353.97960333113599</v>
      </c>
      <c r="H27" s="592">
        <v>122.85133</v>
      </c>
      <c r="I27" s="589">
        <v>269.66217000000103</v>
      </c>
      <c r="J27" s="590">
        <v>-84.317433331133998</v>
      </c>
      <c r="K27" s="593">
        <v>0.126966905937</v>
      </c>
    </row>
    <row r="28" spans="1:11" ht="14.4" customHeight="1" thickBot="1" x14ac:dyDescent="0.35">
      <c r="A28" s="611" t="s">
        <v>324</v>
      </c>
      <c r="B28" s="589">
        <v>153.57745708972399</v>
      </c>
      <c r="C28" s="589">
        <v>207.81322</v>
      </c>
      <c r="D28" s="590">
        <v>54.235762910275</v>
      </c>
      <c r="E28" s="591">
        <v>1.353149244283</v>
      </c>
      <c r="F28" s="589">
        <v>169.96729750682999</v>
      </c>
      <c r="G28" s="590">
        <v>28.327882917804001</v>
      </c>
      <c r="H28" s="592">
        <v>11.808999999999999</v>
      </c>
      <c r="I28" s="589">
        <v>24.623999999999999</v>
      </c>
      <c r="J28" s="590">
        <v>-3.703882917804</v>
      </c>
      <c r="K28" s="593">
        <v>0.144874928066</v>
      </c>
    </row>
    <row r="29" spans="1:11" ht="14.4" customHeight="1" thickBot="1" x14ac:dyDescent="0.35">
      <c r="A29" s="611" t="s">
        <v>325</v>
      </c>
      <c r="B29" s="589">
        <v>17.605757069342999</v>
      </c>
      <c r="C29" s="589">
        <v>20.39629</v>
      </c>
      <c r="D29" s="590">
        <v>2.7905329306560001</v>
      </c>
      <c r="E29" s="591">
        <v>1.1585011607090001</v>
      </c>
      <c r="F29" s="589">
        <v>19.996926055149</v>
      </c>
      <c r="G29" s="590">
        <v>3.332821009191</v>
      </c>
      <c r="H29" s="592">
        <v>4.9406564584124654E-324</v>
      </c>
      <c r="I29" s="589">
        <v>9.8813129168249309E-324</v>
      </c>
      <c r="J29" s="590">
        <v>-3.332821009191</v>
      </c>
      <c r="K29" s="593">
        <v>0</v>
      </c>
    </row>
    <row r="30" spans="1:11" ht="14.4" customHeight="1" thickBot="1" x14ac:dyDescent="0.35">
      <c r="A30" s="611" t="s">
        <v>326</v>
      </c>
      <c r="B30" s="589">
        <v>26.878079302730001</v>
      </c>
      <c r="C30" s="589">
        <v>24.346779999999999</v>
      </c>
      <c r="D30" s="590">
        <v>-2.5312993027299999</v>
      </c>
      <c r="E30" s="591">
        <v>0.90582290965699996</v>
      </c>
      <c r="F30" s="589">
        <v>17.848147985781001</v>
      </c>
      <c r="G30" s="590">
        <v>2.9746913309630001</v>
      </c>
      <c r="H30" s="592">
        <v>0.92</v>
      </c>
      <c r="I30" s="589">
        <v>3.07</v>
      </c>
      <c r="J30" s="590">
        <v>9.5308669035999993E-2</v>
      </c>
      <c r="K30" s="593">
        <v>0.17200664194599999</v>
      </c>
    </row>
    <row r="31" spans="1:11" ht="14.4" customHeight="1" thickBot="1" x14ac:dyDescent="0.35">
      <c r="A31" s="611" t="s">
        <v>327</v>
      </c>
      <c r="B31" s="589">
        <v>171.78704753045301</v>
      </c>
      <c r="C31" s="589">
        <v>179.51747</v>
      </c>
      <c r="D31" s="590">
        <v>7.7304224695470003</v>
      </c>
      <c r="E31" s="591">
        <v>1.0450000310300001</v>
      </c>
      <c r="F31" s="589">
        <v>166.84043106968701</v>
      </c>
      <c r="G31" s="590">
        <v>27.806738511614</v>
      </c>
      <c r="H31" s="592">
        <v>14.994400000000001</v>
      </c>
      <c r="I31" s="589">
        <v>29.988299999999999</v>
      </c>
      <c r="J31" s="590">
        <v>2.1815614883849999</v>
      </c>
      <c r="K31" s="593">
        <v>0.179742403011</v>
      </c>
    </row>
    <row r="32" spans="1:11" ht="14.4" customHeight="1" thickBot="1" x14ac:dyDescent="0.35">
      <c r="A32" s="611" t="s">
        <v>328</v>
      </c>
      <c r="B32" s="589">
        <v>133.91229611386601</v>
      </c>
      <c r="C32" s="589">
        <v>184.24444</v>
      </c>
      <c r="D32" s="590">
        <v>50.332143886132997</v>
      </c>
      <c r="E32" s="591">
        <v>1.3758590162869999</v>
      </c>
      <c r="F32" s="589">
        <v>170.594468383888</v>
      </c>
      <c r="G32" s="590">
        <v>28.432411397313999</v>
      </c>
      <c r="H32" s="592">
        <v>5.6878500000000001</v>
      </c>
      <c r="I32" s="589">
        <v>11.3757</v>
      </c>
      <c r="J32" s="590">
        <v>-17.056711397314</v>
      </c>
      <c r="K32" s="593">
        <v>6.6682701425000004E-2</v>
      </c>
    </row>
    <row r="33" spans="1:11" ht="14.4" customHeight="1" thickBot="1" x14ac:dyDescent="0.35">
      <c r="A33" s="611" t="s">
        <v>329</v>
      </c>
      <c r="B33" s="589">
        <v>1</v>
      </c>
      <c r="C33" s="589">
        <v>3.0585</v>
      </c>
      <c r="D33" s="590">
        <v>2.0585</v>
      </c>
      <c r="E33" s="591">
        <v>3.0585</v>
      </c>
      <c r="F33" s="589">
        <v>3.1230996769389998</v>
      </c>
      <c r="G33" s="590">
        <v>0.52051661282299999</v>
      </c>
      <c r="H33" s="592">
        <v>0.32300000000000001</v>
      </c>
      <c r="I33" s="589">
        <v>0.48449999999999999</v>
      </c>
      <c r="J33" s="590">
        <v>-3.6016612822999998E-2</v>
      </c>
      <c r="K33" s="593">
        <v>0.15513433771400001</v>
      </c>
    </row>
    <row r="34" spans="1:11" ht="14.4" customHeight="1" thickBot="1" x14ac:dyDescent="0.35">
      <c r="A34" s="610" t="s">
        <v>330</v>
      </c>
      <c r="B34" s="594">
        <v>55.002182034937</v>
      </c>
      <c r="C34" s="594">
        <v>58.44106</v>
      </c>
      <c r="D34" s="595">
        <v>3.4388779650619998</v>
      </c>
      <c r="E34" s="601">
        <v>1.062522573429</v>
      </c>
      <c r="F34" s="594">
        <v>57.999795446105999</v>
      </c>
      <c r="G34" s="595">
        <v>9.6666325743510004</v>
      </c>
      <c r="H34" s="597">
        <v>3.7244899999999999</v>
      </c>
      <c r="I34" s="594">
        <v>8.3497699999999995</v>
      </c>
      <c r="J34" s="595">
        <v>-1.3168625743510001</v>
      </c>
      <c r="K34" s="602">
        <v>0.143962059448</v>
      </c>
    </row>
    <row r="35" spans="1:11" ht="14.4" customHeight="1" thickBot="1" x14ac:dyDescent="0.35">
      <c r="A35" s="611" t="s">
        <v>331</v>
      </c>
      <c r="B35" s="589">
        <v>40.002701039649999</v>
      </c>
      <c r="C35" s="589">
        <v>44.691609999999997</v>
      </c>
      <c r="D35" s="590">
        <v>4.688908960349</v>
      </c>
      <c r="E35" s="591">
        <v>1.117214808962</v>
      </c>
      <c r="F35" s="589">
        <v>37.999865981931002</v>
      </c>
      <c r="G35" s="590">
        <v>6.3333109969879997</v>
      </c>
      <c r="H35" s="592">
        <v>2.33379</v>
      </c>
      <c r="I35" s="589">
        <v>5.6640499999999996</v>
      </c>
      <c r="J35" s="590">
        <v>-0.66926099698800001</v>
      </c>
      <c r="K35" s="593">
        <v>0.14905447305200001</v>
      </c>
    </row>
    <row r="36" spans="1:11" ht="14.4" customHeight="1" thickBot="1" x14ac:dyDescent="0.35">
      <c r="A36" s="611" t="s">
        <v>332</v>
      </c>
      <c r="B36" s="589">
        <v>14.999480995287</v>
      </c>
      <c r="C36" s="589">
        <v>13.74945</v>
      </c>
      <c r="D36" s="590">
        <v>-1.2500309952869999</v>
      </c>
      <c r="E36" s="591">
        <v>0.91666171678300001</v>
      </c>
      <c r="F36" s="589">
        <v>19.999929464173999</v>
      </c>
      <c r="G36" s="590">
        <v>3.3333215773620002</v>
      </c>
      <c r="H36" s="592">
        <v>1.3907</v>
      </c>
      <c r="I36" s="589">
        <v>2.6857199999999999</v>
      </c>
      <c r="J36" s="590">
        <v>-0.64760157736199997</v>
      </c>
      <c r="K36" s="593">
        <v>0.13428647360000001</v>
      </c>
    </row>
    <row r="37" spans="1:11" ht="14.4" customHeight="1" thickBot="1" x14ac:dyDescent="0.35">
      <c r="A37" s="610" t="s">
        <v>333</v>
      </c>
      <c r="B37" s="594">
        <v>270.86943004891901</v>
      </c>
      <c r="C37" s="594">
        <v>337.91016000000002</v>
      </c>
      <c r="D37" s="595">
        <v>67.040729951081005</v>
      </c>
      <c r="E37" s="601">
        <v>1.247502015782</v>
      </c>
      <c r="F37" s="594">
        <v>323.210944503203</v>
      </c>
      <c r="G37" s="595">
        <v>53.868490750532999</v>
      </c>
      <c r="H37" s="597">
        <v>27.73808</v>
      </c>
      <c r="I37" s="594">
        <v>50.039250000000003</v>
      </c>
      <c r="J37" s="595">
        <v>-3.8292407505330002</v>
      </c>
      <c r="K37" s="602">
        <v>0.15481916949499999</v>
      </c>
    </row>
    <row r="38" spans="1:11" ht="14.4" customHeight="1" thickBot="1" x14ac:dyDescent="0.35">
      <c r="A38" s="611" t="s">
        <v>334</v>
      </c>
      <c r="B38" s="589">
        <v>64.827605943910996</v>
      </c>
      <c r="C38" s="589">
        <v>1.6493</v>
      </c>
      <c r="D38" s="590">
        <v>-63.178305943910999</v>
      </c>
      <c r="E38" s="591">
        <v>2.5441322041000001E-2</v>
      </c>
      <c r="F38" s="589">
        <v>1.9034656814069999</v>
      </c>
      <c r="G38" s="590">
        <v>0.31724428023399998</v>
      </c>
      <c r="H38" s="592">
        <v>4.9406564584124654E-324</v>
      </c>
      <c r="I38" s="589">
        <v>9.8813129168249309E-324</v>
      </c>
      <c r="J38" s="590">
        <v>-0.31724428023399998</v>
      </c>
      <c r="K38" s="593">
        <v>4.9406564584124654E-324</v>
      </c>
    </row>
    <row r="39" spans="1:11" ht="14.4" customHeight="1" thickBot="1" x14ac:dyDescent="0.35">
      <c r="A39" s="611" t="s">
        <v>335</v>
      </c>
      <c r="B39" s="589">
        <v>3.4696875352990002</v>
      </c>
      <c r="C39" s="589">
        <v>5.2730199999999998</v>
      </c>
      <c r="D39" s="590">
        <v>1.8033324647</v>
      </c>
      <c r="E39" s="591">
        <v>1.519739154132</v>
      </c>
      <c r="F39" s="589">
        <v>5.3076004336900002</v>
      </c>
      <c r="G39" s="590">
        <v>0.88460007228100002</v>
      </c>
      <c r="H39" s="592">
        <v>0.39734999999999998</v>
      </c>
      <c r="I39" s="589">
        <v>0.67818999999999996</v>
      </c>
      <c r="J39" s="590">
        <v>-0.206410072281</v>
      </c>
      <c r="K39" s="593">
        <v>0.12777713930599999</v>
      </c>
    </row>
    <row r="40" spans="1:11" ht="14.4" customHeight="1" thickBot="1" x14ac:dyDescent="0.35">
      <c r="A40" s="611" t="s">
        <v>336</v>
      </c>
      <c r="B40" s="589">
        <v>127.38805109333001</v>
      </c>
      <c r="C40" s="589">
        <v>169.89512999999999</v>
      </c>
      <c r="D40" s="590">
        <v>42.507078906669001</v>
      </c>
      <c r="E40" s="591">
        <v>1.3336818370470001</v>
      </c>
      <c r="F40" s="589">
        <v>174.76231130044499</v>
      </c>
      <c r="G40" s="590">
        <v>29.127051883406999</v>
      </c>
      <c r="H40" s="592">
        <v>17.749420000000001</v>
      </c>
      <c r="I40" s="589">
        <v>33.294490000000003</v>
      </c>
      <c r="J40" s="590">
        <v>4.1674381165919998</v>
      </c>
      <c r="K40" s="593">
        <v>0.19051298733800001</v>
      </c>
    </row>
    <row r="41" spans="1:11" ht="14.4" customHeight="1" thickBot="1" x14ac:dyDescent="0.35">
      <c r="A41" s="611" t="s">
        <v>337</v>
      </c>
      <c r="B41" s="589">
        <v>44.774924083598997</v>
      </c>
      <c r="C41" s="589">
        <v>50.555059999999997</v>
      </c>
      <c r="D41" s="590">
        <v>5.7801359163999999</v>
      </c>
      <c r="E41" s="591">
        <v>1.1290931483340001</v>
      </c>
      <c r="F41" s="589">
        <v>55.483672243809998</v>
      </c>
      <c r="G41" s="590">
        <v>9.2472787073009997</v>
      </c>
      <c r="H41" s="592">
        <v>1.08178</v>
      </c>
      <c r="I41" s="589">
        <v>2.6659199999999998</v>
      </c>
      <c r="J41" s="590">
        <v>-6.5813587073009998</v>
      </c>
      <c r="K41" s="593">
        <v>4.8048730232999999E-2</v>
      </c>
    </row>
    <row r="42" spans="1:11" ht="14.4" customHeight="1" thickBot="1" x14ac:dyDescent="0.35">
      <c r="A42" s="611" t="s">
        <v>338</v>
      </c>
      <c r="B42" s="589">
        <v>1.398466479651</v>
      </c>
      <c r="C42" s="589">
        <v>5.4623699999999999</v>
      </c>
      <c r="D42" s="590">
        <v>4.0639035203480001</v>
      </c>
      <c r="E42" s="591">
        <v>3.90597134753</v>
      </c>
      <c r="F42" s="589">
        <v>2.9997569216720001</v>
      </c>
      <c r="G42" s="590">
        <v>0.49995948694499998</v>
      </c>
      <c r="H42" s="592">
        <v>4.9406564584124654E-324</v>
      </c>
      <c r="I42" s="589">
        <v>9.8813129168249309E-324</v>
      </c>
      <c r="J42" s="590">
        <v>-0.49995948694499998</v>
      </c>
      <c r="K42" s="593">
        <v>4.9406564584124654E-324</v>
      </c>
    </row>
    <row r="43" spans="1:11" ht="14.4" customHeight="1" thickBot="1" x14ac:dyDescent="0.35">
      <c r="A43" s="611" t="s">
        <v>339</v>
      </c>
      <c r="B43" s="589">
        <v>4.9406564584124654E-324</v>
      </c>
      <c r="C43" s="589">
        <v>1.7999999999999999E-2</v>
      </c>
      <c r="D43" s="590">
        <v>1.7999999999999999E-2</v>
      </c>
      <c r="E43" s="599" t="s">
        <v>305</v>
      </c>
      <c r="F43" s="589">
        <v>3.1257664639000003E-2</v>
      </c>
      <c r="G43" s="590">
        <v>5.2096107729999999E-3</v>
      </c>
      <c r="H43" s="592">
        <v>4.9406564584124654E-324</v>
      </c>
      <c r="I43" s="589">
        <v>9.8813129168249309E-324</v>
      </c>
      <c r="J43" s="590">
        <v>-5.2096107729999999E-3</v>
      </c>
      <c r="K43" s="593">
        <v>3.1620201333839779E-322</v>
      </c>
    </row>
    <row r="44" spans="1:11" ht="14.4" customHeight="1" thickBot="1" x14ac:dyDescent="0.35">
      <c r="A44" s="611" t="s">
        <v>340</v>
      </c>
      <c r="B44" s="589">
        <v>15.58604926292</v>
      </c>
      <c r="C44" s="589">
        <v>27.580690000000001</v>
      </c>
      <c r="D44" s="590">
        <v>11.994640737078999</v>
      </c>
      <c r="E44" s="591">
        <v>1.7695754411360001</v>
      </c>
      <c r="F44" s="589">
        <v>15.39611544922</v>
      </c>
      <c r="G44" s="590">
        <v>2.5660192415359999</v>
      </c>
      <c r="H44" s="592">
        <v>1.67703</v>
      </c>
      <c r="I44" s="589">
        <v>3.3540299999999998</v>
      </c>
      <c r="J44" s="590">
        <v>0.78801075846299995</v>
      </c>
      <c r="K44" s="593">
        <v>0.21784910687699999</v>
      </c>
    </row>
    <row r="45" spans="1:11" ht="14.4" customHeight="1" thickBot="1" x14ac:dyDescent="0.35">
      <c r="A45" s="611" t="s">
        <v>341</v>
      </c>
      <c r="B45" s="589">
        <v>12.425198657939999</v>
      </c>
      <c r="C45" s="589">
        <v>14.22838</v>
      </c>
      <c r="D45" s="590">
        <v>1.8031813420589999</v>
      </c>
      <c r="E45" s="591">
        <v>1.1451229386099999</v>
      </c>
      <c r="F45" s="589">
        <v>15.908621742915001</v>
      </c>
      <c r="G45" s="590">
        <v>2.6514369571519998</v>
      </c>
      <c r="H45" s="592">
        <v>1.46295</v>
      </c>
      <c r="I45" s="589">
        <v>2.46183</v>
      </c>
      <c r="J45" s="590">
        <v>-0.18960695715199999</v>
      </c>
      <c r="K45" s="593">
        <v>0.154748163592</v>
      </c>
    </row>
    <row r="46" spans="1:11" ht="14.4" customHeight="1" thickBot="1" x14ac:dyDescent="0.35">
      <c r="A46" s="611" t="s">
        <v>342</v>
      </c>
      <c r="B46" s="589">
        <v>4.9406564584124654E-324</v>
      </c>
      <c r="C46" s="589">
        <v>2.97</v>
      </c>
      <c r="D46" s="590">
        <v>2.97</v>
      </c>
      <c r="E46" s="599" t="s">
        <v>305</v>
      </c>
      <c r="F46" s="589">
        <v>0</v>
      </c>
      <c r="G46" s="590">
        <v>0</v>
      </c>
      <c r="H46" s="592">
        <v>4.9406564584124654E-324</v>
      </c>
      <c r="I46" s="589">
        <v>9.8813129168249309E-324</v>
      </c>
      <c r="J46" s="590">
        <v>9.8813129168249309E-324</v>
      </c>
      <c r="K46" s="600" t="s">
        <v>299</v>
      </c>
    </row>
    <row r="47" spans="1:11" ht="14.4" customHeight="1" thickBot="1" x14ac:dyDescent="0.35">
      <c r="A47" s="611" t="s">
        <v>343</v>
      </c>
      <c r="B47" s="589">
        <v>4.9406564584124654E-324</v>
      </c>
      <c r="C47" s="589">
        <v>0.12139999999999999</v>
      </c>
      <c r="D47" s="590">
        <v>0.12139999999999999</v>
      </c>
      <c r="E47" s="599" t="s">
        <v>305</v>
      </c>
      <c r="F47" s="589">
        <v>0.12345064811299999</v>
      </c>
      <c r="G47" s="590">
        <v>2.0575108017999999E-2</v>
      </c>
      <c r="H47" s="592">
        <v>4.9406564584124654E-324</v>
      </c>
      <c r="I47" s="589">
        <v>9.8813129168249309E-324</v>
      </c>
      <c r="J47" s="590">
        <v>-2.0575108017999999E-2</v>
      </c>
      <c r="K47" s="593">
        <v>7.9050503334599447E-323</v>
      </c>
    </row>
    <row r="48" spans="1:11" ht="14.4" customHeight="1" thickBot="1" x14ac:dyDescent="0.35">
      <c r="A48" s="611" t="s">
        <v>344</v>
      </c>
      <c r="B48" s="589">
        <v>4.9406564584124654E-324</v>
      </c>
      <c r="C48" s="589">
        <v>57.935009999999998</v>
      </c>
      <c r="D48" s="590">
        <v>57.935009999999998</v>
      </c>
      <c r="E48" s="599" t="s">
        <v>305</v>
      </c>
      <c r="F48" s="589">
        <v>48.881140920988003</v>
      </c>
      <c r="G48" s="590">
        <v>8.1468568201640004</v>
      </c>
      <c r="H48" s="592">
        <v>5.3695500000000003</v>
      </c>
      <c r="I48" s="589">
        <v>7.5847899999999999</v>
      </c>
      <c r="J48" s="590">
        <v>-0.562066820164</v>
      </c>
      <c r="K48" s="593">
        <v>0.155168023026</v>
      </c>
    </row>
    <row r="49" spans="1:11" ht="14.4" customHeight="1" thickBot="1" x14ac:dyDescent="0.35">
      <c r="A49" s="611" t="s">
        <v>345</v>
      </c>
      <c r="B49" s="589">
        <v>0.999446992265</v>
      </c>
      <c r="C49" s="589">
        <v>2.2218</v>
      </c>
      <c r="D49" s="590">
        <v>1.2223530077339999</v>
      </c>
      <c r="E49" s="591">
        <v>2.2230293524259999</v>
      </c>
      <c r="F49" s="589">
        <v>2.4135514962990001</v>
      </c>
      <c r="G49" s="590">
        <v>0.40225858271600001</v>
      </c>
      <c r="H49" s="592">
        <v>4.9406564584124654E-324</v>
      </c>
      <c r="I49" s="589">
        <v>9.8813129168249309E-324</v>
      </c>
      <c r="J49" s="590">
        <v>-0.40225858271600001</v>
      </c>
      <c r="K49" s="593">
        <v>4.9406564584124654E-324</v>
      </c>
    </row>
    <row r="50" spans="1:11" ht="14.4" customHeight="1" thickBot="1" x14ac:dyDescent="0.35">
      <c r="A50" s="610" t="s">
        <v>346</v>
      </c>
      <c r="B50" s="594">
        <v>267.303611409187</v>
      </c>
      <c r="C50" s="594">
        <v>84.74136</v>
      </c>
      <c r="D50" s="595">
        <v>-182.56225140918701</v>
      </c>
      <c r="E50" s="601">
        <v>0.31702287729299999</v>
      </c>
      <c r="F50" s="594">
        <v>59.436186645969997</v>
      </c>
      <c r="G50" s="595">
        <v>9.9060311076610006</v>
      </c>
      <c r="H50" s="597">
        <v>12.91337</v>
      </c>
      <c r="I50" s="594">
        <v>13.116569999999999</v>
      </c>
      <c r="J50" s="595">
        <v>3.210538892338</v>
      </c>
      <c r="K50" s="602">
        <v>0.22068323592299999</v>
      </c>
    </row>
    <row r="51" spans="1:11" ht="14.4" customHeight="1" thickBot="1" x14ac:dyDescent="0.35">
      <c r="A51" s="611" t="s">
        <v>347</v>
      </c>
      <c r="B51" s="589">
        <v>0</v>
      </c>
      <c r="C51" s="589">
        <v>4.9406564584124654E-324</v>
      </c>
      <c r="D51" s="590">
        <v>4.9406564584124654E-324</v>
      </c>
      <c r="E51" s="599" t="s">
        <v>299</v>
      </c>
      <c r="F51" s="589">
        <v>4.9406564584124654E-324</v>
      </c>
      <c r="G51" s="590">
        <v>0</v>
      </c>
      <c r="H51" s="592">
        <v>0.25307000000000002</v>
      </c>
      <c r="I51" s="589">
        <v>0.25307000000000002</v>
      </c>
      <c r="J51" s="590">
        <v>0.25307000000000002</v>
      </c>
      <c r="K51" s="600" t="s">
        <v>305</v>
      </c>
    </row>
    <row r="52" spans="1:11" ht="14.4" customHeight="1" thickBot="1" x14ac:dyDescent="0.35">
      <c r="A52" s="611" t="s">
        <v>348</v>
      </c>
      <c r="B52" s="589">
        <v>0</v>
      </c>
      <c r="C52" s="589">
        <v>15.042999999999999</v>
      </c>
      <c r="D52" s="590">
        <v>15.042999999999999</v>
      </c>
      <c r="E52" s="599" t="s">
        <v>299</v>
      </c>
      <c r="F52" s="589">
        <v>12.185612237098001</v>
      </c>
      <c r="G52" s="590">
        <v>2.0309353728490001</v>
      </c>
      <c r="H52" s="592">
        <v>4.9406564584124654E-324</v>
      </c>
      <c r="I52" s="589">
        <v>9.8813129168249309E-324</v>
      </c>
      <c r="J52" s="590">
        <v>-2.0309353728490001</v>
      </c>
      <c r="K52" s="593">
        <v>0</v>
      </c>
    </row>
    <row r="53" spans="1:11" ht="14.4" customHeight="1" thickBot="1" x14ac:dyDescent="0.35">
      <c r="A53" s="611" t="s">
        <v>349</v>
      </c>
      <c r="B53" s="589">
        <v>264.51489095328299</v>
      </c>
      <c r="C53" s="589">
        <v>67.882900000000006</v>
      </c>
      <c r="D53" s="590">
        <v>-196.63199095328301</v>
      </c>
      <c r="E53" s="591">
        <v>0.25663167678499998</v>
      </c>
      <c r="F53" s="589">
        <v>45.250201412841001</v>
      </c>
      <c r="G53" s="590">
        <v>7.5417002354729998</v>
      </c>
      <c r="H53" s="592">
        <v>12.660299999999999</v>
      </c>
      <c r="I53" s="589">
        <v>12.660299999999999</v>
      </c>
      <c r="J53" s="590">
        <v>5.1185997645260004</v>
      </c>
      <c r="K53" s="593">
        <v>0.27978439000700001</v>
      </c>
    </row>
    <row r="54" spans="1:11" ht="14.4" customHeight="1" thickBot="1" x14ac:dyDescent="0.35">
      <c r="A54" s="611" t="s">
        <v>350</v>
      </c>
      <c r="B54" s="589">
        <v>2.7887204559029999</v>
      </c>
      <c r="C54" s="589">
        <v>1.8154600000000001</v>
      </c>
      <c r="D54" s="590">
        <v>-0.97326045590300003</v>
      </c>
      <c r="E54" s="591">
        <v>0.65100106974000005</v>
      </c>
      <c r="F54" s="589">
        <v>2.0003729960299999</v>
      </c>
      <c r="G54" s="590">
        <v>0.333395499338</v>
      </c>
      <c r="H54" s="592">
        <v>4.9406564584124654E-324</v>
      </c>
      <c r="I54" s="589">
        <v>0.20319999999999999</v>
      </c>
      <c r="J54" s="590">
        <v>-0.13019549933800001</v>
      </c>
      <c r="K54" s="593">
        <v>0.101581055334</v>
      </c>
    </row>
    <row r="55" spans="1:11" ht="14.4" customHeight="1" thickBot="1" x14ac:dyDescent="0.35">
      <c r="A55" s="610" t="s">
        <v>351</v>
      </c>
      <c r="B55" s="594">
        <v>142.69670109671</v>
      </c>
      <c r="C55" s="594">
        <v>139.56711000000001</v>
      </c>
      <c r="D55" s="595">
        <v>-3.12959109671</v>
      </c>
      <c r="E55" s="601">
        <v>0.97806823092100004</v>
      </c>
      <c r="F55" s="594">
        <v>126.230395954993</v>
      </c>
      <c r="G55" s="595">
        <v>21.038399325832</v>
      </c>
      <c r="H55" s="597">
        <v>8.6322600000000005</v>
      </c>
      <c r="I55" s="594">
        <v>15.185969999999999</v>
      </c>
      <c r="J55" s="595">
        <v>-5.8524293258320004</v>
      </c>
      <c r="K55" s="602">
        <v>0.12030359157999999</v>
      </c>
    </row>
    <row r="56" spans="1:11" ht="14.4" customHeight="1" thickBot="1" x14ac:dyDescent="0.35">
      <c r="A56" s="611" t="s">
        <v>352</v>
      </c>
      <c r="B56" s="589">
        <v>15.211462959817</v>
      </c>
      <c r="C56" s="589">
        <v>23.747309999999999</v>
      </c>
      <c r="D56" s="590">
        <v>8.5358470401820004</v>
      </c>
      <c r="E56" s="591">
        <v>1.5611457006289999</v>
      </c>
      <c r="F56" s="589">
        <v>21.242690568518</v>
      </c>
      <c r="G56" s="590">
        <v>3.540448428086</v>
      </c>
      <c r="H56" s="592">
        <v>1.62985</v>
      </c>
      <c r="I56" s="589">
        <v>1.62985</v>
      </c>
      <c r="J56" s="590">
        <v>-1.910598428086</v>
      </c>
      <c r="K56" s="593">
        <v>7.6725214949999995E-2</v>
      </c>
    </row>
    <row r="57" spans="1:11" ht="14.4" customHeight="1" thickBot="1" x14ac:dyDescent="0.35">
      <c r="A57" s="611" t="s">
        <v>353</v>
      </c>
      <c r="B57" s="589">
        <v>1.0782963312880001</v>
      </c>
      <c r="C57" s="589">
        <v>2.7842099999999999</v>
      </c>
      <c r="D57" s="590">
        <v>1.7059136687109999</v>
      </c>
      <c r="E57" s="591">
        <v>2.5820453239169998</v>
      </c>
      <c r="F57" s="589">
        <v>0</v>
      </c>
      <c r="G57" s="590">
        <v>0</v>
      </c>
      <c r="H57" s="592">
        <v>0.48279</v>
      </c>
      <c r="I57" s="589">
        <v>0.48279</v>
      </c>
      <c r="J57" s="590">
        <v>0.48279</v>
      </c>
      <c r="K57" s="600" t="s">
        <v>299</v>
      </c>
    </row>
    <row r="58" spans="1:11" ht="14.4" customHeight="1" thickBot="1" x14ac:dyDescent="0.35">
      <c r="A58" s="611" t="s">
        <v>354</v>
      </c>
      <c r="B58" s="589">
        <v>4.1458153478790001</v>
      </c>
      <c r="C58" s="589">
        <v>4.6787400000000003</v>
      </c>
      <c r="D58" s="590">
        <v>0.53292465211999995</v>
      </c>
      <c r="E58" s="591">
        <v>1.128545197362</v>
      </c>
      <c r="F58" s="589">
        <v>0</v>
      </c>
      <c r="G58" s="590">
        <v>0</v>
      </c>
      <c r="H58" s="592">
        <v>4.9406564584124654E-324</v>
      </c>
      <c r="I58" s="589">
        <v>9.8813129168249309E-324</v>
      </c>
      <c r="J58" s="590">
        <v>9.8813129168249309E-324</v>
      </c>
      <c r="K58" s="600" t="s">
        <v>299</v>
      </c>
    </row>
    <row r="59" spans="1:11" ht="14.4" customHeight="1" thickBot="1" x14ac:dyDescent="0.35">
      <c r="A59" s="611" t="s">
        <v>355</v>
      </c>
      <c r="B59" s="589">
        <v>122.261126457725</v>
      </c>
      <c r="C59" s="589">
        <v>108.35684999999999</v>
      </c>
      <c r="D59" s="590">
        <v>-13.904276457725</v>
      </c>
      <c r="E59" s="591">
        <v>0.88627393791800002</v>
      </c>
      <c r="F59" s="589">
        <v>0</v>
      </c>
      <c r="G59" s="590">
        <v>0</v>
      </c>
      <c r="H59" s="592">
        <v>4.9406564584124654E-324</v>
      </c>
      <c r="I59" s="589">
        <v>9.8813129168249309E-324</v>
      </c>
      <c r="J59" s="590">
        <v>9.8813129168249309E-324</v>
      </c>
      <c r="K59" s="600" t="s">
        <v>299</v>
      </c>
    </row>
    <row r="60" spans="1:11" ht="14.4" customHeight="1" thickBot="1" x14ac:dyDescent="0.35">
      <c r="A60" s="611" t="s">
        <v>356</v>
      </c>
      <c r="B60" s="589">
        <v>4.9406564584124654E-324</v>
      </c>
      <c r="C60" s="589">
        <v>4.9406564584124654E-324</v>
      </c>
      <c r="D60" s="590">
        <v>0</v>
      </c>
      <c r="E60" s="591">
        <v>1</v>
      </c>
      <c r="F60" s="589">
        <v>5.0004809702859996</v>
      </c>
      <c r="G60" s="590">
        <v>0.83341349504700002</v>
      </c>
      <c r="H60" s="592">
        <v>0.56298000000000004</v>
      </c>
      <c r="I60" s="589">
        <v>1.3133300000000001</v>
      </c>
      <c r="J60" s="590">
        <v>0.479916504952</v>
      </c>
      <c r="K60" s="593">
        <v>0.26264073552200001</v>
      </c>
    </row>
    <row r="61" spans="1:11" ht="14.4" customHeight="1" thickBot="1" x14ac:dyDescent="0.35">
      <c r="A61" s="611" t="s">
        <v>357</v>
      </c>
      <c r="B61" s="589">
        <v>4.9406564584124654E-324</v>
      </c>
      <c r="C61" s="589">
        <v>4.9406564584124654E-324</v>
      </c>
      <c r="D61" s="590">
        <v>0</v>
      </c>
      <c r="E61" s="591">
        <v>1</v>
      </c>
      <c r="F61" s="589">
        <v>6.9998640777560004</v>
      </c>
      <c r="G61" s="590">
        <v>1.1666440129590001</v>
      </c>
      <c r="H61" s="592">
        <v>4.9406564584124654E-324</v>
      </c>
      <c r="I61" s="589">
        <v>9.8813129168249309E-324</v>
      </c>
      <c r="J61" s="590">
        <v>-1.1666440129590001</v>
      </c>
      <c r="K61" s="593">
        <v>0</v>
      </c>
    </row>
    <row r="62" spans="1:11" ht="14.4" customHeight="1" thickBot="1" x14ac:dyDescent="0.35">
      <c r="A62" s="611" t="s">
        <v>358</v>
      </c>
      <c r="B62" s="589">
        <v>4.9406564584124654E-324</v>
      </c>
      <c r="C62" s="589">
        <v>4.9406564584124654E-324</v>
      </c>
      <c r="D62" s="590">
        <v>0</v>
      </c>
      <c r="E62" s="591">
        <v>1</v>
      </c>
      <c r="F62" s="589">
        <v>92.987360338431003</v>
      </c>
      <c r="G62" s="590">
        <v>15.497893389738</v>
      </c>
      <c r="H62" s="592">
        <v>5.9566400000000002</v>
      </c>
      <c r="I62" s="589">
        <v>11.76</v>
      </c>
      <c r="J62" s="590">
        <v>-3.7378933897379998</v>
      </c>
      <c r="K62" s="593">
        <v>0.12646880131999999</v>
      </c>
    </row>
    <row r="63" spans="1:11" ht="14.4" customHeight="1" thickBot="1" x14ac:dyDescent="0.35">
      <c r="A63" s="609" t="s">
        <v>45</v>
      </c>
      <c r="B63" s="589">
        <v>347.59181330674102</v>
      </c>
      <c r="C63" s="589">
        <v>338.80599999999998</v>
      </c>
      <c r="D63" s="590">
        <v>-8.7858133067399997</v>
      </c>
      <c r="E63" s="591">
        <v>0.97472376226799995</v>
      </c>
      <c r="F63" s="589">
        <v>322.77884899141901</v>
      </c>
      <c r="G63" s="590">
        <v>53.796474831902998</v>
      </c>
      <c r="H63" s="592">
        <v>30.004000000000001</v>
      </c>
      <c r="I63" s="589">
        <v>65.647000000000006</v>
      </c>
      <c r="J63" s="590">
        <v>11.850525168096</v>
      </c>
      <c r="K63" s="593">
        <v>0.203380736393</v>
      </c>
    </row>
    <row r="64" spans="1:11" ht="14.4" customHeight="1" thickBot="1" x14ac:dyDescent="0.35">
      <c r="A64" s="610" t="s">
        <v>359</v>
      </c>
      <c r="B64" s="594">
        <v>347.59181330674102</v>
      </c>
      <c r="C64" s="594">
        <v>338.80599999999998</v>
      </c>
      <c r="D64" s="595">
        <v>-8.7858133067399997</v>
      </c>
      <c r="E64" s="601">
        <v>0.97472376226799995</v>
      </c>
      <c r="F64" s="594">
        <v>322.77884899141901</v>
      </c>
      <c r="G64" s="595">
        <v>53.796474831902998</v>
      </c>
      <c r="H64" s="597">
        <v>30.004000000000001</v>
      </c>
      <c r="I64" s="594">
        <v>65.647000000000006</v>
      </c>
      <c r="J64" s="595">
        <v>11.850525168096</v>
      </c>
      <c r="K64" s="602">
        <v>0.203380736393</v>
      </c>
    </row>
    <row r="65" spans="1:11" ht="14.4" customHeight="1" thickBot="1" x14ac:dyDescent="0.35">
      <c r="A65" s="611" t="s">
        <v>360</v>
      </c>
      <c r="B65" s="589">
        <v>122.575603571641</v>
      </c>
      <c r="C65" s="589">
        <v>123.93300000000001</v>
      </c>
      <c r="D65" s="590">
        <v>1.357396428358</v>
      </c>
      <c r="E65" s="591">
        <v>1.011073952636</v>
      </c>
      <c r="F65" s="589">
        <v>123.006750964783</v>
      </c>
      <c r="G65" s="590">
        <v>20.501125160796999</v>
      </c>
      <c r="H65" s="592">
        <v>7.9939999999999998</v>
      </c>
      <c r="I65" s="589">
        <v>16.908999999999999</v>
      </c>
      <c r="J65" s="590">
        <v>-3.5921251607969999</v>
      </c>
      <c r="K65" s="593">
        <v>0.137463999881</v>
      </c>
    </row>
    <row r="66" spans="1:11" ht="14.4" customHeight="1" thickBot="1" x14ac:dyDescent="0.35">
      <c r="A66" s="611" t="s">
        <v>361</v>
      </c>
      <c r="B66" s="589">
        <v>30.001289398349002</v>
      </c>
      <c r="C66" s="589">
        <v>29.372</v>
      </c>
      <c r="D66" s="590">
        <v>-0.629289398349</v>
      </c>
      <c r="E66" s="591">
        <v>0.97902458824299998</v>
      </c>
      <c r="F66" s="589">
        <v>30.006244685898</v>
      </c>
      <c r="G66" s="590">
        <v>5.0010407809829998</v>
      </c>
      <c r="H66" s="592">
        <v>2.2069999999999999</v>
      </c>
      <c r="I66" s="589">
        <v>5.1520000000000001</v>
      </c>
      <c r="J66" s="590">
        <v>0.15095921901600001</v>
      </c>
      <c r="K66" s="593">
        <v>0.17169759341499999</v>
      </c>
    </row>
    <row r="67" spans="1:11" ht="14.4" customHeight="1" thickBot="1" x14ac:dyDescent="0.35">
      <c r="A67" s="611" t="s">
        <v>362</v>
      </c>
      <c r="B67" s="589">
        <v>195.01492033675001</v>
      </c>
      <c r="C67" s="589">
        <v>185.501</v>
      </c>
      <c r="D67" s="590">
        <v>-9.5139203367490008</v>
      </c>
      <c r="E67" s="591">
        <v>0.95121439774799998</v>
      </c>
      <c r="F67" s="589">
        <v>169.765853340738</v>
      </c>
      <c r="G67" s="590">
        <v>28.294308890122998</v>
      </c>
      <c r="H67" s="592">
        <v>19.803000000000001</v>
      </c>
      <c r="I67" s="589">
        <v>43.585999999999999</v>
      </c>
      <c r="J67" s="590">
        <v>15.291691109877</v>
      </c>
      <c r="K67" s="593">
        <v>0.25674185439699998</v>
      </c>
    </row>
    <row r="68" spans="1:11" ht="14.4" customHeight="1" thickBot="1" x14ac:dyDescent="0.35">
      <c r="A68" s="612" t="s">
        <v>363</v>
      </c>
      <c r="B68" s="594">
        <v>1311.49161688803</v>
      </c>
      <c r="C68" s="594">
        <v>1468.4956999999999</v>
      </c>
      <c r="D68" s="595">
        <v>157.00408311196799</v>
      </c>
      <c r="E68" s="601">
        <v>1.1197141339600001</v>
      </c>
      <c r="F68" s="594">
        <v>1243.1577507889101</v>
      </c>
      <c r="G68" s="595">
        <v>207.19295846481799</v>
      </c>
      <c r="H68" s="597">
        <v>100.30799</v>
      </c>
      <c r="I68" s="594">
        <v>192.59531999999999</v>
      </c>
      <c r="J68" s="595">
        <v>-14.597638464817001</v>
      </c>
      <c r="K68" s="602">
        <v>0.15492428042799999</v>
      </c>
    </row>
    <row r="69" spans="1:11" ht="14.4" customHeight="1" thickBot="1" x14ac:dyDescent="0.35">
      <c r="A69" s="609" t="s">
        <v>48</v>
      </c>
      <c r="B69" s="589">
        <v>369.147707294209</v>
      </c>
      <c r="C69" s="589">
        <v>502.8886</v>
      </c>
      <c r="D69" s="590">
        <v>133.740892705791</v>
      </c>
      <c r="E69" s="591">
        <v>1.362296419734</v>
      </c>
      <c r="F69" s="589">
        <v>351.66175781058598</v>
      </c>
      <c r="G69" s="590">
        <v>58.610292968430997</v>
      </c>
      <c r="H69" s="592">
        <v>78.216949999999997</v>
      </c>
      <c r="I69" s="589">
        <v>96.517939999999996</v>
      </c>
      <c r="J69" s="590">
        <v>37.907647031568999</v>
      </c>
      <c r="K69" s="593">
        <v>0.27446242833099999</v>
      </c>
    </row>
    <row r="70" spans="1:11" ht="14.4" customHeight="1" thickBot="1" x14ac:dyDescent="0.35">
      <c r="A70" s="613" t="s">
        <v>364</v>
      </c>
      <c r="B70" s="589">
        <v>369.147707294209</v>
      </c>
      <c r="C70" s="589">
        <v>502.8886</v>
      </c>
      <c r="D70" s="590">
        <v>133.740892705791</v>
      </c>
      <c r="E70" s="591">
        <v>1.362296419734</v>
      </c>
      <c r="F70" s="589">
        <v>351.66175781058598</v>
      </c>
      <c r="G70" s="590">
        <v>58.610292968430997</v>
      </c>
      <c r="H70" s="592">
        <v>78.216949999999997</v>
      </c>
      <c r="I70" s="589">
        <v>96.517939999999996</v>
      </c>
      <c r="J70" s="590">
        <v>37.907647031568999</v>
      </c>
      <c r="K70" s="593">
        <v>0.27446242833099999</v>
      </c>
    </row>
    <row r="71" spans="1:11" ht="14.4" customHeight="1" thickBot="1" x14ac:dyDescent="0.35">
      <c r="A71" s="611" t="s">
        <v>365</v>
      </c>
      <c r="B71" s="589">
        <v>293.654558718224</v>
      </c>
      <c r="C71" s="589">
        <v>306.10527000000002</v>
      </c>
      <c r="D71" s="590">
        <v>12.450711281776</v>
      </c>
      <c r="E71" s="591">
        <v>1.042399175875</v>
      </c>
      <c r="F71" s="589">
        <v>282.27187136280099</v>
      </c>
      <c r="G71" s="590">
        <v>47.045311893799997</v>
      </c>
      <c r="H71" s="592">
        <v>77.306809999999999</v>
      </c>
      <c r="I71" s="589">
        <v>86.004310000000004</v>
      </c>
      <c r="J71" s="590">
        <v>38.958998106198997</v>
      </c>
      <c r="K71" s="593">
        <v>0.30468608007100001</v>
      </c>
    </row>
    <row r="72" spans="1:11" ht="14.4" customHeight="1" thickBot="1" x14ac:dyDescent="0.35">
      <c r="A72" s="611" t="s">
        <v>366</v>
      </c>
      <c r="B72" s="589">
        <v>4.9406564584124654E-324</v>
      </c>
      <c r="C72" s="589">
        <v>4.0540000000000003</v>
      </c>
      <c r="D72" s="590">
        <v>4.0540000000000003</v>
      </c>
      <c r="E72" s="599" t="s">
        <v>305</v>
      </c>
      <c r="F72" s="589">
        <v>0</v>
      </c>
      <c r="G72" s="590">
        <v>0</v>
      </c>
      <c r="H72" s="592">
        <v>4.9406564584124654E-324</v>
      </c>
      <c r="I72" s="589">
        <v>9.8813129168249309E-324</v>
      </c>
      <c r="J72" s="590">
        <v>9.8813129168249309E-324</v>
      </c>
      <c r="K72" s="600" t="s">
        <v>299</v>
      </c>
    </row>
    <row r="73" spans="1:11" ht="14.4" customHeight="1" thickBot="1" x14ac:dyDescent="0.35">
      <c r="A73" s="611" t="s">
        <v>367</v>
      </c>
      <c r="B73" s="589">
        <v>0.49899020546400003</v>
      </c>
      <c r="C73" s="589">
        <v>5.6252000000000004</v>
      </c>
      <c r="D73" s="590">
        <v>5.1262097945349998</v>
      </c>
      <c r="E73" s="591">
        <v>11.273167165208999</v>
      </c>
      <c r="F73" s="589">
        <v>6.54334379314</v>
      </c>
      <c r="G73" s="590">
        <v>1.0905572988559999</v>
      </c>
      <c r="H73" s="592">
        <v>4.9406564584124654E-324</v>
      </c>
      <c r="I73" s="589">
        <v>9.8813129168249309E-324</v>
      </c>
      <c r="J73" s="590">
        <v>-1.0905572988559999</v>
      </c>
      <c r="K73" s="593">
        <v>0</v>
      </c>
    </row>
    <row r="74" spans="1:11" ht="14.4" customHeight="1" thickBot="1" x14ac:dyDescent="0.35">
      <c r="A74" s="611" t="s">
        <v>368</v>
      </c>
      <c r="B74" s="589">
        <v>44.996371158099997</v>
      </c>
      <c r="C74" s="589">
        <v>166.51021</v>
      </c>
      <c r="D74" s="590">
        <v>121.5138388419</v>
      </c>
      <c r="E74" s="591">
        <v>3.7005253026939999</v>
      </c>
      <c r="F74" s="589">
        <v>44.999924026344999</v>
      </c>
      <c r="G74" s="590">
        <v>7.4999873377239998</v>
      </c>
      <c r="H74" s="592">
        <v>4.9406564584124654E-324</v>
      </c>
      <c r="I74" s="589">
        <v>9.6034900000000007</v>
      </c>
      <c r="J74" s="590">
        <v>2.1035026622749999</v>
      </c>
      <c r="K74" s="593">
        <v>0.21341124919099999</v>
      </c>
    </row>
    <row r="75" spans="1:11" ht="14.4" customHeight="1" thickBot="1" x14ac:dyDescent="0.35">
      <c r="A75" s="611" t="s">
        <v>369</v>
      </c>
      <c r="B75" s="589">
        <v>29.997787212420999</v>
      </c>
      <c r="C75" s="589">
        <v>20.593920000000001</v>
      </c>
      <c r="D75" s="590">
        <v>-9.4038672124209999</v>
      </c>
      <c r="E75" s="591">
        <v>0.68651463703500004</v>
      </c>
      <c r="F75" s="589">
        <v>17.846618628299002</v>
      </c>
      <c r="G75" s="590">
        <v>2.974436438049</v>
      </c>
      <c r="H75" s="592">
        <v>0.91013999999999995</v>
      </c>
      <c r="I75" s="589">
        <v>0.91013999999999995</v>
      </c>
      <c r="J75" s="590">
        <v>-2.0642964380489999</v>
      </c>
      <c r="K75" s="593">
        <v>5.0997895957000001E-2</v>
      </c>
    </row>
    <row r="76" spans="1:11" ht="14.4" customHeight="1" thickBot="1" x14ac:dyDescent="0.35">
      <c r="A76" s="614" t="s">
        <v>49</v>
      </c>
      <c r="B76" s="594">
        <v>0</v>
      </c>
      <c r="C76" s="594">
        <v>57.143999999999998</v>
      </c>
      <c r="D76" s="595">
        <v>57.143999999999998</v>
      </c>
      <c r="E76" s="596" t="s">
        <v>299</v>
      </c>
      <c r="F76" s="594">
        <v>0</v>
      </c>
      <c r="G76" s="595">
        <v>0</v>
      </c>
      <c r="H76" s="597">
        <v>4.9406564584124654E-324</v>
      </c>
      <c r="I76" s="594">
        <v>9.1389999999999993</v>
      </c>
      <c r="J76" s="595">
        <v>9.1389999999999993</v>
      </c>
      <c r="K76" s="598" t="s">
        <v>299</v>
      </c>
    </row>
    <row r="77" spans="1:11" ht="14.4" customHeight="1" thickBot="1" x14ac:dyDescent="0.35">
      <c r="A77" s="610" t="s">
        <v>370</v>
      </c>
      <c r="B77" s="594">
        <v>0</v>
      </c>
      <c r="C77" s="594">
        <v>57.143999999999998</v>
      </c>
      <c r="D77" s="595">
        <v>57.143999999999998</v>
      </c>
      <c r="E77" s="596" t="s">
        <v>299</v>
      </c>
      <c r="F77" s="594">
        <v>0</v>
      </c>
      <c r="G77" s="595">
        <v>0</v>
      </c>
      <c r="H77" s="597">
        <v>4.9406564584124654E-324</v>
      </c>
      <c r="I77" s="594">
        <v>9.1389999999999993</v>
      </c>
      <c r="J77" s="595">
        <v>9.1389999999999993</v>
      </c>
      <c r="K77" s="598" t="s">
        <v>299</v>
      </c>
    </row>
    <row r="78" spans="1:11" ht="14.4" customHeight="1" thickBot="1" x14ac:dyDescent="0.35">
      <c r="A78" s="611" t="s">
        <v>371</v>
      </c>
      <c r="B78" s="589">
        <v>0</v>
      </c>
      <c r="C78" s="589">
        <v>26.224</v>
      </c>
      <c r="D78" s="590">
        <v>26.224</v>
      </c>
      <c r="E78" s="599" t="s">
        <v>299</v>
      </c>
      <c r="F78" s="589">
        <v>0</v>
      </c>
      <c r="G78" s="590">
        <v>0</v>
      </c>
      <c r="H78" s="592">
        <v>4.9406564584124654E-324</v>
      </c>
      <c r="I78" s="589">
        <v>6.0590000000000002</v>
      </c>
      <c r="J78" s="590">
        <v>6.0590000000000002</v>
      </c>
      <c r="K78" s="600" t="s">
        <v>299</v>
      </c>
    </row>
    <row r="79" spans="1:11" ht="14.4" customHeight="1" thickBot="1" x14ac:dyDescent="0.35">
      <c r="A79" s="611" t="s">
        <v>372</v>
      </c>
      <c r="B79" s="589">
        <v>0</v>
      </c>
      <c r="C79" s="589">
        <v>30.92</v>
      </c>
      <c r="D79" s="590">
        <v>30.92</v>
      </c>
      <c r="E79" s="599" t="s">
        <v>299</v>
      </c>
      <c r="F79" s="589">
        <v>0</v>
      </c>
      <c r="G79" s="590">
        <v>0</v>
      </c>
      <c r="H79" s="592">
        <v>4.9406564584124654E-324</v>
      </c>
      <c r="I79" s="589">
        <v>3.08</v>
      </c>
      <c r="J79" s="590">
        <v>3.08</v>
      </c>
      <c r="K79" s="600" t="s">
        <v>299</v>
      </c>
    </row>
    <row r="80" spans="1:11" ht="14.4" customHeight="1" thickBot="1" x14ac:dyDescent="0.35">
      <c r="A80" s="609" t="s">
        <v>50</v>
      </c>
      <c r="B80" s="589">
        <v>942.34390959382301</v>
      </c>
      <c r="C80" s="589">
        <v>908.46310000000096</v>
      </c>
      <c r="D80" s="590">
        <v>-33.880809593822001</v>
      </c>
      <c r="E80" s="591">
        <v>0.96404623699500003</v>
      </c>
      <c r="F80" s="589">
        <v>891.49599297832299</v>
      </c>
      <c r="G80" s="590">
        <v>148.58266549638699</v>
      </c>
      <c r="H80" s="592">
        <v>22.09104</v>
      </c>
      <c r="I80" s="589">
        <v>86.938379999999995</v>
      </c>
      <c r="J80" s="590">
        <v>-61.644285496385997</v>
      </c>
      <c r="K80" s="593">
        <v>9.7519653127000006E-2</v>
      </c>
    </row>
    <row r="81" spans="1:11" ht="14.4" customHeight="1" thickBot="1" x14ac:dyDescent="0.35">
      <c r="A81" s="610" t="s">
        <v>373</v>
      </c>
      <c r="B81" s="594">
        <v>11.284946544835</v>
      </c>
      <c r="C81" s="594">
        <v>0.51800000000000002</v>
      </c>
      <c r="D81" s="595">
        <v>-10.766946544834999</v>
      </c>
      <c r="E81" s="601">
        <v>4.5901856773000002E-2</v>
      </c>
      <c r="F81" s="594">
        <v>0.20704397083500001</v>
      </c>
      <c r="G81" s="595">
        <v>3.4507328471999998E-2</v>
      </c>
      <c r="H81" s="597">
        <v>4.9406564584124654E-324</v>
      </c>
      <c r="I81" s="594">
        <v>0.20699999999999999</v>
      </c>
      <c r="J81" s="595">
        <v>0.17249267152700001</v>
      </c>
      <c r="K81" s="602">
        <v>0.99978762561699996</v>
      </c>
    </row>
    <row r="82" spans="1:11" ht="14.4" customHeight="1" thickBot="1" x14ac:dyDescent="0.35">
      <c r="A82" s="611" t="s">
        <v>374</v>
      </c>
      <c r="B82" s="589">
        <v>11.284946544835</v>
      </c>
      <c r="C82" s="589">
        <v>0.51800000000000002</v>
      </c>
      <c r="D82" s="590">
        <v>-10.766946544834999</v>
      </c>
      <c r="E82" s="591">
        <v>4.5901856773000002E-2</v>
      </c>
      <c r="F82" s="589">
        <v>0.20704397083500001</v>
      </c>
      <c r="G82" s="590">
        <v>3.4507328471999998E-2</v>
      </c>
      <c r="H82" s="592">
        <v>4.9406564584124654E-324</v>
      </c>
      <c r="I82" s="589">
        <v>0.20699999999999999</v>
      </c>
      <c r="J82" s="590">
        <v>0.17249267152700001</v>
      </c>
      <c r="K82" s="593">
        <v>0.99978762561699996</v>
      </c>
    </row>
    <row r="83" spans="1:11" ht="14.4" customHeight="1" thickBot="1" x14ac:dyDescent="0.35">
      <c r="A83" s="610" t="s">
        <v>375</v>
      </c>
      <c r="B83" s="594">
        <v>6.4491310371879997</v>
      </c>
      <c r="C83" s="594">
        <v>7.03878</v>
      </c>
      <c r="D83" s="595">
        <v>0.58964896281099999</v>
      </c>
      <c r="E83" s="601">
        <v>1.0914307616650001</v>
      </c>
      <c r="F83" s="594">
        <v>6.7003989996410001</v>
      </c>
      <c r="G83" s="595">
        <v>1.1167331666060001</v>
      </c>
      <c r="H83" s="597">
        <v>0.58909999999999996</v>
      </c>
      <c r="I83" s="594">
        <v>0.82523000000000002</v>
      </c>
      <c r="J83" s="595">
        <v>-0.29150316660600001</v>
      </c>
      <c r="K83" s="602">
        <v>0.12316132219000001</v>
      </c>
    </row>
    <row r="84" spans="1:11" ht="14.4" customHeight="1" thickBot="1" x14ac:dyDescent="0.35">
      <c r="A84" s="611" t="s">
        <v>376</v>
      </c>
      <c r="B84" s="589">
        <v>1.60928824368</v>
      </c>
      <c r="C84" s="589">
        <v>1.0697000000000001</v>
      </c>
      <c r="D84" s="590">
        <v>-0.53958824368000002</v>
      </c>
      <c r="E84" s="591">
        <v>0.66470379324499995</v>
      </c>
      <c r="F84" s="589">
        <v>1.0942883678140001</v>
      </c>
      <c r="G84" s="590">
        <v>0.182381394635</v>
      </c>
      <c r="H84" s="592">
        <v>0.21659999999999999</v>
      </c>
      <c r="I84" s="589">
        <v>0.25840000000000002</v>
      </c>
      <c r="J84" s="590">
        <v>7.6018605364E-2</v>
      </c>
      <c r="K84" s="593">
        <v>0.23613519763099999</v>
      </c>
    </row>
    <row r="85" spans="1:11" ht="14.4" customHeight="1" thickBot="1" x14ac:dyDescent="0.35">
      <c r="A85" s="611" t="s">
        <v>377</v>
      </c>
      <c r="B85" s="589">
        <v>4.8398427935079997</v>
      </c>
      <c r="C85" s="589">
        <v>5.9690799999999999</v>
      </c>
      <c r="D85" s="590">
        <v>1.1292372064909999</v>
      </c>
      <c r="E85" s="591">
        <v>1.2333210508420001</v>
      </c>
      <c r="F85" s="589">
        <v>5.6061106318259997</v>
      </c>
      <c r="G85" s="590">
        <v>0.93435177197099994</v>
      </c>
      <c r="H85" s="592">
        <v>0.3725</v>
      </c>
      <c r="I85" s="589">
        <v>0.56682999999999995</v>
      </c>
      <c r="J85" s="590">
        <v>-0.367521771971</v>
      </c>
      <c r="K85" s="593">
        <v>0.101109313965</v>
      </c>
    </row>
    <row r="86" spans="1:11" ht="14.4" customHeight="1" thickBot="1" x14ac:dyDescent="0.35">
      <c r="A86" s="610" t="s">
        <v>378</v>
      </c>
      <c r="B86" s="594">
        <v>26.288204153319999</v>
      </c>
      <c r="C86" s="594">
        <v>32.188769999999998</v>
      </c>
      <c r="D86" s="595">
        <v>5.9005658466790001</v>
      </c>
      <c r="E86" s="601">
        <v>1.224456787244</v>
      </c>
      <c r="F86" s="594">
        <v>30.480234060506</v>
      </c>
      <c r="G86" s="595">
        <v>5.0800390100839996</v>
      </c>
      <c r="H86" s="597">
        <v>2.40964</v>
      </c>
      <c r="I86" s="594">
        <v>7.50664</v>
      </c>
      <c r="J86" s="595">
        <v>2.4266009899149998</v>
      </c>
      <c r="K86" s="602">
        <v>0.246278948681</v>
      </c>
    </row>
    <row r="87" spans="1:11" ht="14.4" customHeight="1" thickBot="1" x14ac:dyDescent="0.35">
      <c r="A87" s="611" t="s">
        <v>379</v>
      </c>
      <c r="B87" s="589">
        <v>13.996366320678</v>
      </c>
      <c r="C87" s="589">
        <v>13.095000000000001</v>
      </c>
      <c r="D87" s="590">
        <v>-0.90136632067800004</v>
      </c>
      <c r="E87" s="591">
        <v>0.93559997644899995</v>
      </c>
      <c r="F87" s="589">
        <v>13.001786673335999</v>
      </c>
      <c r="G87" s="590">
        <v>2.1669644455560002</v>
      </c>
      <c r="H87" s="592">
        <v>4.9406564584124654E-324</v>
      </c>
      <c r="I87" s="589">
        <v>3.24</v>
      </c>
      <c r="J87" s="590">
        <v>1.073035554444</v>
      </c>
      <c r="K87" s="593">
        <v>0.249196520555</v>
      </c>
    </row>
    <row r="88" spans="1:11" ht="14.4" customHeight="1" thickBot="1" x14ac:dyDescent="0.35">
      <c r="A88" s="611" t="s">
        <v>380</v>
      </c>
      <c r="B88" s="589">
        <v>12.291837832642001</v>
      </c>
      <c r="C88" s="589">
        <v>19.093769999999999</v>
      </c>
      <c r="D88" s="590">
        <v>6.8019321673570001</v>
      </c>
      <c r="E88" s="591">
        <v>1.5533698263810001</v>
      </c>
      <c r="F88" s="589">
        <v>17.47844738717</v>
      </c>
      <c r="G88" s="590">
        <v>2.9130745645279998</v>
      </c>
      <c r="H88" s="592">
        <v>2.40964</v>
      </c>
      <c r="I88" s="589">
        <v>4.2666399999999998</v>
      </c>
      <c r="J88" s="590">
        <v>1.3535654354710001</v>
      </c>
      <c r="K88" s="593">
        <v>0.24410863879799999</v>
      </c>
    </row>
    <row r="89" spans="1:11" ht="14.4" customHeight="1" thickBot="1" x14ac:dyDescent="0.35">
      <c r="A89" s="610" t="s">
        <v>381</v>
      </c>
      <c r="B89" s="594">
        <v>409.00041530669603</v>
      </c>
      <c r="C89" s="594">
        <v>436.35645</v>
      </c>
      <c r="D89" s="595">
        <v>27.356034693304</v>
      </c>
      <c r="E89" s="601">
        <v>1.0668851024820001</v>
      </c>
      <c r="F89" s="594">
        <v>439.79805378141299</v>
      </c>
      <c r="G89" s="595">
        <v>73.299675630235001</v>
      </c>
      <c r="H89" s="597">
        <v>4.9406564584124654E-324</v>
      </c>
      <c r="I89" s="594">
        <v>42.649560000000001</v>
      </c>
      <c r="J89" s="595">
        <v>-30.650115630235</v>
      </c>
      <c r="K89" s="602">
        <v>9.6975326818999993E-2</v>
      </c>
    </row>
    <row r="90" spans="1:11" ht="14.4" customHeight="1" thickBot="1" x14ac:dyDescent="0.35">
      <c r="A90" s="611" t="s">
        <v>382</v>
      </c>
      <c r="B90" s="589">
        <v>409.00041530669603</v>
      </c>
      <c r="C90" s="589">
        <v>436.35645</v>
      </c>
      <c r="D90" s="590">
        <v>27.356034693304</v>
      </c>
      <c r="E90" s="591">
        <v>1.0668851024820001</v>
      </c>
      <c r="F90" s="589">
        <v>439.79805378141299</v>
      </c>
      <c r="G90" s="590">
        <v>73.299675630235001</v>
      </c>
      <c r="H90" s="592">
        <v>4.9406564584124654E-324</v>
      </c>
      <c r="I90" s="589">
        <v>42.649560000000001</v>
      </c>
      <c r="J90" s="590">
        <v>-30.650115630235</v>
      </c>
      <c r="K90" s="593">
        <v>9.6975326818999993E-2</v>
      </c>
    </row>
    <row r="91" spans="1:11" ht="14.4" customHeight="1" thickBot="1" x14ac:dyDescent="0.35">
      <c r="A91" s="610" t="s">
        <v>383</v>
      </c>
      <c r="B91" s="594">
        <v>489.32121255178299</v>
      </c>
      <c r="C91" s="594">
        <v>417.16210000000001</v>
      </c>
      <c r="D91" s="595">
        <v>-72.159112551782002</v>
      </c>
      <c r="E91" s="601">
        <v>0.85253222075599999</v>
      </c>
      <c r="F91" s="594">
        <v>414.31026216592699</v>
      </c>
      <c r="G91" s="595">
        <v>69.051710360987002</v>
      </c>
      <c r="H91" s="597">
        <v>19.092300000000002</v>
      </c>
      <c r="I91" s="594">
        <v>35.749949999999998</v>
      </c>
      <c r="J91" s="595">
        <v>-33.301760360986997</v>
      </c>
      <c r="K91" s="602">
        <v>8.6287869899000003E-2</v>
      </c>
    </row>
    <row r="92" spans="1:11" ht="14.4" customHeight="1" thickBot="1" x14ac:dyDescent="0.35">
      <c r="A92" s="611" t="s">
        <v>384</v>
      </c>
      <c r="B92" s="589">
        <v>1.001306779394</v>
      </c>
      <c r="C92" s="589">
        <v>14.260999999999999</v>
      </c>
      <c r="D92" s="590">
        <v>13.259693220605</v>
      </c>
      <c r="E92" s="591">
        <v>14.242388340392999</v>
      </c>
      <c r="F92" s="589">
        <v>14.636300222075</v>
      </c>
      <c r="G92" s="590">
        <v>2.4393833703449999</v>
      </c>
      <c r="H92" s="592">
        <v>4.9406564584124654E-324</v>
      </c>
      <c r="I92" s="589">
        <v>9.8813129168249309E-324</v>
      </c>
      <c r="J92" s="590">
        <v>-2.4393833703449999</v>
      </c>
      <c r="K92" s="593">
        <v>0</v>
      </c>
    </row>
    <row r="93" spans="1:11" ht="14.4" customHeight="1" thickBot="1" x14ac:dyDescent="0.35">
      <c r="A93" s="611" t="s">
        <v>385</v>
      </c>
      <c r="B93" s="589">
        <v>331.99047281781702</v>
      </c>
      <c r="C93" s="589">
        <v>336.57229999999998</v>
      </c>
      <c r="D93" s="590">
        <v>4.5818271821829999</v>
      </c>
      <c r="E93" s="591">
        <v>1.0138010803240001</v>
      </c>
      <c r="F93" s="589">
        <v>332.75676696885898</v>
      </c>
      <c r="G93" s="590">
        <v>55.459461161476</v>
      </c>
      <c r="H93" s="592">
        <v>7.2119999999999997</v>
      </c>
      <c r="I93" s="589">
        <v>23.86965</v>
      </c>
      <c r="J93" s="590">
        <v>-31.589811161476</v>
      </c>
      <c r="K93" s="593">
        <v>7.1733026549999995E-2</v>
      </c>
    </row>
    <row r="94" spans="1:11" ht="14.4" customHeight="1" thickBot="1" x14ac:dyDescent="0.35">
      <c r="A94" s="611" t="s">
        <v>386</v>
      </c>
      <c r="B94" s="589">
        <v>8.9953601129309995</v>
      </c>
      <c r="C94" s="589">
        <v>9.9930000000000003</v>
      </c>
      <c r="D94" s="590">
        <v>0.997639887068</v>
      </c>
      <c r="E94" s="591">
        <v>1.110906053181</v>
      </c>
      <c r="F94" s="589">
        <v>1.0003644167400001</v>
      </c>
      <c r="G94" s="590">
        <v>0.16672740279000001</v>
      </c>
      <c r="H94" s="592">
        <v>1.742</v>
      </c>
      <c r="I94" s="589">
        <v>1.742</v>
      </c>
      <c r="J94" s="590">
        <v>1.575272597209</v>
      </c>
      <c r="K94" s="593">
        <v>1.7413654172899999</v>
      </c>
    </row>
    <row r="95" spans="1:11" ht="14.4" customHeight="1" thickBot="1" x14ac:dyDescent="0.35">
      <c r="A95" s="611" t="s">
        <v>387</v>
      </c>
      <c r="B95" s="589">
        <v>4.9146522645899999</v>
      </c>
      <c r="C95" s="589">
        <v>4.9406564584124654E-324</v>
      </c>
      <c r="D95" s="590">
        <v>-4.9146522645899999</v>
      </c>
      <c r="E95" s="591">
        <v>0</v>
      </c>
      <c r="F95" s="589">
        <v>4.9406564584124654E-324</v>
      </c>
      <c r="G95" s="590">
        <v>0</v>
      </c>
      <c r="H95" s="592">
        <v>1.1979</v>
      </c>
      <c r="I95" s="589">
        <v>1.1979</v>
      </c>
      <c r="J95" s="590">
        <v>1.1979</v>
      </c>
      <c r="K95" s="600" t="s">
        <v>305</v>
      </c>
    </row>
    <row r="96" spans="1:11" ht="14.4" customHeight="1" thickBot="1" x14ac:dyDescent="0.35">
      <c r="A96" s="611" t="s">
        <v>388</v>
      </c>
      <c r="B96" s="589">
        <v>142.41942057705</v>
      </c>
      <c r="C96" s="589">
        <v>56.335799999999999</v>
      </c>
      <c r="D96" s="590">
        <v>-86.083620577049004</v>
      </c>
      <c r="E96" s="591">
        <v>0.39556262602199999</v>
      </c>
      <c r="F96" s="589">
        <v>65.916830558252002</v>
      </c>
      <c r="G96" s="590">
        <v>10.986138426375</v>
      </c>
      <c r="H96" s="592">
        <v>8.9404000000000003</v>
      </c>
      <c r="I96" s="589">
        <v>8.9404000000000003</v>
      </c>
      <c r="J96" s="590">
        <v>-2.0457384263749998</v>
      </c>
      <c r="K96" s="593">
        <v>0.13563152117999999</v>
      </c>
    </row>
    <row r="97" spans="1:11" ht="14.4" customHeight="1" thickBot="1" x14ac:dyDescent="0.35">
      <c r="A97" s="610" t="s">
        <v>389</v>
      </c>
      <c r="B97" s="594">
        <v>0</v>
      </c>
      <c r="C97" s="594">
        <v>15.199</v>
      </c>
      <c r="D97" s="595">
        <v>15.199</v>
      </c>
      <c r="E97" s="596" t="s">
        <v>299</v>
      </c>
      <c r="F97" s="594">
        <v>0</v>
      </c>
      <c r="G97" s="595">
        <v>0</v>
      </c>
      <c r="H97" s="597">
        <v>4.9406564584124654E-324</v>
      </c>
      <c r="I97" s="594">
        <v>9.8813129168249309E-324</v>
      </c>
      <c r="J97" s="595">
        <v>9.8813129168249309E-324</v>
      </c>
      <c r="K97" s="598" t="s">
        <v>299</v>
      </c>
    </row>
    <row r="98" spans="1:11" ht="14.4" customHeight="1" thickBot="1" x14ac:dyDescent="0.35">
      <c r="A98" s="611" t="s">
        <v>390</v>
      </c>
      <c r="B98" s="589">
        <v>4.9406564584124654E-324</v>
      </c>
      <c r="C98" s="589">
        <v>15.199</v>
      </c>
      <c r="D98" s="590">
        <v>15.199</v>
      </c>
      <c r="E98" s="599" t="s">
        <v>305</v>
      </c>
      <c r="F98" s="589">
        <v>0</v>
      </c>
      <c r="G98" s="590">
        <v>0</v>
      </c>
      <c r="H98" s="592">
        <v>4.9406564584124654E-324</v>
      </c>
      <c r="I98" s="589">
        <v>9.8813129168249309E-324</v>
      </c>
      <c r="J98" s="590">
        <v>9.8813129168249309E-324</v>
      </c>
      <c r="K98" s="600" t="s">
        <v>299</v>
      </c>
    </row>
    <row r="99" spans="1:11" ht="14.4" customHeight="1" thickBot="1" x14ac:dyDescent="0.35">
      <c r="A99" s="608" t="s">
        <v>51</v>
      </c>
      <c r="B99" s="589">
        <v>29946.1593636621</v>
      </c>
      <c r="C99" s="589">
        <v>32314.10053</v>
      </c>
      <c r="D99" s="590">
        <v>2367.9411663379501</v>
      </c>
      <c r="E99" s="591">
        <v>1.0790732840749999</v>
      </c>
      <c r="F99" s="589">
        <v>30448.149869839501</v>
      </c>
      <c r="G99" s="590">
        <v>5074.6916449732598</v>
      </c>
      <c r="H99" s="592">
        <v>2588.5005000000001</v>
      </c>
      <c r="I99" s="589">
        <v>5082.49442000001</v>
      </c>
      <c r="J99" s="590">
        <v>7.8027750267549996</v>
      </c>
      <c r="K99" s="593">
        <v>0.166922931006</v>
      </c>
    </row>
    <row r="100" spans="1:11" ht="14.4" customHeight="1" thickBot="1" x14ac:dyDescent="0.35">
      <c r="A100" s="614" t="s">
        <v>391</v>
      </c>
      <c r="B100" s="594">
        <v>22282.749999998901</v>
      </c>
      <c r="C100" s="594">
        <v>23999.949000000001</v>
      </c>
      <c r="D100" s="595">
        <v>1717.1990000011201</v>
      </c>
      <c r="E100" s="601">
        <v>1.0770640517879999</v>
      </c>
      <c r="F100" s="594">
        <v>22610.9999999996</v>
      </c>
      <c r="G100" s="595">
        <v>3768.49999999993</v>
      </c>
      <c r="H100" s="597">
        <v>1920.4549999999999</v>
      </c>
      <c r="I100" s="594">
        <v>3769.1660000000102</v>
      </c>
      <c r="J100" s="595">
        <v>0.66600000007600002</v>
      </c>
      <c r="K100" s="602">
        <v>0.16669612135600001</v>
      </c>
    </row>
    <row r="101" spans="1:11" ht="14.4" customHeight="1" thickBot="1" x14ac:dyDescent="0.35">
      <c r="A101" s="610" t="s">
        <v>392</v>
      </c>
      <c r="B101" s="594">
        <v>21896.749999998901</v>
      </c>
      <c r="C101" s="594">
        <v>23698.026999999998</v>
      </c>
      <c r="D101" s="595">
        <v>1801.2770000011001</v>
      </c>
      <c r="E101" s="601">
        <v>1.0822622991990001</v>
      </c>
      <c r="F101" s="594">
        <v>22392.9999999996</v>
      </c>
      <c r="G101" s="595">
        <v>3732.1666666666001</v>
      </c>
      <c r="H101" s="597">
        <v>1899.7349999999999</v>
      </c>
      <c r="I101" s="594">
        <v>3731.7920000000099</v>
      </c>
      <c r="J101" s="595">
        <v>-0.37466666659100001</v>
      </c>
      <c r="K101" s="602">
        <v>0.166649935247</v>
      </c>
    </row>
    <row r="102" spans="1:11" ht="14.4" customHeight="1" thickBot="1" x14ac:dyDescent="0.35">
      <c r="A102" s="611" t="s">
        <v>393</v>
      </c>
      <c r="B102" s="589">
        <v>21896.749999998901</v>
      </c>
      <c r="C102" s="589">
        <v>23698.026999999998</v>
      </c>
      <c r="D102" s="590">
        <v>1801.2770000011001</v>
      </c>
      <c r="E102" s="591">
        <v>1.0822622991990001</v>
      </c>
      <c r="F102" s="589">
        <v>22392.9999999996</v>
      </c>
      <c r="G102" s="590">
        <v>3732.1666666666001</v>
      </c>
      <c r="H102" s="592">
        <v>1899.7349999999999</v>
      </c>
      <c r="I102" s="589">
        <v>3731.7920000000099</v>
      </c>
      <c r="J102" s="590">
        <v>-0.37466666659100001</v>
      </c>
      <c r="K102" s="593">
        <v>0.166649935247</v>
      </c>
    </row>
    <row r="103" spans="1:11" ht="14.4" customHeight="1" thickBot="1" x14ac:dyDescent="0.35">
      <c r="A103" s="610" t="s">
        <v>394</v>
      </c>
      <c r="B103" s="594">
        <v>385.99999999997902</v>
      </c>
      <c r="C103" s="594">
        <v>236</v>
      </c>
      <c r="D103" s="595">
        <v>-149.999999999979</v>
      </c>
      <c r="E103" s="601">
        <v>0.61139896373000002</v>
      </c>
      <c r="F103" s="594">
        <v>141.99999999999699</v>
      </c>
      <c r="G103" s="595">
        <v>23.666666666666</v>
      </c>
      <c r="H103" s="597">
        <v>8.9</v>
      </c>
      <c r="I103" s="594">
        <v>20.7</v>
      </c>
      <c r="J103" s="595">
        <v>-2.9666666666660002</v>
      </c>
      <c r="K103" s="602">
        <v>0.14577464788700001</v>
      </c>
    </row>
    <row r="104" spans="1:11" ht="14.4" customHeight="1" thickBot="1" x14ac:dyDescent="0.35">
      <c r="A104" s="611" t="s">
        <v>395</v>
      </c>
      <c r="B104" s="589">
        <v>385.99999999997902</v>
      </c>
      <c r="C104" s="589">
        <v>236</v>
      </c>
      <c r="D104" s="590">
        <v>-149.999999999979</v>
      </c>
      <c r="E104" s="591">
        <v>0.61139896373000002</v>
      </c>
      <c r="F104" s="589">
        <v>141.99999999999699</v>
      </c>
      <c r="G104" s="590">
        <v>23.666666666666</v>
      </c>
      <c r="H104" s="592">
        <v>8.9</v>
      </c>
      <c r="I104" s="589">
        <v>20.7</v>
      </c>
      <c r="J104" s="590">
        <v>-2.9666666666660002</v>
      </c>
      <c r="K104" s="593">
        <v>0.14577464788700001</v>
      </c>
    </row>
    <row r="105" spans="1:11" ht="14.4" customHeight="1" thickBot="1" x14ac:dyDescent="0.35">
      <c r="A105" s="610" t="s">
        <v>396</v>
      </c>
      <c r="B105" s="594">
        <v>0</v>
      </c>
      <c r="C105" s="594">
        <v>65.921999999999997</v>
      </c>
      <c r="D105" s="595">
        <v>65.921999999999997</v>
      </c>
      <c r="E105" s="596" t="s">
        <v>299</v>
      </c>
      <c r="F105" s="594">
        <v>75.999999999997996</v>
      </c>
      <c r="G105" s="595">
        <v>12.666666666666</v>
      </c>
      <c r="H105" s="597">
        <v>11.82</v>
      </c>
      <c r="I105" s="594">
        <v>16.673999999999999</v>
      </c>
      <c r="J105" s="595">
        <v>4.0073333333330003</v>
      </c>
      <c r="K105" s="602">
        <v>0.219394736842</v>
      </c>
    </row>
    <row r="106" spans="1:11" ht="14.4" customHeight="1" thickBot="1" x14ac:dyDescent="0.35">
      <c r="A106" s="611" t="s">
        <v>397</v>
      </c>
      <c r="B106" s="589">
        <v>0</v>
      </c>
      <c r="C106" s="589">
        <v>65.921999999999997</v>
      </c>
      <c r="D106" s="590">
        <v>65.921999999999997</v>
      </c>
      <c r="E106" s="599" t="s">
        <v>299</v>
      </c>
      <c r="F106" s="589">
        <v>75.999999999997996</v>
      </c>
      <c r="G106" s="590">
        <v>12.666666666666</v>
      </c>
      <c r="H106" s="592">
        <v>11.82</v>
      </c>
      <c r="I106" s="589">
        <v>16.673999999999999</v>
      </c>
      <c r="J106" s="590">
        <v>4.0073333333330003</v>
      </c>
      <c r="K106" s="593">
        <v>0.219394736842</v>
      </c>
    </row>
    <row r="107" spans="1:11" ht="14.4" customHeight="1" thickBot="1" x14ac:dyDescent="0.35">
      <c r="A107" s="609" t="s">
        <v>398</v>
      </c>
      <c r="B107" s="589">
        <v>7445.4093636631897</v>
      </c>
      <c r="C107" s="589">
        <v>8076.5103799999997</v>
      </c>
      <c r="D107" s="590">
        <v>631.10101633681597</v>
      </c>
      <c r="E107" s="591">
        <v>1.084763776645</v>
      </c>
      <c r="F107" s="589">
        <v>7613.14986983994</v>
      </c>
      <c r="G107" s="590">
        <v>1268.85831163999</v>
      </c>
      <c r="H107" s="592">
        <v>648.92975000000001</v>
      </c>
      <c r="I107" s="589">
        <v>1275.8440000000001</v>
      </c>
      <c r="J107" s="590">
        <v>6.9856883600120003</v>
      </c>
      <c r="K107" s="593">
        <v>0.16758424854500001</v>
      </c>
    </row>
    <row r="108" spans="1:11" ht="14.4" customHeight="1" thickBot="1" x14ac:dyDescent="0.35">
      <c r="A108" s="610" t="s">
        <v>399</v>
      </c>
      <c r="B108" s="594">
        <v>1971.2499861359299</v>
      </c>
      <c r="C108" s="594">
        <v>2154.0570400000001</v>
      </c>
      <c r="D108" s="595">
        <v>182.807053864073</v>
      </c>
      <c r="E108" s="601">
        <v>1.092736616436</v>
      </c>
      <c r="F108" s="594">
        <v>2015.1498698400601</v>
      </c>
      <c r="G108" s="595">
        <v>335.85831164000899</v>
      </c>
      <c r="H108" s="597">
        <v>171.77099999999999</v>
      </c>
      <c r="I108" s="594">
        <v>337.72100000000103</v>
      </c>
      <c r="J108" s="595">
        <v>1.862688359991</v>
      </c>
      <c r="K108" s="602">
        <v>0.167591009013</v>
      </c>
    </row>
    <row r="109" spans="1:11" ht="14.4" customHeight="1" thickBot="1" x14ac:dyDescent="0.35">
      <c r="A109" s="611" t="s">
        <v>400</v>
      </c>
      <c r="B109" s="589">
        <v>1971.2499861359299</v>
      </c>
      <c r="C109" s="589">
        <v>2154.0570400000001</v>
      </c>
      <c r="D109" s="590">
        <v>182.807053864073</v>
      </c>
      <c r="E109" s="591">
        <v>1.092736616436</v>
      </c>
      <c r="F109" s="589">
        <v>2015.1498698400601</v>
      </c>
      <c r="G109" s="590">
        <v>335.85831164000899</v>
      </c>
      <c r="H109" s="592">
        <v>171.77099999999999</v>
      </c>
      <c r="I109" s="589">
        <v>337.72100000000103</v>
      </c>
      <c r="J109" s="590">
        <v>1.862688359991</v>
      </c>
      <c r="K109" s="593">
        <v>0.167591009013</v>
      </c>
    </row>
    <row r="110" spans="1:11" ht="14.4" customHeight="1" thickBot="1" x14ac:dyDescent="0.35">
      <c r="A110" s="610" t="s">
        <v>401</v>
      </c>
      <c r="B110" s="594">
        <v>5474.1593775272604</v>
      </c>
      <c r="C110" s="594">
        <v>5922.45334</v>
      </c>
      <c r="D110" s="595">
        <v>448.29396247274298</v>
      </c>
      <c r="E110" s="601">
        <v>1.081892749471</v>
      </c>
      <c r="F110" s="594">
        <v>5597.99999999989</v>
      </c>
      <c r="G110" s="595">
        <v>932.99999999998101</v>
      </c>
      <c r="H110" s="597">
        <v>477.15875</v>
      </c>
      <c r="I110" s="594">
        <v>938.12300000000198</v>
      </c>
      <c r="J110" s="595">
        <v>5.1230000000200002</v>
      </c>
      <c r="K110" s="602">
        <v>0.16758181493300001</v>
      </c>
    </row>
    <row r="111" spans="1:11" ht="14.4" customHeight="1" thickBot="1" x14ac:dyDescent="0.35">
      <c r="A111" s="611" t="s">
        <v>402</v>
      </c>
      <c r="B111" s="589">
        <v>5474.1593775272604</v>
      </c>
      <c r="C111" s="589">
        <v>5922.45334</v>
      </c>
      <c r="D111" s="590">
        <v>448.29396247274298</v>
      </c>
      <c r="E111" s="591">
        <v>1.081892749471</v>
      </c>
      <c r="F111" s="589">
        <v>5597.99999999989</v>
      </c>
      <c r="G111" s="590">
        <v>932.99999999998101</v>
      </c>
      <c r="H111" s="592">
        <v>477.15875</v>
      </c>
      <c r="I111" s="589">
        <v>938.12300000000198</v>
      </c>
      <c r="J111" s="590">
        <v>5.1230000000200002</v>
      </c>
      <c r="K111" s="593">
        <v>0.16758181493300001</v>
      </c>
    </row>
    <row r="112" spans="1:11" ht="14.4" customHeight="1" thickBot="1" x14ac:dyDescent="0.35">
      <c r="A112" s="609" t="s">
        <v>403</v>
      </c>
      <c r="B112" s="589">
        <v>217.99999999998801</v>
      </c>
      <c r="C112" s="589">
        <v>237.64115000000001</v>
      </c>
      <c r="D112" s="590">
        <v>19.641150000010999</v>
      </c>
      <c r="E112" s="591">
        <v>1.0900970183480001</v>
      </c>
      <c r="F112" s="589">
        <v>223.99999999999599</v>
      </c>
      <c r="G112" s="590">
        <v>37.333333333332</v>
      </c>
      <c r="H112" s="592">
        <v>19.115749999999998</v>
      </c>
      <c r="I112" s="589">
        <v>37.48442</v>
      </c>
      <c r="J112" s="590">
        <v>0.15108666666699999</v>
      </c>
      <c r="K112" s="593">
        <v>0.16734116071399999</v>
      </c>
    </row>
    <row r="113" spans="1:11" ht="14.4" customHeight="1" thickBot="1" x14ac:dyDescent="0.35">
      <c r="A113" s="610" t="s">
        <v>404</v>
      </c>
      <c r="B113" s="594">
        <v>217.99999999998801</v>
      </c>
      <c r="C113" s="594">
        <v>237.64115000000001</v>
      </c>
      <c r="D113" s="595">
        <v>19.641150000010999</v>
      </c>
      <c r="E113" s="601">
        <v>1.0900970183480001</v>
      </c>
      <c r="F113" s="594">
        <v>223.99999999999599</v>
      </c>
      <c r="G113" s="595">
        <v>37.333333333332</v>
      </c>
      <c r="H113" s="597">
        <v>19.115749999999998</v>
      </c>
      <c r="I113" s="594">
        <v>37.48442</v>
      </c>
      <c r="J113" s="595">
        <v>0.15108666666699999</v>
      </c>
      <c r="K113" s="602">
        <v>0.16734116071399999</v>
      </c>
    </row>
    <row r="114" spans="1:11" ht="14.4" customHeight="1" thickBot="1" x14ac:dyDescent="0.35">
      <c r="A114" s="611" t="s">
        <v>405</v>
      </c>
      <c r="B114" s="589">
        <v>217.99999999998801</v>
      </c>
      <c r="C114" s="589">
        <v>237.64115000000001</v>
      </c>
      <c r="D114" s="590">
        <v>19.641150000010999</v>
      </c>
      <c r="E114" s="591">
        <v>1.0900970183480001</v>
      </c>
      <c r="F114" s="589">
        <v>223.99999999999599</v>
      </c>
      <c r="G114" s="590">
        <v>37.333333333332</v>
      </c>
      <c r="H114" s="592">
        <v>19.115749999999998</v>
      </c>
      <c r="I114" s="589">
        <v>37.48442</v>
      </c>
      <c r="J114" s="590">
        <v>0.15108666666699999</v>
      </c>
      <c r="K114" s="593">
        <v>0.16734116071399999</v>
      </c>
    </row>
    <row r="115" spans="1:11" ht="14.4" customHeight="1" thickBot="1" x14ac:dyDescent="0.35">
      <c r="A115" s="608" t="s">
        <v>406</v>
      </c>
      <c r="B115" s="589">
        <v>0</v>
      </c>
      <c r="C115" s="589">
        <v>429.02379999999999</v>
      </c>
      <c r="D115" s="590">
        <v>429.02379999999999</v>
      </c>
      <c r="E115" s="599" t="s">
        <v>299</v>
      </c>
      <c r="F115" s="589">
        <v>0</v>
      </c>
      <c r="G115" s="590">
        <v>0</v>
      </c>
      <c r="H115" s="592">
        <v>4.9406564584124654E-324</v>
      </c>
      <c r="I115" s="589">
        <v>10.752000000000001</v>
      </c>
      <c r="J115" s="590">
        <v>10.752000000000001</v>
      </c>
      <c r="K115" s="600" t="s">
        <v>299</v>
      </c>
    </row>
    <row r="116" spans="1:11" ht="14.4" customHeight="1" thickBot="1" x14ac:dyDescent="0.35">
      <c r="A116" s="609" t="s">
        <v>407</v>
      </c>
      <c r="B116" s="589">
        <v>0</v>
      </c>
      <c r="C116" s="589">
        <v>194.18799999999899</v>
      </c>
      <c r="D116" s="590">
        <v>194.18799999999899</v>
      </c>
      <c r="E116" s="599" t="s">
        <v>299</v>
      </c>
      <c r="F116" s="589">
        <v>0</v>
      </c>
      <c r="G116" s="590">
        <v>0</v>
      </c>
      <c r="H116" s="592">
        <v>4.9406564584124654E-324</v>
      </c>
      <c r="I116" s="589">
        <v>9.8813129168249309E-324</v>
      </c>
      <c r="J116" s="590">
        <v>9.8813129168249309E-324</v>
      </c>
      <c r="K116" s="600" t="s">
        <v>299</v>
      </c>
    </row>
    <row r="117" spans="1:11" ht="14.4" customHeight="1" thickBot="1" x14ac:dyDescent="0.35">
      <c r="A117" s="610" t="s">
        <v>408</v>
      </c>
      <c r="B117" s="594">
        <v>0</v>
      </c>
      <c r="C117" s="594">
        <v>194.18799999999899</v>
      </c>
      <c r="D117" s="595">
        <v>194.18799999999899</v>
      </c>
      <c r="E117" s="596" t="s">
        <v>299</v>
      </c>
      <c r="F117" s="594">
        <v>0</v>
      </c>
      <c r="G117" s="595">
        <v>0</v>
      </c>
      <c r="H117" s="597">
        <v>4.9406564584124654E-324</v>
      </c>
      <c r="I117" s="594">
        <v>9.8813129168249309E-324</v>
      </c>
      <c r="J117" s="595">
        <v>9.8813129168249309E-324</v>
      </c>
      <c r="K117" s="598" t="s">
        <v>299</v>
      </c>
    </row>
    <row r="118" spans="1:11" ht="14.4" customHeight="1" thickBot="1" x14ac:dyDescent="0.35">
      <c r="A118" s="611" t="s">
        <v>409</v>
      </c>
      <c r="B118" s="589">
        <v>0</v>
      </c>
      <c r="C118" s="589">
        <v>194.18799999999899</v>
      </c>
      <c r="D118" s="590">
        <v>194.18799999999899</v>
      </c>
      <c r="E118" s="599" t="s">
        <v>299</v>
      </c>
      <c r="F118" s="589">
        <v>0</v>
      </c>
      <c r="G118" s="590">
        <v>0</v>
      </c>
      <c r="H118" s="592">
        <v>4.9406564584124654E-324</v>
      </c>
      <c r="I118" s="589">
        <v>9.8813129168249309E-324</v>
      </c>
      <c r="J118" s="590">
        <v>9.8813129168249309E-324</v>
      </c>
      <c r="K118" s="600" t="s">
        <v>299</v>
      </c>
    </row>
    <row r="119" spans="1:11" ht="14.4" customHeight="1" thickBot="1" x14ac:dyDescent="0.35">
      <c r="A119" s="609" t="s">
        <v>410</v>
      </c>
      <c r="B119" s="589">
        <v>0</v>
      </c>
      <c r="C119" s="589">
        <v>234.83580000000001</v>
      </c>
      <c r="D119" s="590">
        <v>234.83580000000001</v>
      </c>
      <c r="E119" s="599" t="s">
        <v>299</v>
      </c>
      <c r="F119" s="589">
        <v>0</v>
      </c>
      <c r="G119" s="590">
        <v>0</v>
      </c>
      <c r="H119" s="592">
        <v>4.9406564584124654E-324</v>
      </c>
      <c r="I119" s="589">
        <v>10.752000000000001</v>
      </c>
      <c r="J119" s="590">
        <v>10.752000000000001</v>
      </c>
      <c r="K119" s="600" t="s">
        <v>299</v>
      </c>
    </row>
    <row r="120" spans="1:11" ht="14.4" customHeight="1" thickBot="1" x14ac:dyDescent="0.35">
      <c r="A120" s="610" t="s">
        <v>411</v>
      </c>
      <c r="B120" s="594">
        <v>0</v>
      </c>
      <c r="C120" s="594">
        <v>215.46180000000001</v>
      </c>
      <c r="D120" s="595">
        <v>215.46180000000001</v>
      </c>
      <c r="E120" s="596" t="s">
        <v>299</v>
      </c>
      <c r="F120" s="594">
        <v>0</v>
      </c>
      <c r="G120" s="595">
        <v>0</v>
      </c>
      <c r="H120" s="597">
        <v>4.9406564584124654E-324</v>
      </c>
      <c r="I120" s="594">
        <v>7.952</v>
      </c>
      <c r="J120" s="595">
        <v>7.952</v>
      </c>
      <c r="K120" s="598" t="s">
        <v>299</v>
      </c>
    </row>
    <row r="121" spans="1:11" ht="14.4" customHeight="1" thickBot="1" x14ac:dyDescent="0.35">
      <c r="A121" s="611" t="s">
        <v>412</v>
      </c>
      <c r="B121" s="589">
        <v>4.9406564584124654E-324</v>
      </c>
      <c r="C121" s="589">
        <v>4.1420000000000003</v>
      </c>
      <c r="D121" s="590">
        <v>4.1420000000000003</v>
      </c>
      <c r="E121" s="599" t="s">
        <v>305</v>
      </c>
      <c r="F121" s="589">
        <v>0</v>
      </c>
      <c r="G121" s="590">
        <v>0</v>
      </c>
      <c r="H121" s="592">
        <v>4.9406564584124654E-324</v>
      </c>
      <c r="I121" s="589">
        <v>9.8813129168249309E-324</v>
      </c>
      <c r="J121" s="590">
        <v>9.8813129168249309E-324</v>
      </c>
      <c r="K121" s="600" t="s">
        <v>299</v>
      </c>
    </row>
    <row r="122" spans="1:11" ht="14.4" customHeight="1" thickBot="1" x14ac:dyDescent="0.35">
      <c r="A122" s="611" t="s">
        <v>413</v>
      </c>
      <c r="B122" s="589">
        <v>0</v>
      </c>
      <c r="C122" s="589">
        <v>211.21979999999999</v>
      </c>
      <c r="D122" s="590">
        <v>211.21979999999999</v>
      </c>
      <c r="E122" s="599" t="s">
        <v>299</v>
      </c>
      <c r="F122" s="589">
        <v>0</v>
      </c>
      <c r="G122" s="590">
        <v>0</v>
      </c>
      <c r="H122" s="592">
        <v>4.9406564584124654E-324</v>
      </c>
      <c r="I122" s="589">
        <v>7.952</v>
      </c>
      <c r="J122" s="590">
        <v>7.952</v>
      </c>
      <c r="K122" s="600" t="s">
        <v>299</v>
      </c>
    </row>
    <row r="123" spans="1:11" ht="14.4" customHeight="1" thickBot="1" x14ac:dyDescent="0.35">
      <c r="A123" s="611" t="s">
        <v>414</v>
      </c>
      <c r="B123" s="589">
        <v>4.9406564584124654E-324</v>
      </c>
      <c r="C123" s="589">
        <v>9.9999999999E-2</v>
      </c>
      <c r="D123" s="590">
        <v>9.9999999999E-2</v>
      </c>
      <c r="E123" s="599" t="s">
        <v>305</v>
      </c>
      <c r="F123" s="589">
        <v>0</v>
      </c>
      <c r="G123" s="590">
        <v>0</v>
      </c>
      <c r="H123" s="592">
        <v>4.9406564584124654E-324</v>
      </c>
      <c r="I123" s="589">
        <v>9.8813129168249309E-324</v>
      </c>
      <c r="J123" s="590">
        <v>9.8813129168249309E-324</v>
      </c>
      <c r="K123" s="600" t="s">
        <v>299</v>
      </c>
    </row>
    <row r="124" spans="1:11" ht="14.4" customHeight="1" thickBot="1" x14ac:dyDescent="0.35">
      <c r="A124" s="610" t="s">
        <v>415</v>
      </c>
      <c r="B124" s="594">
        <v>4.9406564584124654E-324</v>
      </c>
      <c r="C124" s="594">
        <v>1.48</v>
      </c>
      <c r="D124" s="595">
        <v>1.48</v>
      </c>
      <c r="E124" s="596" t="s">
        <v>305</v>
      </c>
      <c r="F124" s="594">
        <v>0</v>
      </c>
      <c r="G124" s="595">
        <v>0</v>
      </c>
      <c r="H124" s="597">
        <v>4.9406564584124654E-324</v>
      </c>
      <c r="I124" s="594">
        <v>9.8813129168249309E-324</v>
      </c>
      <c r="J124" s="595">
        <v>9.8813129168249309E-324</v>
      </c>
      <c r="K124" s="598" t="s">
        <v>299</v>
      </c>
    </row>
    <row r="125" spans="1:11" ht="14.4" customHeight="1" thickBot="1" x14ac:dyDescent="0.35">
      <c r="A125" s="611" t="s">
        <v>416</v>
      </c>
      <c r="B125" s="589">
        <v>4.9406564584124654E-324</v>
      </c>
      <c r="C125" s="589">
        <v>1.48</v>
      </c>
      <c r="D125" s="590">
        <v>1.48</v>
      </c>
      <c r="E125" s="599" t="s">
        <v>305</v>
      </c>
      <c r="F125" s="589">
        <v>0</v>
      </c>
      <c r="G125" s="590">
        <v>0</v>
      </c>
      <c r="H125" s="592">
        <v>4.9406564584124654E-324</v>
      </c>
      <c r="I125" s="589">
        <v>9.8813129168249309E-324</v>
      </c>
      <c r="J125" s="590">
        <v>9.8813129168249309E-324</v>
      </c>
      <c r="K125" s="600" t="s">
        <v>299</v>
      </c>
    </row>
    <row r="126" spans="1:11" ht="14.4" customHeight="1" thickBot="1" x14ac:dyDescent="0.35">
      <c r="A126" s="613" t="s">
        <v>417</v>
      </c>
      <c r="B126" s="589">
        <v>4.9406564584124654E-324</v>
      </c>
      <c r="C126" s="589">
        <v>14.394</v>
      </c>
      <c r="D126" s="590">
        <v>14.394</v>
      </c>
      <c r="E126" s="599" t="s">
        <v>305</v>
      </c>
      <c r="F126" s="589">
        <v>0</v>
      </c>
      <c r="G126" s="590">
        <v>0</v>
      </c>
      <c r="H126" s="592">
        <v>4.9406564584124654E-324</v>
      </c>
      <c r="I126" s="589">
        <v>9.8813129168249309E-324</v>
      </c>
      <c r="J126" s="590">
        <v>9.8813129168249309E-324</v>
      </c>
      <c r="K126" s="600" t="s">
        <v>299</v>
      </c>
    </row>
    <row r="127" spans="1:11" ht="14.4" customHeight="1" thickBot="1" x14ac:dyDescent="0.35">
      <c r="A127" s="611" t="s">
        <v>418</v>
      </c>
      <c r="B127" s="589">
        <v>4.9406564584124654E-324</v>
      </c>
      <c r="C127" s="589">
        <v>14.394</v>
      </c>
      <c r="D127" s="590">
        <v>14.394</v>
      </c>
      <c r="E127" s="599" t="s">
        <v>305</v>
      </c>
      <c r="F127" s="589">
        <v>0</v>
      </c>
      <c r="G127" s="590">
        <v>0</v>
      </c>
      <c r="H127" s="592">
        <v>4.9406564584124654E-324</v>
      </c>
      <c r="I127" s="589">
        <v>9.8813129168249309E-324</v>
      </c>
      <c r="J127" s="590">
        <v>9.8813129168249309E-324</v>
      </c>
      <c r="K127" s="600" t="s">
        <v>299</v>
      </c>
    </row>
    <row r="128" spans="1:11" ht="14.4" customHeight="1" thickBot="1" x14ac:dyDescent="0.35">
      <c r="A128" s="613" t="s">
        <v>419</v>
      </c>
      <c r="B128" s="589">
        <v>0</v>
      </c>
      <c r="C128" s="589">
        <v>3.5</v>
      </c>
      <c r="D128" s="590">
        <v>3.5</v>
      </c>
      <c r="E128" s="599" t="s">
        <v>299</v>
      </c>
      <c r="F128" s="589">
        <v>0</v>
      </c>
      <c r="G128" s="590">
        <v>0</v>
      </c>
      <c r="H128" s="592">
        <v>4.9406564584124654E-324</v>
      </c>
      <c r="I128" s="589">
        <v>2.8</v>
      </c>
      <c r="J128" s="590">
        <v>2.8</v>
      </c>
      <c r="K128" s="600" t="s">
        <v>299</v>
      </c>
    </row>
    <row r="129" spans="1:11" ht="14.4" customHeight="1" thickBot="1" x14ac:dyDescent="0.35">
      <c r="A129" s="611" t="s">
        <v>420</v>
      </c>
      <c r="B129" s="589">
        <v>0</v>
      </c>
      <c r="C129" s="589">
        <v>3.5</v>
      </c>
      <c r="D129" s="590">
        <v>3.5</v>
      </c>
      <c r="E129" s="599" t="s">
        <v>299</v>
      </c>
      <c r="F129" s="589">
        <v>0</v>
      </c>
      <c r="G129" s="590">
        <v>0</v>
      </c>
      <c r="H129" s="592">
        <v>4.9406564584124654E-324</v>
      </c>
      <c r="I129" s="589">
        <v>2.8</v>
      </c>
      <c r="J129" s="590">
        <v>2.8</v>
      </c>
      <c r="K129" s="600" t="s">
        <v>299</v>
      </c>
    </row>
    <row r="130" spans="1:11" ht="14.4" customHeight="1" thickBot="1" x14ac:dyDescent="0.35">
      <c r="A130" s="608" t="s">
        <v>421</v>
      </c>
      <c r="B130" s="589">
        <v>1799.9999999999</v>
      </c>
      <c r="C130" s="589">
        <v>1919.134</v>
      </c>
      <c r="D130" s="590">
        <v>119.1340000001</v>
      </c>
      <c r="E130" s="591">
        <v>1.0661855555549999</v>
      </c>
      <c r="F130" s="589">
        <v>1811.98979524115</v>
      </c>
      <c r="G130" s="590">
        <v>301.99829920685897</v>
      </c>
      <c r="H130" s="592">
        <v>156.744</v>
      </c>
      <c r="I130" s="589">
        <v>313.49000000000098</v>
      </c>
      <c r="J130" s="590">
        <v>11.491700793142</v>
      </c>
      <c r="K130" s="593">
        <v>0.173008700613</v>
      </c>
    </row>
    <row r="131" spans="1:11" ht="14.4" customHeight="1" thickBot="1" x14ac:dyDescent="0.35">
      <c r="A131" s="609" t="s">
        <v>422</v>
      </c>
      <c r="B131" s="589">
        <v>1799.9999999999</v>
      </c>
      <c r="C131" s="589">
        <v>1803.848</v>
      </c>
      <c r="D131" s="590">
        <v>3.8480000000989998</v>
      </c>
      <c r="E131" s="591">
        <v>1.002137777777</v>
      </c>
      <c r="F131" s="589">
        <v>1811.98979524115</v>
      </c>
      <c r="G131" s="590">
        <v>301.99829920685897</v>
      </c>
      <c r="H131" s="592">
        <v>156.744</v>
      </c>
      <c r="I131" s="589">
        <v>313.49000000000098</v>
      </c>
      <c r="J131" s="590">
        <v>11.491700793142</v>
      </c>
      <c r="K131" s="593">
        <v>0.173008700613</v>
      </c>
    </row>
    <row r="132" spans="1:11" ht="14.4" customHeight="1" thickBot="1" x14ac:dyDescent="0.35">
      <c r="A132" s="610" t="s">
        <v>423</v>
      </c>
      <c r="B132" s="594">
        <v>1799.9999999999</v>
      </c>
      <c r="C132" s="594">
        <v>1790.5429999999999</v>
      </c>
      <c r="D132" s="595">
        <v>-9.4569999999000007</v>
      </c>
      <c r="E132" s="601">
        <v>0.99474611111099998</v>
      </c>
      <c r="F132" s="594">
        <v>1811.98979524115</v>
      </c>
      <c r="G132" s="595">
        <v>301.99829920685897</v>
      </c>
      <c r="H132" s="597">
        <v>156.744</v>
      </c>
      <c r="I132" s="594">
        <v>313.49000000000098</v>
      </c>
      <c r="J132" s="595">
        <v>11.491700793142</v>
      </c>
      <c r="K132" s="602">
        <v>0.173008700613</v>
      </c>
    </row>
    <row r="133" spans="1:11" ht="14.4" customHeight="1" thickBot="1" x14ac:dyDescent="0.35">
      <c r="A133" s="611" t="s">
        <v>424</v>
      </c>
      <c r="B133" s="589">
        <v>65.999999999996007</v>
      </c>
      <c r="C133" s="589">
        <v>70.944999999999993</v>
      </c>
      <c r="D133" s="590">
        <v>4.9450000000029997</v>
      </c>
      <c r="E133" s="591">
        <v>1.074924242424</v>
      </c>
      <c r="F133" s="589">
        <v>72.997099726174</v>
      </c>
      <c r="G133" s="590">
        <v>12.166183287695</v>
      </c>
      <c r="H133" s="592">
        <v>6.0460000000000003</v>
      </c>
      <c r="I133" s="589">
        <v>12.092000000000001</v>
      </c>
      <c r="J133" s="590">
        <v>-7.4183287695000003E-2</v>
      </c>
      <c r="K133" s="593">
        <v>0.16565041687000001</v>
      </c>
    </row>
    <row r="134" spans="1:11" ht="14.4" customHeight="1" thickBot="1" x14ac:dyDescent="0.35">
      <c r="A134" s="611" t="s">
        <v>425</v>
      </c>
      <c r="B134" s="589">
        <v>871.99999999995202</v>
      </c>
      <c r="C134" s="589">
        <v>821.20399999999995</v>
      </c>
      <c r="D134" s="590">
        <v>-50.795999999951</v>
      </c>
      <c r="E134" s="591">
        <v>0.94174770642200001</v>
      </c>
      <c r="F134" s="589">
        <v>860.99999999998397</v>
      </c>
      <c r="G134" s="590">
        <v>143.49999999999699</v>
      </c>
      <c r="H134" s="592">
        <v>75.769000000000005</v>
      </c>
      <c r="I134" s="589">
        <v>151.53899999999999</v>
      </c>
      <c r="J134" s="590">
        <v>8.039000000003</v>
      </c>
      <c r="K134" s="593">
        <v>0.17600348431999999</v>
      </c>
    </row>
    <row r="135" spans="1:11" ht="14.4" customHeight="1" thickBot="1" x14ac:dyDescent="0.35">
      <c r="A135" s="611" t="s">
        <v>426</v>
      </c>
      <c r="B135" s="589">
        <v>548.99999999996999</v>
      </c>
      <c r="C135" s="589">
        <v>581.81600000000003</v>
      </c>
      <c r="D135" s="590">
        <v>32.816000000030002</v>
      </c>
      <c r="E135" s="591">
        <v>1.05977413479</v>
      </c>
      <c r="F135" s="589">
        <v>592.99269551499697</v>
      </c>
      <c r="G135" s="590">
        <v>98.832115919166</v>
      </c>
      <c r="H135" s="592">
        <v>49.387</v>
      </c>
      <c r="I135" s="589">
        <v>98.774000000000001</v>
      </c>
      <c r="J135" s="590">
        <v>-5.8115919165000002E-2</v>
      </c>
      <c r="K135" s="593">
        <v>0.16656866222300001</v>
      </c>
    </row>
    <row r="136" spans="1:11" ht="14.4" customHeight="1" thickBot="1" x14ac:dyDescent="0.35">
      <c r="A136" s="611" t="s">
        <v>427</v>
      </c>
      <c r="B136" s="589">
        <v>312.999999999983</v>
      </c>
      <c r="C136" s="589">
        <v>316.57799999999997</v>
      </c>
      <c r="D136" s="590">
        <v>3.578000000017</v>
      </c>
      <c r="E136" s="591">
        <v>1.011431309904</v>
      </c>
      <c r="F136" s="589">
        <v>284.999999999995</v>
      </c>
      <c r="G136" s="590">
        <v>47.499999999998998</v>
      </c>
      <c r="H136" s="592">
        <v>25.542000000000002</v>
      </c>
      <c r="I136" s="589">
        <v>51.085000000000001</v>
      </c>
      <c r="J136" s="590">
        <v>3.5850000000010001</v>
      </c>
      <c r="K136" s="593">
        <v>0.179245614035</v>
      </c>
    </row>
    <row r="137" spans="1:11" ht="14.4" customHeight="1" thickBot="1" x14ac:dyDescent="0.35">
      <c r="A137" s="610" t="s">
        <v>428</v>
      </c>
      <c r="B137" s="594">
        <v>0</v>
      </c>
      <c r="C137" s="594">
        <v>13.305</v>
      </c>
      <c r="D137" s="595">
        <v>13.305</v>
      </c>
      <c r="E137" s="596" t="s">
        <v>299</v>
      </c>
      <c r="F137" s="594">
        <v>0</v>
      </c>
      <c r="G137" s="595">
        <v>0</v>
      </c>
      <c r="H137" s="597">
        <v>4.9406564584124654E-324</v>
      </c>
      <c r="I137" s="594">
        <v>9.8813129168249309E-324</v>
      </c>
      <c r="J137" s="595">
        <v>9.8813129168249309E-324</v>
      </c>
      <c r="K137" s="598" t="s">
        <v>299</v>
      </c>
    </row>
    <row r="138" spans="1:11" ht="14.4" customHeight="1" thickBot="1" x14ac:dyDescent="0.35">
      <c r="A138" s="611" t="s">
        <v>429</v>
      </c>
      <c r="B138" s="589">
        <v>0</v>
      </c>
      <c r="C138" s="589">
        <v>13.305</v>
      </c>
      <c r="D138" s="590">
        <v>13.305</v>
      </c>
      <c r="E138" s="599" t="s">
        <v>299</v>
      </c>
      <c r="F138" s="589">
        <v>0</v>
      </c>
      <c r="G138" s="590">
        <v>0</v>
      </c>
      <c r="H138" s="592">
        <v>4.9406564584124654E-324</v>
      </c>
      <c r="I138" s="589">
        <v>9.8813129168249309E-324</v>
      </c>
      <c r="J138" s="590">
        <v>9.8813129168249309E-324</v>
      </c>
      <c r="K138" s="600" t="s">
        <v>299</v>
      </c>
    </row>
    <row r="139" spans="1:11" ht="14.4" customHeight="1" thickBot="1" x14ac:dyDescent="0.35">
      <c r="A139" s="609" t="s">
        <v>430</v>
      </c>
      <c r="B139" s="589">
        <v>0</v>
      </c>
      <c r="C139" s="589">
        <v>115.286</v>
      </c>
      <c r="D139" s="590">
        <v>115.286</v>
      </c>
      <c r="E139" s="599" t="s">
        <v>299</v>
      </c>
      <c r="F139" s="589">
        <v>0</v>
      </c>
      <c r="G139" s="590">
        <v>0</v>
      </c>
      <c r="H139" s="592">
        <v>4.9406564584124654E-324</v>
      </c>
      <c r="I139" s="589">
        <v>9.8813129168249309E-324</v>
      </c>
      <c r="J139" s="590">
        <v>9.8813129168249309E-324</v>
      </c>
      <c r="K139" s="600" t="s">
        <v>299</v>
      </c>
    </row>
    <row r="140" spans="1:11" ht="14.4" customHeight="1" thickBot="1" x14ac:dyDescent="0.35">
      <c r="A140" s="610" t="s">
        <v>431</v>
      </c>
      <c r="B140" s="594">
        <v>0</v>
      </c>
      <c r="C140" s="594">
        <v>111.55200000000001</v>
      </c>
      <c r="D140" s="595">
        <v>111.55200000000001</v>
      </c>
      <c r="E140" s="596" t="s">
        <v>299</v>
      </c>
      <c r="F140" s="594">
        <v>0</v>
      </c>
      <c r="G140" s="595">
        <v>0</v>
      </c>
      <c r="H140" s="597">
        <v>4.9406564584124654E-324</v>
      </c>
      <c r="I140" s="594">
        <v>9.8813129168249309E-324</v>
      </c>
      <c r="J140" s="595">
        <v>9.8813129168249309E-324</v>
      </c>
      <c r="K140" s="598" t="s">
        <v>299</v>
      </c>
    </row>
    <row r="141" spans="1:11" ht="14.4" customHeight="1" thickBot="1" x14ac:dyDescent="0.35">
      <c r="A141" s="611" t="s">
        <v>432</v>
      </c>
      <c r="B141" s="589">
        <v>0</v>
      </c>
      <c r="C141" s="589">
        <v>5.79</v>
      </c>
      <c r="D141" s="590">
        <v>5.79</v>
      </c>
      <c r="E141" s="599" t="s">
        <v>299</v>
      </c>
      <c r="F141" s="589">
        <v>0</v>
      </c>
      <c r="G141" s="590">
        <v>0</v>
      </c>
      <c r="H141" s="592">
        <v>4.9406564584124654E-324</v>
      </c>
      <c r="I141" s="589">
        <v>9.8813129168249309E-324</v>
      </c>
      <c r="J141" s="590">
        <v>9.8813129168249309E-324</v>
      </c>
      <c r="K141" s="600" t="s">
        <v>299</v>
      </c>
    </row>
    <row r="142" spans="1:11" ht="14.4" customHeight="1" thickBot="1" x14ac:dyDescent="0.35">
      <c r="A142" s="611" t="s">
        <v>433</v>
      </c>
      <c r="B142" s="589">
        <v>4.9406564584124654E-324</v>
      </c>
      <c r="C142" s="589">
        <v>105.762</v>
      </c>
      <c r="D142" s="590">
        <v>105.762</v>
      </c>
      <c r="E142" s="599" t="s">
        <v>305</v>
      </c>
      <c r="F142" s="589">
        <v>0</v>
      </c>
      <c r="G142" s="590">
        <v>0</v>
      </c>
      <c r="H142" s="592">
        <v>4.9406564584124654E-324</v>
      </c>
      <c r="I142" s="589">
        <v>9.8813129168249309E-324</v>
      </c>
      <c r="J142" s="590">
        <v>9.8813129168249309E-324</v>
      </c>
      <c r="K142" s="600" t="s">
        <v>299</v>
      </c>
    </row>
    <row r="143" spans="1:11" ht="14.4" customHeight="1" thickBot="1" x14ac:dyDescent="0.35">
      <c r="A143" s="610" t="s">
        <v>434</v>
      </c>
      <c r="B143" s="594">
        <v>0</v>
      </c>
      <c r="C143" s="594">
        <v>3.734</v>
      </c>
      <c r="D143" s="595">
        <v>3.734</v>
      </c>
      <c r="E143" s="596" t="s">
        <v>299</v>
      </c>
      <c r="F143" s="594">
        <v>0</v>
      </c>
      <c r="G143" s="595">
        <v>0</v>
      </c>
      <c r="H143" s="597">
        <v>4.9406564584124654E-324</v>
      </c>
      <c r="I143" s="594">
        <v>9.8813129168249309E-324</v>
      </c>
      <c r="J143" s="595">
        <v>9.8813129168249309E-324</v>
      </c>
      <c r="K143" s="598" t="s">
        <v>299</v>
      </c>
    </row>
    <row r="144" spans="1:11" ht="14.4" customHeight="1" thickBot="1" x14ac:dyDescent="0.35">
      <c r="A144" s="611" t="s">
        <v>435</v>
      </c>
      <c r="B144" s="589">
        <v>0</v>
      </c>
      <c r="C144" s="589">
        <v>3.734</v>
      </c>
      <c r="D144" s="590">
        <v>3.734</v>
      </c>
      <c r="E144" s="599" t="s">
        <v>299</v>
      </c>
      <c r="F144" s="589">
        <v>0</v>
      </c>
      <c r="G144" s="590">
        <v>0</v>
      </c>
      <c r="H144" s="592">
        <v>4.9406564584124654E-324</v>
      </c>
      <c r="I144" s="589">
        <v>9.8813129168249309E-324</v>
      </c>
      <c r="J144" s="590">
        <v>9.8813129168249309E-324</v>
      </c>
      <c r="K144" s="600" t="s">
        <v>299</v>
      </c>
    </row>
    <row r="145" spans="1:11" ht="14.4" customHeight="1" thickBot="1" x14ac:dyDescent="0.35">
      <c r="A145" s="607" t="s">
        <v>436</v>
      </c>
      <c r="B145" s="589">
        <v>47539.789909440799</v>
      </c>
      <c r="C145" s="589">
        <v>51891.531589999999</v>
      </c>
      <c r="D145" s="590">
        <v>4351.7416805591602</v>
      </c>
      <c r="E145" s="591">
        <v>1.0915389337820001</v>
      </c>
      <c r="F145" s="589">
        <v>46797.731861497399</v>
      </c>
      <c r="G145" s="590">
        <v>7799.6219769162399</v>
      </c>
      <c r="H145" s="592">
        <v>3186.2990500000001</v>
      </c>
      <c r="I145" s="589">
        <v>7100.89005</v>
      </c>
      <c r="J145" s="590">
        <v>-698.73192691623899</v>
      </c>
      <c r="K145" s="593">
        <v>0.15173577366900001</v>
      </c>
    </row>
    <row r="146" spans="1:11" ht="14.4" customHeight="1" thickBot="1" x14ac:dyDescent="0.35">
      <c r="A146" s="608" t="s">
        <v>437</v>
      </c>
      <c r="B146" s="589">
        <v>47170.656048515899</v>
      </c>
      <c r="C146" s="589">
        <v>51324.227209999997</v>
      </c>
      <c r="D146" s="590">
        <v>4153.5711614840602</v>
      </c>
      <c r="E146" s="591">
        <v>1.088054131729</v>
      </c>
      <c r="F146" s="589">
        <v>46797.731861497399</v>
      </c>
      <c r="G146" s="590">
        <v>7799.6219769162399</v>
      </c>
      <c r="H146" s="592">
        <v>3186.27405</v>
      </c>
      <c r="I146" s="589">
        <v>7100.8350499999997</v>
      </c>
      <c r="J146" s="590">
        <v>-698.78692691623905</v>
      </c>
      <c r="K146" s="593">
        <v>0.151734598399</v>
      </c>
    </row>
    <row r="147" spans="1:11" ht="14.4" customHeight="1" thickBot="1" x14ac:dyDescent="0.35">
      <c r="A147" s="609" t="s">
        <v>438</v>
      </c>
      <c r="B147" s="589">
        <v>47170.656048515899</v>
      </c>
      <c r="C147" s="589">
        <v>51324.227209999997</v>
      </c>
      <c r="D147" s="590">
        <v>4153.5711614840602</v>
      </c>
      <c r="E147" s="591">
        <v>1.088054131729</v>
      </c>
      <c r="F147" s="589">
        <v>46797.731861497399</v>
      </c>
      <c r="G147" s="590">
        <v>7799.6219769162399</v>
      </c>
      <c r="H147" s="592">
        <v>3186.27405</v>
      </c>
      <c r="I147" s="589">
        <v>7100.8350499999997</v>
      </c>
      <c r="J147" s="590">
        <v>-698.78692691623905</v>
      </c>
      <c r="K147" s="593">
        <v>0.151734598399</v>
      </c>
    </row>
    <row r="148" spans="1:11" ht="14.4" customHeight="1" thickBot="1" x14ac:dyDescent="0.35">
      <c r="A148" s="610" t="s">
        <v>439</v>
      </c>
      <c r="B148" s="594">
        <v>0.65494229075800003</v>
      </c>
      <c r="C148" s="594">
        <v>330.09640000000002</v>
      </c>
      <c r="D148" s="595">
        <v>329.441457709242</v>
      </c>
      <c r="E148" s="601">
        <v>504.00837548266202</v>
      </c>
      <c r="F148" s="594">
        <v>0.73186149742499995</v>
      </c>
      <c r="G148" s="595">
        <v>0.12197691623699999</v>
      </c>
      <c r="H148" s="597">
        <v>7.8509999999999996E-2</v>
      </c>
      <c r="I148" s="594">
        <v>0.14380999999999999</v>
      </c>
      <c r="J148" s="595">
        <v>2.1833083762000001E-2</v>
      </c>
      <c r="K148" s="602">
        <v>0.196498928425</v>
      </c>
    </row>
    <row r="149" spans="1:11" ht="14.4" customHeight="1" thickBot="1" x14ac:dyDescent="0.35">
      <c r="A149" s="611" t="s">
        <v>440</v>
      </c>
      <c r="B149" s="589">
        <v>0.33163004944300001</v>
      </c>
      <c r="C149" s="589">
        <v>4.9406564584124654E-324</v>
      </c>
      <c r="D149" s="590">
        <v>-0.33163004944300001</v>
      </c>
      <c r="E149" s="591">
        <v>1.4821969375237396E-323</v>
      </c>
      <c r="F149" s="589">
        <v>4.9406564584124654E-324</v>
      </c>
      <c r="G149" s="590">
        <v>0</v>
      </c>
      <c r="H149" s="592">
        <v>7.8509999999999996E-2</v>
      </c>
      <c r="I149" s="589">
        <v>0.14380999999999999</v>
      </c>
      <c r="J149" s="590">
        <v>0.14380999999999999</v>
      </c>
      <c r="K149" s="600" t="s">
        <v>305</v>
      </c>
    </row>
    <row r="150" spans="1:11" ht="14.4" customHeight="1" thickBot="1" x14ac:dyDescent="0.35">
      <c r="A150" s="611" t="s">
        <v>441</v>
      </c>
      <c r="B150" s="589">
        <v>6.1190644598999998E-2</v>
      </c>
      <c r="C150" s="589">
        <v>0.308</v>
      </c>
      <c r="D150" s="590">
        <v>0.24680935540000001</v>
      </c>
      <c r="E150" s="591">
        <v>5.03344918188</v>
      </c>
      <c r="F150" s="589">
        <v>0.32732594891900002</v>
      </c>
      <c r="G150" s="590">
        <v>5.4554324819000001E-2</v>
      </c>
      <c r="H150" s="592">
        <v>4.9406564584124654E-324</v>
      </c>
      <c r="I150" s="589">
        <v>9.8813129168249309E-324</v>
      </c>
      <c r="J150" s="590">
        <v>-5.4554324819000001E-2</v>
      </c>
      <c r="K150" s="593">
        <v>2.9643938750474793E-323</v>
      </c>
    </row>
    <row r="151" spans="1:11" ht="14.4" customHeight="1" thickBot="1" x14ac:dyDescent="0.35">
      <c r="A151" s="611" t="s">
        <v>442</v>
      </c>
      <c r="B151" s="589">
        <v>4.9406564584124654E-324</v>
      </c>
      <c r="C151" s="589">
        <v>329.41568000000001</v>
      </c>
      <c r="D151" s="590">
        <v>329.41568000000001</v>
      </c>
      <c r="E151" s="599" t="s">
        <v>305</v>
      </c>
      <c r="F151" s="589">
        <v>4.9406564584124654E-324</v>
      </c>
      <c r="G151" s="590">
        <v>0</v>
      </c>
      <c r="H151" s="592">
        <v>4.9406564584124654E-324</v>
      </c>
      <c r="I151" s="589">
        <v>9.8813129168249309E-324</v>
      </c>
      <c r="J151" s="590">
        <v>9.8813129168249309E-324</v>
      </c>
      <c r="K151" s="593">
        <v>2</v>
      </c>
    </row>
    <row r="152" spans="1:11" ht="14.4" customHeight="1" thickBot="1" x14ac:dyDescent="0.35">
      <c r="A152" s="611" t="s">
        <v>443</v>
      </c>
      <c r="B152" s="589">
        <v>0.26212159671500002</v>
      </c>
      <c r="C152" s="589">
        <v>0.37272</v>
      </c>
      <c r="D152" s="590">
        <v>0.110598403284</v>
      </c>
      <c r="E152" s="591">
        <v>1.421935485938</v>
      </c>
      <c r="F152" s="589">
        <v>0.40453554850500001</v>
      </c>
      <c r="G152" s="590">
        <v>6.7422591416999994E-2</v>
      </c>
      <c r="H152" s="592">
        <v>4.9406564584124654E-324</v>
      </c>
      <c r="I152" s="589">
        <v>9.8813129168249309E-324</v>
      </c>
      <c r="J152" s="590">
        <v>-6.7422591416999994E-2</v>
      </c>
      <c r="K152" s="593">
        <v>2.4703282292062327E-323</v>
      </c>
    </row>
    <row r="153" spans="1:11" ht="14.4" customHeight="1" thickBot="1" x14ac:dyDescent="0.35">
      <c r="A153" s="610" t="s">
        <v>444</v>
      </c>
      <c r="B153" s="594">
        <v>556.00775513628002</v>
      </c>
      <c r="C153" s="594">
        <v>12.8344</v>
      </c>
      <c r="D153" s="595">
        <v>-543.17335513628097</v>
      </c>
      <c r="E153" s="601">
        <v>2.3083131271E-2</v>
      </c>
      <c r="F153" s="594">
        <v>0</v>
      </c>
      <c r="G153" s="595">
        <v>0</v>
      </c>
      <c r="H153" s="597">
        <v>4.9406564584124654E-324</v>
      </c>
      <c r="I153" s="594">
        <v>9.8813129168249309E-324</v>
      </c>
      <c r="J153" s="595">
        <v>9.8813129168249309E-324</v>
      </c>
      <c r="K153" s="598" t="s">
        <v>299</v>
      </c>
    </row>
    <row r="154" spans="1:11" ht="14.4" customHeight="1" thickBot="1" x14ac:dyDescent="0.35">
      <c r="A154" s="611" t="s">
        <v>445</v>
      </c>
      <c r="B154" s="589">
        <v>556.00775513628002</v>
      </c>
      <c r="C154" s="589">
        <v>12.8344</v>
      </c>
      <c r="D154" s="590">
        <v>-543.17335513628097</v>
      </c>
      <c r="E154" s="591">
        <v>2.3083131271E-2</v>
      </c>
      <c r="F154" s="589">
        <v>0</v>
      </c>
      <c r="G154" s="590">
        <v>0</v>
      </c>
      <c r="H154" s="592">
        <v>4.9406564584124654E-324</v>
      </c>
      <c r="I154" s="589">
        <v>9.8813129168249309E-324</v>
      </c>
      <c r="J154" s="590">
        <v>9.8813129168249309E-324</v>
      </c>
      <c r="K154" s="600" t="s">
        <v>299</v>
      </c>
    </row>
    <row r="155" spans="1:11" ht="14.4" customHeight="1" thickBot="1" x14ac:dyDescent="0.35">
      <c r="A155" s="610" t="s">
        <v>446</v>
      </c>
      <c r="B155" s="594">
        <v>4.9406564584124654E-324</v>
      </c>
      <c r="C155" s="594">
        <v>-1.32321</v>
      </c>
      <c r="D155" s="595">
        <v>-1.32321</v>
      </c>
      <c r="E155" s="596" t="s">
        <v>305</v>
      </c>
      <c r="F155" s="594">
        <v>0</v>
      </c>
      <c r="G155" s="595">
        <v>0</v>
      </c>
      <c r="H155" s="597">
        <v>4.9406564584124654E-324</v>
      </c>
      <c r="I155" s="594">
        <v>9.8813129168249309E-324</v>
      </c>
      <c r="J155" s="595">
        <v>9.8813129168249309E-324</v>
      </c>
      <c r="K155" s="598" t="s">
        <v>299</v>
      </c>
    </row>
    <row r="156" spans="1:11" ht="14.4" customHeight="1" thickBot="1" x14ac:dyDescent="0.35">
      <c r="A156" s="611" t="s">
        <v>447</v>
      </c>
      <c r="B156" s="589">
        <v>4.9406564584124654E-324</v>
      </c>
      <c r="C156" s="589">
        <v>-1.32321</v>
      </c>
      <c r="D156" s="590">
        <v>-1.32321</v>
      </c>
      <c r="E156" s="599" t="s">
        <v>305</v>
      </c>
      <c r="F156" s="589">
        <v>0</v>
      </c>
      <c r="G156" s="590">
        <v>0</v>
      </c>
      <c r="H156" s="592">
        <v>4.9406564584124654E-324</v>
      </c>
      <c r="I156" s="589">
        <v>9.8813129168249309E-324</v>
      </c>
      <c r="J156" s="590">
        <v>9.8813129168249309E-324</v>
      </c>
      <c r="K156" s="600" t="s">
        <v>299</v>
      </c>
    </row>
    <row r="157" spans="1:11" ht="14.4" customHeight="1" thickBot="1" x14ac:dyDescent="0.35">
      <c r="A157" s="610" t="s">
        <v>448</v>
      </c>
      <c r="B157" s="594">
        <v>46421.999846016501</v>
      </c>
      <c r="C157" s="594">
        <v>48500.482600000003</v>
      </c>
      <c r="D157" s="595">
        <v>2078.4827539835201</v>
      </c>
      <c r="E157" s="601">
        <v>1.0447736581980001</v>
      </c>
      <c r="F157" s="594">
        <v>46797</v>
      </c>
      <c r="G157" s="595">
        <v>7799.5</v>
      </c>
      <c r="H157" s="597">
        <v>3122.1918700000001</v>
      </c>
      <c r="I157" s="594">
        <v>6909.6649500000003</v>
      </c>
      <c r="J157" s="595">
        <v>-889.83505000000298</v>
      </c>
      <c r="K157" s="602">
        <v>0.14765187832500001</v>
      </c>
    </row>
    <row r="158" spans="1:11" ht="14.4" customHeight="1" thickBot="1" x14ac:dyDescent="0.35">
      <c r="A158" s="611" t="s">
        <v>449</v>
      </c>
      <c r="B158" s="589">
        <v>23345.999929617599</v>
      </c>
      <c r="C158" s="589">
        <v>24709.30932</v>
      </c>
      <c r="D158" s="590">
        <v>1363.3093903824199</v>
      </c>
      <c r="E158" s="591">
        <v>1.058395844876</v>
      </c>
      <c r="F158" s="589">
        <v>25542</v>
      </c>
      <c r="G158" s="590">
        <v>4257</v>
      </c>
      <c r="H158" s="592">
        <v>1479.5454299999999</v>
      </c>
      <c r="I158" s="589">
        <v>3882.22471</v>
      </c>
      <c r="J158" s="590">
        <v>-374.775290000003</v>
      </c>
      <c r="K158" s="593">
        <v>0.151993763605</v>
      </c>
    </row>
    <row r="159" spans="1:11" ht="14.4" customHeight="1" thickBot="1" x14ac:dyDescent="0.35">
      <c r="A159" s="611" t="s">
        <v>450</v>
      </c>
      <c r="B159" s="589">
        <v>23075.999916398901</v>
      </c>
      <c r="C159" s="589">
        <v>23791.173279999999</v>
      </c>
      <c r="D159" s="590">
        <v>715.173363601098</v>
      </c>
      <c r="E159" s="591">
        <v>1.030992085551</v>
      </c>
      <c r="F159" s="589">
        <v>21255</v>
      </c>
      <c r="G159" s="590">
        <v>3542.5</v>
      </c>
      <c r="H159" s="592">
        <v>1642.64644</v>
      </c>
      <c r="I159" s="589">
        <v>3027.4402399999999</v>
      </c>
      <c r="J159" s="590">
        <v>-515.05975999999998</v>
      </c>
      <c r="K159" s="593">
        <v>0.14243426205500001</v>
      </c>
    </row>
    <row r="160" spans="1:11" ht="14.4" customHeight="1" thickBot="1" x14ac:dyDescent="0.35">
      <c r="A160" s="610" t="s">
        <v>451</v>
      </c>
      <c r="B160" s="594">
        <v>0</v>
      </c>
      <c r="C160" s="594">
        <v>2482.1370200000001</v>
      </c>
      <c r="D160" s="595">
        <v>2482.1370200000001</v>
      </c>
      <c r="E160" s="596" t="s">
        <v>299</v>
      </c>
      <c r="F160" s="594">
        <v>0</v>
      </c>
      <c r="G160" s="595">
        <v>0</v>
      </c>
      <c r="H160" s="597">
        <v>64.00367</v>
      </c>
      <c r="I160" s="594">
        <v>191.02628999999999</v>
      </c>
      <c r="J160" s="595">
        <v>191.02628999999999</v>
      </c>
      <c r="K160" s="598" t="s">
        <v>299</v>
      </c>
    </row>
    <row r="161" spans="1:11" ht="14.4" customHeight="1" thickBot="1" x14ac:dyDescent="0.35">
      <c r="A161" s="611" t="s">
        <v>452</v>
      </c>
      <c r="B161" s="589">
        <v>4.9406564584124654E-324</v>
      </c>
      <c r="C161" s="589">
        <v>1747.1069600000001</v>
      </c>
      <c r="D161" s="590">
        <v>1747.1069600000001</v>
      </c>
      <c r="E161" s="599" t="s">
        <v>305</v>
      </c>
      <c r="F161" s="589">
        <v>0</v>
      </c>
      <c r="G161" s="590">
        <v>0</v>
      </c>
      <c r="H161" s="592">
        <v>4.9406564584124654E-324</v>
      </c>
      <c r="I161" s="589">
        <v>127.02262</v>
      </c>
      <c r="J161" s="590">
        <v>127.02262</v>
      </c>
      <c r="K161" s="600" t="s">
        <v>299</v>
      </c>
    </row>
    <row r="162" spans="1:11" ht="14.4" customHeight="1" thickBot="1" x14ac:dyDescent="0.35">
      <c r="A162" s="611" t="s">
        <v>453</v>
      </c>
      <c r="B162" s="589">
        <v>0</v>
      </c>
      <c r="C162" s="589">
        <v>735.03006000000005</v>
      </c>
      <c r="D162" s="590">
        <v>735.03006000000005</v>
      </c>
      <c r="E162" s="599" t="s">
        <v>299</v>
      </c>
      <c r="F162" s="589">
        <v>0</v>
      </c>
      <c r="G162" s="590">
        <v>0</v>
      </c>
      <c r="H162" s="592">
        <v>64.00367</v>
      </c>
      <c r="I162" s="589">
        <v>64.00367</v>
      </c>
      <c r="J162" s="590">
        <v>64.00367</v>
      </c>
      <c r="K162" s="600" t="s">
        <v>299</v>
      </c>
    </row>
    <row r="163" spans="1:11" ht="14.4" customHeight="1" thickBot="1" x14ac:dyDescent="0.35">
      <c r="A163" s="608" t="s">
        <v>454</v>
      </c>
      <c r="B163" s="589">
        <v>369.13386092489702</v>
      </c>
      <c r="C163" s="589">
        <v>567.30438000000004</v>
      </c>
      <c r="D163" s="590">
        <v>198.17051907510299</v>
      </c>
      <c r="E163" s="591">
        <v>1.536852724858</v>
      </c>
      <c r="F163" s="589">
        <v>0</v>
      </c>
      <c r="G163" s="590">
        <v>0</v>
      </c>
      <c r="H163" s="592">
        <v>2.5000000000000001E-2</v>
      </c>
      <c r="I163" s="589">
        <v>5.5E-2</v>
      </c>
      <c r="J163" s="590">
        <v>5.5E-2</v>
      </c>
      <c r="K163" s="600" t="s">
        <v>299</v>
      </c>
    </row>
    <row r="164" spans="1:11" ht="14.4" customHeight="1" thickBot="1" x14ac:dyDescent="0.35">
      <c r="A164" s="609" t="s">
        <v>455</v>
      </c>
      <c r="B164" s="589">
        <v>369.13386092489702</v>
      </c>
      <c r="C164" s="589">
        <v>441.25544000000002</v>
      </c>
      <c r="D164" s="590">
        <v>72.121579075102005</v>
      </c>
      <c r="E164" s="591">
        <v>1.195380556241</v>
      </c>
      <c r="F164" s="589">
        <v>0</v>
      </c>
      <c r="G164" s="590">
        <v>0</v>
      </c>
      <c r="H164" s="592">
        <v>4.9406564584124654E-324</v>
      </c>
      <c r="I164" s="589">
        <v>9.8813129168249309E-324</v>
      </c>
      <c r="J164" s="590">
        <v>9.8813129168249309E-324</v>
      </c>
      <c r="K164" s="600" t="s">
        <v>299</v>
      </c>
    </row>
    <row r="165" spans="1:11" ht="14.4" customHeight="1" thickBot="1" x14ac:dyDescent="0.35">
      <c r="A165" s="610" t="s">
        <v>456</v>
      </c>
      <c r="B165" s="594">
        <v>369.13386092489702</v>
      </c>
      <c r="C165" s="594">
        <v>441.25544000000002</v>
      </c>
      <c r="D165" s="595">
        <v>72.121579075102005</v>
      </c>
      <c r="E165" s="601">
        <v>1.195380556241</v>
      </c>
      <c r="F165" s="594">
        <v>0</v>
      </c>
      <c r="G165" s="595">
        <v>0</v>
      </c>
      <c r="H165" s="597">
        <v>4.9406564584124654E-324</v>
      </c>
      <c r="I165" s="594">
        <v>9.8813129168249309E-324</v>
      </c>
      <c r="J165" s="595">
        <v>9.8813129168249309E-324</v>
      </c>
      <c r="K165" s="598" t="s">
        <v>299</v>
      </c>
    </row>
    <row r="166" spans="1:11" ht="14.4" customHeight="1" thickBot="1" x14ac:dyDescent="0.35">
      <c r="A166" s="611" t="s">
        <v>457</v>
      </c>
      <c r="B166" s="589">
        <v>0</v>
      </c>
      <c r="C166" s="589">
        <v>296.77427</v>
      </c>
      <c r="D166" s="590">
        <v>296.77427</v>
      </c>
      <c r="E166" s="599" t="s">
        <v>299</v>
      </c>
      <c r="F166" s="589">
        <v>0</v>
      </c>
      <c r="G166" s="590">
        <v>0</v>
      </c>
      <c r="H166" s="592">
        <v>4.9406564584124654E-324</v>
      </c>
      <c r="I166" s="589">
        <v>9.8813129168249309E-324</v>
      </c>
      <c r="J166" s="590">
        <v>9.8813129168249309E-324</v>
      </c>
      <c r="K166" s="600" t="s">
        <v>299</v>
      </c>
    </row>
    <row r="167" spans="1:11" ht="14.4" customHeight="1" thickBot="1" x14ac:dyDescent="0.35">
      <c r="A167" s="611" t="s">
        <v>458</v>
      </c>
      <c r="B167" s="589">
        <v>4.9406564584124654E-324</v>
      </c>
      <c r="C167" s="589">
        <v>4.0540000000000003</v>
      </c>
      <c r="D167" s="590">
        <v>4.0540000000000003</v>
      </c>
      <c r="E167" s="599" t="s">
        <v>305</v>
      </c>
      <c r="F167" s="589">
        <v>0</v>
      </c>
      <c r="G167" s="590">
        <v>0</v>
      </c>
      <c r="H167" s="592">
        <v>4.9406564584124654E-324</v>
      </c>
      <c r="I167" s="589">
        <v>9.8813129168249309E-324</v>
      </c>
      <c r="J167" s="590">
        <v>9.8813129168249309E-324</v>
      </c>
      <c r="K167" s="600" t="s">
        <v>299</v>
      </c>
    </row>
    <row r="168" spans="1:11" ht="14.4" customHeight="1" thickBot="1" x14ac:dyDescent="0.35">
      <c r="A168" s="611" t="s">
        <v>459</v>
      </c>
      <c r="B168" s="589">
        <v>0</v>
      </c>
      <c r="C168" s="589">
        <v>5.0321999999999996</v>
      </c>
      <c r="D168" s="590">
        <v>5.0321999999999996</v>
      </c>
      <c r="E168" s="599" t="s">
        <v>299</v>
      </c>
      <c r="F168" s="589">
        <v>0</v>
      </c>
      <c r="G168" s="590">
        <v>0</v>
      </c>
      <c r="H168" s="592">
        <v>4.9406564584124654E-324</v>
      </c>
      <c r="I168" s="589">
        <v>9.8813129168249309E-324</v>
      </c>
      <c r="J168" s="590">
        <v>9.8813129168249309E-324</v>
      </c>
      <c r="K168" s="600" t="s">
        <v>299</v>
      </c>
    </row>
    <row r="169" spans="1:11" ht="14.4" customHeight="1" thickBot="1" x14ac:dyDescent="0.35">
      <c r="A169" s="611" t="s">
        <v>460</v>
      </c>
      <c r="B169" s="589">
        <v>0</v>
      </c>
      <c r="C169" s="589">
        <v>119.05304</v>
      </c>
      <c r="D169" s="590">
        <v>119.05304</v>
      </c>
      <c r="E169" s="599" t="s">
        <v>299</v>
      </c>
      <c r="F169" s="589">
        <v>0</v>
      </c>
      <c r="G169" s="590">
        <v>0</v>
      </c>
      <c r="H169" s="592">
        <v>4.9406564584124654E-324</v>
      </c>
      <c r="I169" s="589">
        <v>9.8813129168249309E-324</v>
      </c>
      <c r="J169" s="590">
        <v>9.8813129168249309E-324</v>
      </c>
      <c r="K169" s="600" t="s">
        <v>299</v>
      </c>
    </row>
    <row r="170" spans="1:11" ht="14.4" customHeight="1" thickBot="1" x14ac:dyDescent="0.35">
      <c r="A170" s="611" t="s">
        <v>461</v>
      </c>
      <c r="B170" s="589">
        <v>0</v>
      </c>
      <c r="C170" s="589">
        <v>16.341930000000001</v>
      </c>
      <c r="D170" s="590">
        <v>16.341930000000001</v>
      </c>
      <c r="E170" s="599" t="s">
        <v>299</v>
      </c>
      <c r="F170" s="589">
        <v>0</v>
      </c>
      <c r="G170" s="590">
        <v>0</v>
      </c>
      <c r="H170" s="592">
        <v>4.9406564584124654E-324</v>
      </c>
      <c r="I170" s="589">
        <v>9.8813129168249309E-324</v>
      </c>
      <c r="J170" s="590">
        <v>9.8813129168249309E-324</v>
      </c>
      <c r="K170" s="600" t="s">
        <v>299</v>
      </c>
    </row>
    <row r="171" spans="1:11" ht="14.4" customHeight="1" thickBot="1" x14ac:dyDescent="0.35">
      <c r="A171" s="614" t="s">
        <v>462</v>
      </c>
      <c r="B171" s="594">
        <v>0</v>
      </c>
      <c r="C171" s="594">
        <v>126.04894</v>
      </c>
      <c r="D171" s="595">
        <v>126.04894</v>
      </c>
      <c r="E171" s="596" t="s">
        <v>299</v>
      </c>
      <c r="F171" s="594">
        <v>0</v>
      </c>
      <c r="G171" s="595">
        <v>0</v>
      </c>
      <c r="H171" s="597">
        <v>2.5000000000000001E-2</v>
      </c>
      <c r="I171" s="594">
        <v>5.5E-2</v>
      </c>
      <c r="J171" s="595">
        <v>5.5E-2</v>
      </c>
      <c r="K171" s="598" t="s">
        <v>299</v>
      </c>
    </row>
    <row r="172" spans="1:11" ht="14.4" customHeight="1" thickBot="1" x14ac:dyDescent="0.35">
      <c r="A172" s="610" t="s">
        <v>463</v>
      </c>
      <c r="B172" s="594">
        <v>0</v>
      </c>
      <c r="C172" s="594">
        <v>15.873939999999999</v>
      </c>
      <c r="D172" s="595">
        <v>15.873939999999999</v>
      </c>
      <c r="E172" s="596" t="s">
        <v>299</v>
      </c>
      <c r="F172" s="594">
        <v>0</v>
      </c>
      <c r="G172" s="595">
        <v>0</v>
      </c>
      <c r="H172" s="597">
        <v>4.9406564584124654E-324</v>
      </c>
      <c r="I172" s="594">
        <v>9.8813129168249309E-324</v>
      </c>
      <c r="J172" s="595">
        <v>9.8813129168249309E-324</v>
      </c>
      <c r="K172" s="598" t="s">
        <v>299</v>
      </c>
    </row>
    <row r="173" spans="1:11" ht="14.4" customHeight="1" thickBot="1" x14ac:dyDescent="0.35">
      <c r="A173" s="611" t="s">
        <v>464</v>
      </c>
      <c r="B173" s="589">
        <v>0</v>
      </c>
      <c r="C173" s="589">
        <v>-6.0000000000000002E-5</v>
      </c>
      <c r="D173" s="590">
        <v>-6.0000000000000002E-5</v>
      </c>
      <c r="E173" s="599" t="s">
        <v>299</v>
      </c>
      <c r="F173" s="589">
        <v>0</v>
      </c>
      <c r="G173" s="590">
        <v>0</v>
      </c>
      <c r="H173" s="592">
        <v>4.9406564584124654E-324</v>
      </c>
      <c r="I173" s="589">
        <v>9.8813129168249309E-324</v>
      </c>
      <c r="J173" s="590">
        <v>9.8813129168249309E-324</v>
      </c>
      <c r="K173" s="600" t="s">
        <v>299</v>
      </c>
    </row>
    <row r="174" spans="1:11" ht="14.4" customHeight="1" thickBot="1" x14ac:dyDescent="0.35">
      <c r="A174" s="611" t="s">
        <v>465</v>
      </c>
      <c r="B174" s="589">
        <v>4.9406564584124654E-324</v>
      </c>
      <c r="C174" s="589">
        <v>15.874000000000001</v>
      </c>
      <c r="D174" s="590">
        <v>15.874000000000001</v>
      </c>
      <c r="E174" s="599" t="s">
        <v>305</v>
      </c>
      <c r="F174" s="589">
        <v>0</v>
      </c>
      <c r="G174" s="590">
        <v>0</v>
      </c>
      <c r="H174" s="592">
        <v>4.9406564584124654E-324</v>
      </c>
      <c r="I174" s="589">
        <v>9.8813129168249309E-324</v>
      </c>
      <c r="J174" s="590">
        <v>9.8813129168249309E-324</v>
      </c>
      <c r="K174" s="600" t="s">
        <v>299</v>
      </c>
    </row>
    <row r="175" spans="1:11" ht="14.4" customHeight="1" thickBot="1" x14ac:dyDescent="0.35">
      <c r="A175" s="610" t="s">
        <v>466</v>
      </c>
      <c r="B175" s="594">
        <v>0</v>
      </c>
      <c r="C175" s="594">
        <v>0.67900000000000005</v>
      </c>
      <c r="D175" s="595">
        <v>0.67900000000000005</v>
      </c>
      <c r="E175" s="596" t="s">
        <v>299</v>
      </c>
      <c r="F175" s="594">
        <v>0</v>
      </c>
      <c r="G175" s="595">
        <v>0</v>
      </c>
      <c r="H175" s="597">
        <v>2.5000000000000001E-2</v>
      </c>
      <c r="I175" s="594">
        <v>5.5E-2</v>
      </c>
      <c r="J175" s="595">
        <v>5.5E-2</v>
      </c>
      <c r="K175" s="598" t="s">
        <v>299</v>
      </c>
    </row>
    <row r="176" spans="1:11" ht="14.4" customHeight="1" thickBot="1" x14ac:dyDescent="0.35">
      <c r="A176" s="611" t="s">
        <v>467</v>
      </c>
      <c r="B176" s="589">
        <v>0</v>
      </c>
      <c r="C176" s="589">
        <v>0.67900000000000005</v>
      </c>
      <c r="D176" s="590">
        <v>0.67900000000000005</v>
      </c>
      <c r="E176" s="599" t="s">
        <v>299</v>
      </c>
      <c r="F176" s="589">
        <v>0</v>
      </c>
      <c r="G176" s="590">
        <v>0</v>
      </c>
      <c r="H176" s="592">
        <v>2.5000000000000001E-2</v>
      </c>
      <c r="I176" s="589">
        <v>5.5E-2</v>
      </c>
      <c r="J176" s="590">
        <v>5.5E-2</v>
      </c>
      <c r="K176" s="600" t="s">
        <v>299</v>
      </c>
    </row>
    <row r="177" spans="1:11" ht="14.4" customHeight="1" thickBot="1" x14ac:dyDescent="0.35">
      <c r="A177" s="610" t="s">
        <v>468</v>
      </c>
      <c r="B177" s="594">
        <v>0</v>
      </c>
      <c r="C177" s="594">
        <v>109.496</v>
      </c>
      <c r="D177" s="595">
        <v>109.496</v>
      </c>
      <c r="E177" s="596" t="s">
        <v>299</v>
      </c>
      <c r="F177" s="594">
        <v>0</v>
      </c>
      <c r="G177" s="595">
        <v>0</v>
      </c>
      <c r="H177" s="597">
        <v>4.9406564584124654E-324</v>
      </c>
      <c r="I177" s="594">
        <v>9.8813129168249309E-324</v>
      </c>
      <c r="J177" s="595">
        <v>9.8813129168249309E-324</v>
      </c>
      <c r="K177" s="598" t="s">
        <v>299</v>
      </c>
    </row>
    <row r="178" spans="1:11" ht="14.4" customHeight="1" thickBot="1" x14ac:dyDescent="0.35">
      <c r="A178" s="611" t="s">
        <v>469</v>
      </c>
      <c r="B178" s="589">
        <v>0</v>
      </c>
      <c r="C178" s="589">
        <v>109.496</v>
      </c>
      <c r="D178" s="590">
        <v>109.496</v>
      </c>
      <c r="E178" s="599" t="s">
        <v>299</v>
      </c>
      <c r="F178" s="589">
        <v>0</v>
      </c>
      <c r="G178" s="590">
        <v>0</v>
      </c>
      <c r="H178" s="592">
        <v>4.9406564584124654E-324</v>
      </c>
      <c r="I178" s="589">
        <v>9.8813129168249309E-324</v>
      </c>
      <c r="J178" s="590">
        <v>9.8813129168249309E-324</v>
      </c>
      <c r="K178" s="600" t="s">
        <v>299</v>
      </c>
    </row>
    <row r="179" spans="1:11" ht="14.4" customHeight="1" thickBot="1" x14ac:dyDescent="0.35">
      <c r="A179" s="607" t="s">
        <v>470</v>
      </c>
      <c r="B179" s="589">
        <v>4928.5239242703401</v>
      </c>
      <c r="C179" s="589">
        <v>5797.0298000000003</v>
      </c>
      <c r="D179" s="590">
        <v>868.50587572966197</v>
      </c>
      <c r="E179" s="591">
        <v>1.1762202819900001</v>
      </c>
      <c r="F179" s="589">
        <v>4619.0160192798403</v>
      </c>
      <c r="G179" s="590">
        <v>769.83600321330698</v>
      </c>
      <c r="H179" s="592">
        <v>486.41426999999999</v>
      </c>
      <c r="I179" s="589">
        <v>957.96204999999998</v>
      </c>
      <c r="J179" s="590">
        <v>188.126046786693</v>
      </c>
      <c r="K179" s="593">
        <v>0.207395264706</v>
      </c>
    </row>
    <row r="180" spans="1:11" ht="14.4" customHeight="1" thickBot="1" x14ac:dyDescent="0.35">
      <c r="A180" s="612" t="s">
        <v>471</v>
      </c>
      <c r="B180" s="594">
        <v>4928.5239242703401</v>
      </c>
      <c r="C180" s="594">
        <v>5797.0298000000003</v>
      </c>
      <c r="D180" s="595">
        <v>868.50587572966197</v>
      </c>
      <c r="E180" s="601">
        <v>1.1762202819900001</v>
      </c>
      <c r="F180" s="594">
        <v>4619.0160192798403</v>
      </c>
      <c r="G180" s="595">
        <v>769.83600321330698</v>
      </c>
      <c r="H180" s="597">
        <v>486.41426999999999</v>
      </c>
      <c r="I180" s="594">
        <v>957.96204999999998</v>
      </c>
      <c r="J180" s="595">
        <v>188.126046786693</v>
      </c>
      <c r="K180" s="602">
        <v>0.207395264706</v>
      </c>
    </row>
    <row r="181" spans="1:11" ht="14.4" customHeight="1" thickBot="1" x14ac:dyDescent="0.35">
      <c r="A181" s="614" t="s">
        <v>57</v>
      </c>
      <c r="B181" s="594">
        <v>4928.5239242703401</v>
      </c>
      <c r="C181" s="594">
        <v>5797.0298000000003</v>
      </c>
      <c r="D181" s="595">
        <v>868.50587572966197</v>
      </c>
      <c r="E181" s="601">
        <v>1.1762202819900001</v>
      </c>
      <c r="F181" s="594">
        <v>4619.0160192798403</v>
      </c>
      <c r="G181" s="595">
        <v>769.83600321330698</v>
      </c>
      <c r="H181" s="597">
        <v>486.41426999999999</v>
      </c>
      <c r="I181" s="594">
        <v>957.96204999999998</v>
      </c>
      <c r="J181" s="595">
        <v>188.126046786693</v>
      </c>
      <c r="K181" s="602">
        <v>0.207395264706</v>
      </c>
    </row>
    <row r="182" spans="1:11" ht="14.4" customHeight="1" thickBot="1" x14ac:dyDescent="0.35">
      <c r="A182" s="610" t="s">
        <v>472</v>
      </c>
      <c r="B182" s="594">
        <v>24.999999999999002</v>
      </c>
      <c r="C182" s="594">
        <v>52.566360000000003</v>
      </c>
      <c r="D182" s="595">
        <v>27.56636</v>
      </c>
      <c r="E182" s="601">
        <v>2.1026544</v>
      </c>
      <c r="F182" s="594">
        <v>25</v>
      </c>
      <c r="G182" s="595">
        <v>4.1666666666659999</v>
      </c>
      <c r="H182" s="597">
        <v>4.0655999999999999</v>
      </c>
      <c r="I182" s="594">
        <v>8.1311999999999998</v>
      </c>
      <c r="J182" s="595">
        <v>3.9645333333330002</v>
      </c>
      <c r="K182" s="602">
        <v>0.32524799999999998</v>
      </c>
    </row>
    <row r="183" spans="1:11" ht="14.4" customHeight="1" thickBot="1" x14ac:dyDescent="0.35">
      <c r="A183" s="611" t="s">
        <v>473</v>
      </c>
      <c r="B183" s="589">
        <v>24.999999999999002</v>
      </c>
      <c r="C183" s="589">
        <v>52.566360000000003</v>
      </c>
      <c r="D183" s="590">
        <v>27.56636</v>
      </c>
      <c r="E183" s="591">
        <v>2.1026544</v>
      </c>
      <c r="F183" s="589">
        <v>25</v>
      </c>
      <c r="G183" s="590">
        <v>4.1666666666659999</v>
      </c>
      <c r="H183" s="592">
        <v>4.0655999999999999</v>
      </c>
      <c r="I183" s="589">
        <v>8.1311999999999998</v>
      </c>
      <c r="J183" s="590">
        <v>3.9645333333330002</v>
      </c>
      <c r="K183" s="593">
        <v>0.32524799999999998</v>
      </c>
    </row>
    <row r="184" spans="1:11" ht="14.4" customHeight="1" thickBot="1" x14ac:dyDescent="0.35">
      <c r="A184" s="610" t="s">
        <v>474</v>
      </c>
      <c r="B184" s="594">
        <v>110.50354723422301</v>
      </c>
      <c r="C184" s="594">
        <v>100.67</v>
      </c>
      <c r="D184" s="595">
        <v>-9.8335472342219994</v>
      </c>
      <c r="E184" s="601">
        <v>0.91101147899400003</v>
      </c>
      <c r="F184" s="594">
        <v>113.016019279841</v>
      </c>
      <c r="G184" s="595">
        <v>18.836003213306</v>
      </c>
      <c r="H184" s="597">
        <v>6.0819999999999999</v>
      </c>
      <c r="I184" s="594">
        <v>12.456</v>
      </c>
      <c r="J184" s="595">
        <v>-6.3800032133059998</v>
      </c>
      <c r="K184" s="602">
        <v>0.110214464103</v>
      </c>
    </row>
    <row r="185" spans="1:11" ht="14.4" customHeight="1" thickBot="1" x14ac:dyDescent="0.35">
      <c r="A185" s="611" t="s">
        <v>475</v>
      </c>
      <c r="B185" s="589">
        <v>110.50354723422301</v>
      </c>
      <c r="C185" s="589">
        <v>100.67</v>
      </c>
      <c r="D185" s="590">
        <v>-9.8335472342219994</v>
      </c>
      <c r="E185" s="591">
        <v>0.91101147899400003</v>
      </c>
      <c r="F185" s="589">
        <v>113.016019279841</v>
      </c>
      <c r="G185" s="590">
        <v>18.836003213306</v>
      </c>
      <c r="H185" s="592">
        <v>6.0819999999999999</v>
      </c>
      <c r="I185" s="589">
        <v>12.456</v>
      </c>
      <c r="J185" s="590">
        <v>-6.3800032133059998</v>
      </c>
      <c r="K185" s="593">
        <v>0.110214464103</v>
      </c>
    </row>
    <row r="186" spans="1:11" ht="14.4" customHeight="1" thickBot="1" x14ac:dyDescent="0.35">
      <c r="A186" s="610" t="s">
        <v>476</v>
      </c>
      <c r="B186" s="594">
        <v>571.020377036171</v>
      </c>
      <c r="C186" s="594">
        <v>756.63189999999997</v>
      </c>
      <c r="D186" s="595">
        <v>185.611522963829</v>
      </c>
      <c r="E186" s="601">
        <v>1.3250523631519999</v>
      </c>
      <c r="F186" s="594">
        <v>826</v>
      </c>
      <c r="G186" s="595">
        <v>137.666666666667</v>
      </c>
      <c r="H186" s="597">
        <v>57.019500000000001</v>
      </c>
      <c r="I186" s="594">
        <v>110.8319</v>
      </c>
      <c r="J186" s="595">
        <v>-26.834766666665999</v>
      </c>
      <c r="K186" s="602">
        <v>0.13417905568999999</v>
      </c>
    </row>
    <row r="187" spans="1:11" ht="14.4" customHeight="1" thickBot="1" x14ac:dyDescent="0.35">
      <c r="A187" s="611" t="s">
        <v>477</v>
      </c>
      <c r="B187" s="589">
        <v>571.020377036171</v>
      </c>
      <c r="C187" s="589">
        <v>756.63189999999997</v>
      </c>
      <c r="D187" s="590">
        <v>185.611522963829</v>
      </c>
      <c r="E187" s="591">
        <v>1.3250523631519999</v>
      </c>
      <c r="F187" s="589">
        <v>826</v>
      </c>
      <c r="G187" s="590">
        <v>137.666666666667</v>
      </c>
      <c r="H187" s="592">
        <v>57.019500000000001</v>
      </c>
      <c r="I187" s="589">
        <v>110.8319</v>
      </c>
      <c r="J187" s="590">
        <v>-26.834766666665999</v>
      </c>
      <c r="K187" s="593">
        <v>0.13417905568999999</v>
      </c>
    </row>
    <row r="188" spans="1:11" ht="14.4" customHeight="1" thickBot="1" x14ac:dyDescent="0.35">
      <c r="A188" s="610" t="s">
        <v>478</v>
      </c>
      <c r="B188" s="594">
        <v>0</v>
      </c>
      <c r="C188" s="594">
        <v>5.22</v>
      </c>
      <c r="D188" s="595">
        <v>5.22</v>
      </c>
      <c r="E188" s="596" t="s">
        <v>299</v>
      </c>
      <c r="F188" s="594">
        <v>4.9406564584124654E-324</v>
      </c>
      <c r="G188" s="595">
        <v>0</v>
      </c>
      <c r="H188" s="597">
        <v>0.224</v>
      </c>
      <c r="I188" s="594">
        <v>0.80300000000000005</v>
      </c>
      <c r="J188" s="595">
        <v>0.80300000000000005</v>
      </c>
      <c r="K188" s="598" t="s">
        <v>305</v>
      </c>
    </row>
    <row r="189" spans="1:11" ht="14.4" customHeight="1" thickBot="1" x14ac:dyDescent="0.35">
      <c r="A189" s="611" t="s">
        <v>479</v>
      </c>
      <c r="B189" s="589">
        <v>0</v>
      </c>
      <c r="C189" s="589">
        <v>5.22</v>
      </c>
      <c r="D189" s="590">
        <v>5.22</v>
      </c>
      <c r="E189" s="599" t="s">
        <v>299</v>
      </c>
      <c r="F189" s="589">
        <v>4.9406564584124654E-324</v>
      </c>
      <c r="G189" s="590">
        <v>0</v>
      </c>
      <c r="H189" s="592">
        <v>0.224</v>
      </c>
      <c r="I189" s="589">
        <v>0.80300000000000005</v>
      </c>
      <c r="J189" s="590">
        <v>0.80300000000000005</v>
      </c>
      <c r="K189" s="600" t="s">
        <v>305</v>
      </c>
    </row>
    <row r="190" spans="1:11" ht="14.4" customHeight="1" thickBot="1" x14ac:dyDescent="0.35">
      <c r="A190" s="610" t="s">
        <v>480</v>
      </c>
      <c r="B190" s="594">
        <v>213.99999999999699</v>
      </c>
      <c r="C190" s="594">
        <v>189.58769000000001</v>
      </c>
      <c r="D190" s="595">
        <v>-24.412309999996999</v>
      </c>
      <c r="E190" s="601">
        <v>0.885923785046</v>
      </c>
      <c r="F190" s="594">
        <v>228</v>
      </c>
      <c r="G190" s="595">
        <v>38</v>
      </c>
      <c r="H190" s="597">
        <v>10.33267</v>
      </c>
      <c r="I190" s="594">
        <v>23.7562</v>
      </c>
      <c r="J190" s="595">
        <v>-14.2438</v>
      </c>
      <c r="K190" s="602">
        <v>0.10419385964900001</v>
      </c>
    </row>
    <row r="191" spans="1:11" ht="14.4" customHeight="1" thickBot="1" x14ac:dyDescent="0.35">
      <c r="A191" s="611" t="s">
        <v>481</v>
      </c>
      <c r="B191" s="589">
        <v>213.99999999999699</v>
      </c>
      <c r="C191" s="589">
        <v>189.43817000000001</v>
      </c>
      <c r="D191" s="590">
        <v>-24.561829999996998</v>
      </c>
      <c r="E191" s="591">
        <v>0.88522509345699996</v>
      </c>
      <c r="F191" s="589">
        <v>220</v>
      </c>
      <c r="G191" s="590">
        <v>36.666666666666003</v>
      </c>
      <c r="H191" s="592">
        <v>9.6506900000000009</v>
      </c>
      <c r="I191" s="589">
        <v>22.392240000000001</v>
      </c>
      <c r="J191" s="590">
        <v>-14.274426666666001</v>
      </c>
      <c r="K191" s="593">
        <v>0.10178290909</v>
      </c>
    </row>
    <row r="192" spans="1:11" ht="14.4" customHeight="1" thickBot="1" x14ac:dyDescent="0.35">
      <c r="A192" s="611" t="s">
        <v>482</v>
      </c>
      <c r="B192" s="589">
        <v>0</v>
      </c>
      <c r="C192" s="589">
        <v>0.14951999999999999</v>
      </c>
      <c r="D192" s="590">
        <v>0.14951999999999999</v>
      </c>
      <c r="E192" s="599" t="s">
        <v>299</v>
      </c>
      <c r="F192" s="589">
        <v>8</v>
      </c>
      <c r="G192" s="590">
        <v>1.333333333333</v>
      </c>
      <c r="H192" s="592">
        <v>0.68198000000000003</v>
      </c>
      <c r="I192" s="589">
        <v>1.3639600000000001</v>
      </c>
      <c r="J192" s="590">
        <v>3.0626666665999999E-2</v>
      </c>
      <c r="K192" s="593">
        <v>0.17049500000000001</v>
      </c>
    </row>
    <row r="193" spans="1:11" ht="14.4" customHeight="1" thickBot="1" x14ac:dyDescent="0.35">
      <c r="A193" s="610" t="s">
        <v>483</v>
      </c>
      <c r="B193" s="594">
        <v>0</v>
      </c>
      <c r="C193" s="594">
        <v>1272.42839</v>
      </c>
      <c r="D193" s="595">
        <v>1272.42839</v>
      </c>
      <c r="E193" s="596" t="s">
        <v>299</v>
      </c>
      <c r="F193" s="594">
        <v>4.9406564584124654E-324</v>
      </c>
      <c r="G193" s="595">
        <v>0</v>
      </c>
      <c r="H193" s="597">
        <v>104.67757</v>
      </c>
      <c r="I193" s="594">
        <v>198.60735</v>
      </c>
      <c r="J193" s="595">
        <v>198.60735</v>
      </c>
      <c r="K193" s="598" t="s">
        <v>305</v>
      </c>
    </row>
    <row r="194" spans="1:11" ht="14.4" customHeight="1" thickBot="1" x14ac:dyDescent="0.35">
      <c r="A194" s="611" t="s">
        <v>484</v>
      </c>
      <c r="B194" s="589">
        <v>0</v>
      </c>
      <c r="C194" s="589">
        <v>1272.42839</v>
      </c>
      <c r="D194" s="590">
        <v>1272.42839</v>
      </c>
      <c r="E194" s="599" t="s">
        <v>299</v>
      </c>
      <c r="F194" s="589">
        <v>4.9406564584124654E-324</v>
      </c>
      <c r="G194" s="590">
        <v>0</v>
      </c>
      <c r="H194" s="592">
        <v>104.67757</v>
      </c>
      <c r="I194" s="589">
        <v>198.60735</v>
      </c>
      <c r="J194" s="590">
        <v>198.60735</v>
      </c>
      <c r="K194" s="600" t="s">
        <v>305</v>
      </c>
    </row>
    <row r="195" spans="1:11" ht="14.4" customHeight="1" thickBot="1" x14ac:dyDescent="0.35">
      <c r="A195" s="610" t="s">
        <v>485</v>
      </c>
      <c r="B195" s="594">
        <v>4007.99999999995</v>
      </c>
      <c r="C195" s="594">
        <v>3419.9254599999999</v>
      </c>
      <c r="D195" s="595">
        <v>-588.074539999948</v>
      </c>
      <c r="E195" s="601">
        <v>0.85327481536899996</v>
      </c>
      <c r="F195" s="594">
        <v>3427</v>
      </c>
      <c r="G195" s="595">
        <v>571.16666666666697</v>
      </c>
      <c r="H195" s="597">
        <v>304.01292999999998</v>
      </c>
      <c r="I195" s="594">
        <v>603.37639999999999</v>
      </c>
      <c r="J195" s="595">
        <v>32.209733333332998</v>
      </c>
      <c r="K195" s="602">
        <v>0.176065480011</v>
      </c>
    </row>
    <row r="196" spans="1:11" ht="14.4" customHeight="1" thickBot="1" x14ac:dyDescent="0.35">
      <c r="A196" s="611" t="s">
        <v>486</v>
      </c>
      <c r="B196" s="589">
        <v>4007.99999999995</v>
      </c>
      <c r="C196" s="589">
        <v>3419.9254599999999</v>
      </c>
      <c r="D196" s="590">
        <v>-588.074539999948</v>
      </c>
      <c r="E196" s="591">
        <v>0.85327481536899996</v>
      </c>
      <c r="F196" s="589">
        <v>3427</v>
      </c>
      <c r="G196" s="590">
        <v>571.16666666666697</v>
      </c>
      <c r="H196" s="592">
        <v>304.01292999999998</v>
      </c>
      <c r="I196" s="589">
        <v>603.37639999999999</v>
      </c>
      <c r="J196" s="590">
        <v>32.209733333332998</v>
      </c>
      <c r="K196" s="593">
        <v>0.176065480011</v>
      </c>
    </row>
    <row r="197" spans="1:11" ht="14.4" customHeight="1" thickBot="1" x14ac:dyDescent="0.35">
      <c r="A197" s="615"/>
      <c r="B197" s="589">
        <v>-6478.8502495688499</v>
      </c>
      <c r="C197" s="589">
        <v>-5486.3888800000204</v>
      </c>
      <c r="D197" s="590">
        <v>992.46136956883095</v>
      </c>
      <c r="E197" s="591">
        <v>0.84681520156500001</v>
      </c>
      <c r="F197" s="589">
        <v>-5982.5311013714099</v>
      </c>
      <c r="G197" s="590">
        <v>-997.08851689523499</v>
      </c>
      <c r="H197" s="592">
        <v>-1339.0917199999999</v>
      </c>
      <c r="I197" s="589">
        <v>-1499.64363000002</v>
      </c>
      <c r="J197" s="590">
        <v>-502.555113104783</v>
      </c>
      <c r="K197" s="593">
        <v>0.25067042771499998</v>
      </c>
    </row>
    <row r="198" spans="1:11" ht="14.4" customHeight="1" thickBot="1" x14ac:dyDescent="0.35">
      <c r="A198" s="616" t="s">
        <v>69</v>
      </c>
      <c r="B198" s="603">
        <v>-6478.8502495688599</v>
      </c>
      <c r="C198" s="603">
        <v>-5486.3888800000204</v>
      </c>
      <c r="D198" s="604">
        <v>992.46136956884095</v>
      </c>
      <c r="E198" s="605">
        <v>-1.1354201654330001</v>
      </c>
      <c r="F198" s="603">
        <v>-5982.5311013714099</v>
      </c>
      <c r="G198" s="604">
        <v>-997.08851689523499</v>
      </c>
      <c r="H198" s="603">
        <v>-1339.0917199999999</v>
      </c>
      <c r="I198" s="603">
        <v>-1499.64363000002</v>
      </c>
      <c r="J198" s="604">
        <v>-502.55511310478403</v>
      </c>
      <c r="K198" s="606">
        <v>0.25067042771499998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4" width="12.77734375" style="345" bestFit="1" customWidth="1"/>
    <col min="5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8" ht="18.600000000000001" customHeight="1" thickBot="1" x14ac:dyDescent="0.4">
      <c r="A1" s="488" t="s">
        <v>180</v>
      </c>
      <c r="B1" s="489"/>
      <c r="C1" s="489"/>
      <c r="D1" s="489"/>
      <c r="E1" s="489"/>
      <c r="F1" s="489"/>
      <c r="G1" s="465"/>
    </row>
    <row r="2" spans="1:8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8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213</v>
      </c>
      <c r="E3" s="211" t="s">
        <v>4</v>
      </c>
      <c r="F3" s="211" t="s">
        <v>5</v>
      </c>
      <c r="G3" s="212" t="s">
        <v>188</v>
      </c>
    </row>
    <row r="4" spans="1:8" ht="14.4" customHeight="1" x14ac:dyDescent="0.3">
      <c r="A4" s="617" t="s">
        <v>487</v>
      </c>
      <c r="B4" s="618" t="s">
        <v>488</v>
      </c>
      <c r="C4" s="619" t="s">
        <v>489</v>
      </c>
      <c r="D4" s="619" t="s">
        <v>488</v>
      </c>
      <c r="E4" s="619" t="s">
        <v>488</v>
      </c>
      <c r="F4" s="620" t="s">
        <v>488</v>
      </c>
      <c r="G4" s="619" t="s">
        <v>488</v>
      </c>
      <c r="H4" s="619" t="s">
        <v>77</v>
      </c>
    </row>
    <row r="5" spans="1:8" ht="14.4" customHeight="1" x14ac:dyDescent="0.3">
      <c r="A5" s="617" t="s">
        <v>487</v>
      </c>
      <c r="B5" s="618" t="s">
        <v>490</v>
      </c>
      <c r="C5" s="619" t="s">
        <v>491</v>
      </c>
      <c r="D5" s="619">
        <v>574168.2983097533</v>
      </c>
      <c r="E5" s="619">
        <v>377026.91066974774</v>
      </c>
      <c r="F5" s="620">
        <v>0.6566487766385678</v>
      </c>
      <c r="G5" s="619">
        <v>-197141.38764000556</v>
      </c>
      <c r="H5" s="619" t="s">
        <v>2</v>
      </c>
    </row>
    <row r="6" spans="1:8" ht="14.4" customHeight="1" x14ac:dyDescent="0.3">
      <c r="A6" s="617" t="s">
        <v>487</v>
      </c>
      <c r="B6" s="618" t="s">
        <v>492</v>
      </c>
      <c r="C6" s="619" t="s">
        <v>493</v>
      </c>
      <c r="D6" s="619">
        <v>256932.46306193501</v>
      </c>
      <c r="E6" s="619">
        <v>226712.15018999795</v>
      </c>
      <c r="F6" s="620">
        <v>0.88238032472894523</v>
      </c>
      <c r="G6" s="619">
        <v>-30220.312871937058</v>
      </c>
      <c r="H6" s="619" t="s">
        <v>2</v>
      </c>
    </row>
    <row r="7" spans="1:8" ht="14.4" customHeight="1" x14ac:dyDescent="0.3">
      <c r="A7" s="617" t="s">
        <v>487</v>
      </c>
      <c r="B7" s="618" t="s">
        <v>494</v>
      </c>
      <c r="C7" s="619" t="s">
        <v>495</v>
      </c>
      <c r="D7" s="619">
        <v>60000.526840103827</v>
      </c>
      <c r="E7" s="619">
        <v>89323.94</v>
      </c>
      <c r="F7" s="620">
        <v>1.4887192613831628</v>
      </c>
      <c r="G7" s="619">
        <v>29323.413159896176</v>
      </c>
      <c r="H7" s="619" t="s">
        <v>2</v>
      </c>
    </row>
    <row r="8" spans="1:8" ht="14.4" customHeight="1" x14ac:dyDescent="0.3">
      <c r="A8" s="617" t="s">
        <v>487</v>
      </c>
      <c r="B8" s="618" t="s">
        <v>496</v>
      </c>
      <c r="C8" s="619" t="s">
        <v>497</v>
      </c>
      <c r="D8" s="619">
        <v>162484.89173516518</v>
      </c>
      <c r="E8" s="619">
        <v>200573.36911142129</v>
      </c>
      <c r="F8" s="620">
        <v>1.2344124242537988</v>
      </c>
      <c r="G8" s="619">
        <v>38088.477376256109</v>
      </c>
      <c r="H8" s="619" t="s">
        <v>2</v>
      </c>
    </row>
    <row r="9" spans="1:8" ht="14.4" customHeight="1" x14ac:dyDescent="0.3">
      <c r="A9" s="617" t="s">
        <v>487</v>
      </c>
      <c r="B9" s="618" t="s">
        <v>498</v>
      </c>
      <c r="C9" s="619" t="s">
        <v>499</v>
      </c>
      <c r="D9" s="619">
        <v>92003.921278098322</v>
      </c>
      <c r="E9" s="619">
        <v>26734.82901395591</v>
      </c>
      <c r="F9" s="620">
        <v>0.29058358211869151</v>
      </c>
      <c r="G9" s="619">
        <v>-65269.092264142411</v>
      </c>
      <c r="H9" s="619" t="s">
        <v>2</v>
      </c>
    </row>
    <row r="10" spans="1:8" ht="14.4" customHeight="1" x14ac:dyDescent="0.3">
      <c r="A10" s="617" t="s">
        <v>487</v>
      </c>
      <c r="B10" s="618" t="s">
        <v>6</v>
      </c>
      <c r="C10" s="619" t="s">
        <v>489</v>
      </c>
      <c r="D10" s="619">
        <v>1152984.2432185765</v>
      </c>
      <c r="E10" s="619">
        <v>920371.19898512296</v>
      </c>
      <c r="F10" s="620">
        <v>0.7982513242469732</v>
      </c>
      <c r="G10" s="619">
        <v>-232613.04423345358</v>
      </c>
      <c r="H10" s="619" t="s">
        <v>500</v>
      </c>
    </row>
    <row r="12" spans="1:8" ht="14.4" customHeight="1" x14ac:dyDescent="0.3">
      <c r="A12" s="617" t="s">
        <v>487</v>
      </c>
      <c r="B12" s="618" t="s">
        <v>488</v>
      </c>
      <c r="C12" s="619" t="s">
        <v>489</v>
      </c>
      <c r="D12" s="619" t="s">
        <v>488</v>
      </c>
      <c r="E12" s="619" t="s">
        <v>488</v>
      </c>
      <c r="F12" s="620" t="s">
        <v>488</v>
      </c>
      <c r="G12" s="619" t="s">
        <v>488</v>
      </c>
      <c r="H12" s="619" t="s">
        <v>77</v>
      </c>
    </row>
    <row r="13" spans="1:8" ht="14.4" customHeight="1" x14ac:dyDescent="0.3">
      <c r="A13" s="617" t="s">
        <v>501</v>
      </c>
      <c r="B13" s="618" t="s">
        <v>490</v>
      </c>
      <c r="C13" s="619" t="s">
        <v>491</v>
      </c>
      <c r="D13" s="619">
        <v>574168.2983097533</v>
      </c>
      <c r="E13" s="619">
        <v>377026.91066974774</v>
      </c>
      <c r="F13" s="620">
        <v>0.6566487766385678</v>
      </c>
      <c r="G13" s="619">
        <v>-197141.38764000556</v>
      </c>
      <c r="H13" s="619" t="s">
        <v>2</v>
      </c>
    </row>
    <row r="14" spans="1:8" ht="14.4" customHeight="1" x14ac:dyDescent="0.3">
      <c r="A14" s="617" t="s">
        <v>501</v>
      </c>
      <c r="B14" s="618" t="s">
        <v>492</v>
      </c>
      <c r="C14" s="619" t="s">
        <v>493</v>
      </c>
      <c r="D14" s="619">
        <v>256932.46306193501</v>
      </c>
      <c r="E14" s="619">
        <v>226712.15018999795</v>
      </c>
      <c r="F14" s="620">
        <v>0.88238032472894523</v>
      </c>
      <c r="G14" s="619">
        <v>-30220.312871937058</v>
      </c>
      <c r="H14" s="619" t="s">
        <v>2</v>
      </c>
    </row>
    <row r="15" spans="1:8" ht="14.4" customHeight="1" x14ac:dyDescent="0.3">
      <c r="A15" s="617" t="s">
        <v>501</v>
      </c>
      <c r="B15" s="618" t="s">
        <v>494</v>
      </c>
      <c r="C15" s="619" t="s">
        <v>495</v>
      </c>
      <c r="D15" s="619">
        <v>60000.526840103827</v>
      </c>
      <c r="E15" s="619">
        <v>89323.94</v>
      </c>
      <c r="F15" s="620">
        <v>1.4887192613831628</v>
      </c>
      <c r="G15" s="619">
        <v>29323.413159896176</v>
      </c>
      <c r="H15" s="619" t="s">
        <v>2</v>
      </c>
    </row>
    <row r="16" spans="1:8" ht="14.4" customHeight="1" x14ac:dyDescent="0.3">
      <c r="A16" s="617" t="s">
        <v>501</v>
      </c>
      <c r="B16" s="618" t="s">
        <v>496</v>
      </c>
      <c r="C16" s="619" t="s">
        <v>497</v>
      </c>
      <c r="D16" s="619">
        <v>162484.89173516518</v>
      </c>
      <c r="E16" s="619">
        <v>200573.36911142129</v>
      </c>
      <c r="F16" s="620">
        <v>1.2344124242537988</v>
      </c>
      <c r="G16" s="619">
        <v>38088.477376256109</v>
      </c>
      <c r="H16" s="619" t="s">
        <v>2</v>
      </c>
    </row>
    <row r="17" spans="1:8" ht="14.4" customHeight="1" x14ac:dyDescent="0.3">
      <c r="A17" s="617" t="s">
        <v>501</v>
      </c>
      <c r="B17" s="618" t="s">
        <v>498</v>
      </c>
      <c r="C17" s="619" t="s">
        <v>499</v>
      </c>
      <c r="D17" s="619">
        <v>92003.921278098322</v>
      </c>
      <c r="E17" s="619">
        <v>26734.82901395591</v>
      </c>
      <c r="F17" s="620">
        <v>0.29058358211869151</v>
      </c>
      <c r="G17" s="619">
        <v>-65269.092264142411</v>
      </c>
      <c r="H17" s="619" t="s">
        <v>2</v>
      </c>
    </row>
    <row r="18" spans="1:8" ht="14.4" customHeight="1" x14ac:dyDescent="0.3">
      <c r="A18" s="617" t="s">
        <v>501</v>
      </c>
      <c r="B18" s="618" t="s">
        <v>6</v>
      </c>
      <c r="C18" s="619" t="s">
        <v>502</v>
      </c>
      <c r="D18" s="619">
        <v>1152984.2432185765</v>
      </c>
      <c r="E18" s="619">
        <v>920371.19898512296</v>
      </c>
      <c r="F18" s="620">
        <v>0.7982513242469732</v>
      </c>
      <c r="G18" s="619">
        <v>-232613.04423345358</v>
      </c>
      <c r="H18" s="619" t="s">
        <v>503</v>
      </c>
    </row>
    <row r="19" spans="1:8" ht="14.4" customHeight="1" x14ac:dyDescent="0.3">
      <c r="A19" s="617" t="s">
        <v>488</v>
      </c>
      <c r="B19" s="618" t="s">
        <v>488</v>
      </c>
      <c r="C19" s="619" t="s">
        <v>488</v>
      </c>
      <c r="D19" s="619" t="s">
        <v>488</v>
      </c>
      <c r="E19" s="619" t="s">
        <v>488</v>
      </c>
      <c r="F19" s="620" t="s">
        <v>488</v>
      </c>
      <c r="G19" s="619" t="s">
        <v>488</v>
      </c>
      <c r="H19" s="619" t="s">
        <v>504</v>
      </c>
    </row>
    <row r="20" spans="1:8" ht="14.4" customHeight="1" x14ac:dyDescent="0.3">
      <c r="A20" s="617" t="s">
        <v>487</v>
      </c>
      <c r="B20" s="618" t="s">
        <v>6</v>
      </c>
      <c r="C20" s="619" t="s">
        <v>489</v>
      </c>
      <c r="D20" s="619">
        <v>1152984.2432185765</v>
      </c>
      <c r="E20" s="619">
        <v>920371.19898512296</v>
      </c>
      <c r="F20" s="620">
        <v>0.7982513242469732</v>
      </c>
      <c r="G20" s="619">
        <v>-232613.04423345358</v>
      </c>
      <c r="H20" s="619" t="s">
        <v>500</v>
      </c>
    </row>
  </sheetData>
  <autoFilter ref="A3:G3"/>
  <mergeCells count="1">
    <mergeCell ref="A1:G1"/>
  </mergeCells>
  <conditionalFormatting sqref="F11 F21:F65536">
    <cfRule type="cellIs" dxfId="65" priority="15" stopIfTrue="1" operator="greaterThan">
      <formula>1</formula>
    </cfRule>
  </conditionalFormatting>
  <conditionalFormatting sqref="B4:B10">
    <cfRule type="expression" dxfId="64" priority="12">
      <formula>AND(LEFT(H4,6)&lt;&gt;"mezera",H4&lt;&gt;"")</formula>
    </cfRule>
  </conditionalFormatting>
  <conditionalFormatting sqref="A4:A10">
    <cfRule type="expression" dxfId="63" priority="10">
      <formula>AND(H4&lt;&gt;"",H4&lt;&gt;"mezeraKL")</formula>
    </cfRule>
  </conditionalFormatting>
  <conditionalFormatting sqref="G4:G10">
    <cfRule type="cellIs" dxfId="62" priority="9" operator="greaterThan">
      <formula>0</formula>
    </cfRule>
  </conditionalFormatting>
  <conditionalFormatting sqref="F4:F10">
    <cfRule type="cellIs" dxfId="61" priority="8" operator="greaterThan">
      <formula>1</formula>
    </cfRule>
  </conditionalFormatting>
  <conditionalFormatting sqref="B4:G10">
    <cfRule type="expression" dxfId="60" priority="11">
      <formula>OR($H4="KL",$H4="SumaKL")</formula>
    </cfRule>
    <cfRule type="expression" dxfId="59" priority="13">
      <formula>$H4="SumaNS"</formula>
    </cfRule>
  </conditionalFormatting>
  <conditionalFormatting sqref="A4:G10">
    <cfRule type="expression" dxfId="58" priority="14">
      <formula>$H4&lt;&gt;""</formula>
    </cfRule>
  </conditionalFormatting>
  <conditionalFormatting sqref="F12:F20">
    <cfRule type="cellIs" dxfId="57" priority="3" operator="greaterThan">
      <formula>1</formula>
    </cfRule>
  </conditionalFormatting>
  <conditionalFormatting sqref="B12:B20">
    <cfRule type="expression" dxfId="56" priority="6">
      <formula>AND(LEFT(H12,6)&lt;&gt;"mezera",H12&lt;&gt;"")</formula>
    </cfRule>
  </conditionalFormatting>
  <conditionalFormatting sqref="A12:A20">
    <cfRule type="expression" dxfId="55" priority="4">
      <formula>AND(H12&lt;&gt;"",H12&lt;&gt;"mezeraKL")</formula>
    </cfRule>
  </conditionalFormatting>
  <conditionalFormatting sqref="G12:G20">
    <cfRule type="cellIs" dxfId="54" priority="2" operator="greaterThan">
      <formula>0</formula>
    </cfRule>
  </conditionalFormatting>
  <conditionalFormatting sqref="B12:G20">
    <cfRule type="expression" dxfId="53" priority="5">
      <formula>OR($H12="KL",$H12="SumaKL")</formula>
    </cfRule>
    <cfRule type="expression" dxfId="52" priority="7">
      <formula>$H12="SumaNS"</formula>
    </cfRule>
  </conditionalFormatting>
  <conditionalFormatting sqref="A12:G20">
    <cfRule type="expression" dxfId="51" priority="1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5" style="345" customWidth="1"/>
    <col min="8" max="8" width="12.44140625" style="345" hidden="1" customWidth="1" outlineLevel="1"/>
    <col min="9" max="9" width="8.5546875" style="345" hidden="1" customWidth="1" outlineLevel="1"/>
    <col min="10" max="10" width="25.77734375" style="345" customWidth="1" collapsed="1"/>
    <col min="11" max="11" width="8.77734375" style="345" customWidth="1"/>
    <col min="12" max="13" width="7.77734375" style="343" customWidth="1"/>
    <col min="14" max="14" width="11.109375" style="343" customWidth="1"/>
    <col min="15" max="16384" width="8.88671875" style="260"/>
  </cols>
  <sheetData>
    <row r="1" spans="1:14" ht="18.600000000000001" customHeight="1" thickBot="1" x14ac:dyDescent="0.4">
      <c r="A1" s="494" t="s">
        <v>212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</row>
    <row r="2" spans="1:14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7"/>
      <c r="J2" s="347"/>
      <c r="K2" s="347"/>
      <c r="L2" s="348"/>
      <c r="M2" s="348"/>
      <c r="N2" s="348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163</v>
      </c>
      <c r="K3" s="493"/>
      <c r="L3" s="213">
        <f>IF(M3&lt;&gt;0,N3/M3,0)</f>
        <v>236.48461023919515</v>
      </c>
      <c r="M3" s="213">
        <f>SUBTOTAL(9,M5:M1048576)</f>
        <v>3891.8862333333336</v>
      </c>
      <c r="N3" s="214">
        <f>SUBTOTAL(9,N5:N1048576)</f>
        <v>920371.19898512273</v>
      </c>
    </row>
    <row r="4" spans="1:14" s="344" customFormat="1" ht="14.4" customHeight="1" thickBot="1" x14ac:dyDescent="0.35">
      <c r="A4" s="621" t="s">
        <v>7</v>
      </c>
      <c r="B4" s="622" t="s">
        <v>8</v>
      </c>
      <c r="C4" s="622" t="s">
        <v>0</v>
      </c>
      <c r="D4" s="622" t="s">
        <v>9</v>
      </c>
      <c r="E4" s="622" t="s">
        <v>10</v>
      </c>
      <c r="F4" s="622" t="s">
        <v>2</v>
      </c>
      <c r="G4" s="622" t="s">
        <v>11</v>
      </c>
      <c r="H4" s="622" t="s">
        <v>12</v>
      </c>
      <c r="I4" s="622" t="s">
        <v>13</v>
      </c>
      <c r="J4" s="623" t="s">
        <v>14</v>
      </c>
      <c r="K4" s="623" t="s">
        <v>15</v>
      </c>
      <c r="L4" s="624" t="s">
        <v>189</v>
      </c>
      <c r="M4" s="624" t="s">
        <v>16</v>
      </c>
      <c r="N4" s="625" t="s">
        <v>206</v>
      </c>
    </row>
    <row r="5" spans="1:14" ht="14.4" customHeight="1" x14ac:dyDescent="0.3">
      <c r="A5" s="628" t="s">
        <v>487</v>
      </c>
      <c r="B5" s="629" t="s">
        <v>489</v>
      </c>
      <c r="C5" s="630" t="s">
        <v>501</v>
      </c>
      <c r="D5" s="631" t="s">
        <v>502</v>
      </c>
      <c r="E5" s="630" t="s">
        <v>490</v>
      </c>
      <c r="F5" s="631" t="s">
        <v>491</v>
      </c>
      <c r="G5" s="630"/>
      <c r="H5" s="630" t="s">
        <v>505</v>
      </c>
      <c r="I5" s="630" t="s">
        <v>506</v>
      </c>
      <c r="J5" s="630" t="s">
        <v>507</v>
      </c>
      <c r="K5" s="630" t="s">
        <v>508</v>
      </c>
      <c r="L5" s="632">
        <v>260.72967473626375</v>
      </c>
      <c r="M5" s="632">
        <v>20</v>
      </c>
      <c r="N5" s="633">
        <v>5214.5934947252754</v>
      </c>
    </row>
    <row r="6" spans="1:14" ht="14.4" customHeight="1" x14ac:dyDescent="0.3">
      <c r="A6" s="634" t="s">
        <v>487</v>
      </c>
      <c r="B6" s="635" t="s">
        <v>489</v>
      </c>
      <c r="C6" s="636" t="s">
        <v>501</v>
      </c>
      <c r="D6" s="637" t="s">
        <v>502</v>
      </c>
      <c r="E6" s="636" t="s">
        <v>490</v>
      </c>
      <c r="F6" s="637" t="s">
        <v>491</v>
      </c>
      <c r="G6" s="636"/>
      <c r="H6" s="636" t="s">
        <v>509</v>
      </c>
      <c r="I6" s="636" t="s">
        <v>509</v>
      </c>
      <c r="J6" s="636" t="s">
        <v>510</v>
      </c>
      <c r="K6" s="636" t="s">
        <v>511</v>
      </c>
      <c r="L6" s="638">
        <v>221.68999999999997</v>
      </c>
      <c r="M6" s="638">
        <v>2</v>
      </c>
      <c r="N6" s="639">
        <v>443.37999999999994</v>
      </c>
    </row>
    <row r="7" spans="1:14" ht="14.4" customHeight="1" x14ac:dyDescent="0.3">
      <c r="A7" s="634" t="s">
        <v>487</v>
      </c>
      <c r="B7" s="635" t="s">
        <v>489</v>
      </c>
      <c r="C7" s="636" t="s">
        <v>501</v>
      </c>
      <c r="D7" s="637" t="s">
        <v>502</v>
      </c>
      <c r="E7" s="636" t="s">
        <v>490</v>
      </c>
      <c r="F7" s="637" t="s">
        <v>491</v>
      </c>
      <c r="G7" s="636"/>
      <c r="H7" s="636" t="s">
        <v>512</v>
      </c>
      <c r="I7" s="636" t="s">
        <v>512</v>
      </c>
      <c r="J7" s="636" t="s">
        <v>513</v>
      </c>
      <c r="K7" s="636" t="s">
        <v>514</v>
      </c>
      <c r="L7" s="638">
        <v>900.00070203790347</v>
      </c>
      <c r="M7" s="638">
        <v>1</v>
      </c>
      <c r="N7" s="639">
        <v>900.00070203790347</v>
      </c>
    </row>
    <row r="8" spans="1:14" ht="14.4" customHeight="1" x14ac:dyDescent="0.3">
      <c r="A8" s="634" t="s">
        <v>487</v>
      </c>
      <c r="B8" s="635" t="s">
        <v>489</v>
      </c>
      <c r="C8" s="636" t="s">
        <v>501</v>
      </c>
      <c r="D8" s="637" t="s">
        <v>502</v>
      </c>
      <c r="E8" s="636" t="s">
        <v>490</v>
      </c>
      <c r="F8" s="637" t="s">
        <v>491</v>
      </c>
      <c r="G8" s="636"/>
      <c r="H8" s="636" t="s">
        <v>515</v>
      </c>
      <c r="I8" s="636" t="s">
        <v>515</v>
      </c>
      <c r="J8" s="636" t="s">
        <v>516</v>
      </c>
      <c r="K8" s="636" t="s">
        <v>517</v>
      </c>
      <c r="L8" s="638">
        <v>49.8</v>
      </c>
      <c r="M8" s="638">
        <v>1</v>
      </c>
      <c r="N8" s="639">
        <v>49.8</v>
      </c>
    </row>
    <row r="9" spans="1:14" ht="14.4" customHeight="1" x14ac:dyDescent="0.3">
      <c r="A9" s="634" t="s">
        <v>487</v>
      </c>
      <c r="B9" s="635" t="s">
        <v>489</v>
      </c>
      <c r="C9" s="636" t="s">
        <v>501</v>
      </c>
      <c r="D9" s="637" t="s">
        <v>502</v>
      </c>
      <c r="E9" s="636" t="s">
        <v>490</v>
      </c>
      <c r="F9" s="637" t="s">
        <v>491</v>
      </c>
      <c r="G9" s="636"/>
      <c r="H9" s="636" t="s">
        <v>518</v>
      </c>
      <c r="I9" s="636" t="s">
        <v>518</v>
      </c>
      <c r="J9" s="636" t="s">
        <v>519</v>
      </c>
      <c r="K9" s="636" t="s">
        <v>520</v>
      </c>
      <c r="L9" s="638">
        <v>507.0656923076927</v>
      </c>
      <c r="M9" s="638">
        <v>13</v>
      </c>
      <c r="N9" s="639">
        <v>6591.8540000000048</v>
      </c>
    </row>
    <row r="10" spans="1:14" ht="14.4" customHeight="1" x14ac:dyDescent="0.3">
      <c r="A10" s="634" t="s">
        <v>487</v>
      </c>
      <c r="B10" s="635" t="s">
        <v>489</v>
      </c>
      <c r="C10" s="636" t="s">
        <v>501</v>
      </c>
      <c r="D10" s="637" t="s">
        <v>502</v>
      </c>
      <c r="E10" s="636" t="s">
        <v>490</v>
      </c>
      <c r="F10" s="637" t="s">
        <v>491</v>
      </c>
      <c r="G10" s="636" t="s">
        <v>521</v>
      </c>
      <c r="H10" s="636" t="s">
        <v>522</v>
      </c>
      <c r="I10" s="636" t="s">
        <v>522</v>
      </c>
      <c r="J10" s="636" t="s">
        <v>523</v>
      </c>
      <c r="K10" s="636" t="s">
        <v>524</v>
      </c>
      <c r="L10" s="638">
        <v>179.39999999999998</v>
      </c>
      <c r="M10" s="638">
        <v>38</v>
      </c>
      <c r="N10" s="639">
        <v>6817.1999999999989</v>
      </c>
    </row>
    <row r="11" spans="1:14" ht="14.4" customHeight="1" x14ac:dyDescent="0.3">
      <c r="A11" s="634" t="s">
        <v>487</v>
      </c>
      <c r="B11" s="635" t="s">
        <v>489</v>
      </c>
      <c r="C11" s="636" t="s">
        <v>501</v>
      </c>
      <c r="D11" s="637" t="s">
        <v>502</v>
      </c>
      <c r="E11" s="636" t="s">
        <v>490</v>
      </c>
      <c r="F11" s="637" t="s">
        <v>491</v>
      </c>
      <c r="G11" s="636" t="s">
        <v>521</v>
      </c>
      <c r="H11" s="636" t="s">
        <v>525</v>
      </c>
      <c r="I11" s="636" t="s">
        <v>525</v>
      </c>
      <c r="J11" s="636" t="s">
        <v>526</v>
      </c>
      <c r="K11" s="636" t="s">
        <v>527</v>
      </c>
      <c r="L11" s="638">
        <v>181.59</v>
      </c>
      <c r="M11" s="638">
        <v>37</v>
      </c>
      <c r="N11" s="639">
        <v>6718.83</v>
      </c>
    </row>
    <row r="12" spans="1:14" ht="14.4" customHeight="1" x14ac:dyDescent="0.3">
      <c r="A12" s="634" t="s">
        <v>487</v>
      </c>
      <c r="B12" s="635" t="s">
        <v>489</v>
      </c>
      <c r="C12" s="636" t="s">
        <v>501</v>
      </c>
      <c r="D12" s="637" t="s">
        <v>502</v>
      </c>
      <c r="E12" s="636" t="s">
        <v>490</v>
      </c>
      <c r="F12" s="637" t="s">
        <v>491</v>
      </c>
      <c r="G12" s="636" t="s">
        <v>521</v>
      </c>
      <c r="H12" s="636" t="s">
        <v>528</v>
      </c>
      <c r="I12" s="636" t="s">
        <v>528</v>
      </c>
      <c r="J12" s="636" t="s">
        <v>529</v>
      </c>
      <c r="K12" s="636" t="s">
        <v>527</v>
      </c>
      <c r="L12" s="638">
        <v>149.5</v>
      </c>
      <c r="M12" s="638">
        <v>10</v>
      </c>
      <c r="N12" s="639">
        <v>1495</v>
      </c>
    </row>
    <row r="13" spans="1:14" ht="14.4" customHeight="1" x14ac:dyDescent="0.3">
      <c r="A13" s="634" t="s">
        <v>487</v>
      </c>
      <c r="B13" s="635" t="s">
        <v>489</v>
      </c>
      <c r="C13" s="636" t="s">
        <v>501</v>
      </c>
      <c r="D13" s="637" t="s">
        <v>502</v>
      </c>
      <c r="E13" s="636" t="s">
        <v>490</v>
      </c>
      <c r="F13" s="637" t="s">
        <v>491</v>
      </c>
      <c r="G13" s="636" t="s">
        <v>521</v>
      </c>
      <c r="H13" s="636" t="s">
        <v>530</v>
      </c>
      <c r="I13" s="636" t="s">
        <v>530</v>
      </c>
      <c r="J13" s="636" t="s">
        <v>529</v>
      </c>
      <c r="K13" s="636" t="s">
        <v>531</v>
      </c>
      <c r="L13" s="638">
        <v>132.25000000000003</v>
      </c>
      <c r="M13" s="638">
        <v>9</v>
      </c>
      <c r="N13" s="639">
        <v>1190.2500000000002</v>
      </c>
    </row>
    <row r="14" spans="1:14" ht="14.4" customHeight="1" x14ac:dyDescent="0.3">
      <c r="A14" s="634" t="s">
        <v>487</v>
      </c>
      <c r="B14" s="635" t="s">
        <v>489</v>
      </c>
      <c r="C14" s="636" t="s">
        <v>501</v>
      </c>
      <c r="D14" s="637" t="s">
        <v>502</v>
      </c>
      <c r="E14" s="636" t="s">
        <v>490</v>
      </c>
      <c r="F14" s="637" t="s">
        <v>491</v>
      </c>
      <c r="G14" s="636" t="s">
        <v>521</v>
      </c>
      <c r="H14" s="636" t="s">
        <v>532</v>
      </c>
      <c r="I14" s="636" t="s">
        <v>532</v>
      </c>
      <c r="J14" s="636" t="s">
        <v>523</v>
      </c>
      <c r="K14" s="636" t="s">
        <v>533</v>
      </c>
      <c r="L14" s="638">
        <v>97.180000000000021</v>
      </c>
      <c r="M14" s="638">
        <v>32</v>
      </c>
      <c r="N14" s="639">
        <v>3109.7600000000007</v>
      </c>
    </row>
    <row r="15" spans="1:14" ht="14.4" customHeight="1" x14ac:dyDescent="0.3">
      <c r="A15" s="634" t="s">
        <v>487</v>
      </c>
      <c r="B15" s="635" t="s">
        <v>489</v>
      </c>
      <c r="C15" s="636" t="s">
        <v>501</v>
      </c>
      <c r="D15" s="637" t="s">
        <v>502</v>
      </c>
      <c r="E15" s="636" t="s">
        <v>490</v>
      </c>
      <c r="F15" s="637" t="s">
        <v>491</v>
      </c>
      <c r="G15" s="636" t="s">
        <v>521</v>
      </c>
      <c r="H15" s="636" t="s">
        <v>534</v>
      </c>
      <c r="I15" s="636" t="s">
        <v>534</v>
      </c>
      <c r="J15" s="636" t="s">
        <v>523</v>
      </c>
      <c r="K15" s="636" t="s">
        <v>535</v>
      </c>
      <c r="L15" s="638">
        <v>97.75</v>
      </c>
      <c r="M15" s="638">
        <v>29</v>
      </c>
      <c r="N15" s="639">
        <v>2834.75</v>
      </c>
    </row>
    <row r="16" spans="1:14" ht="14.4" customHeight="1" x14ac:dyDescent="0.3">
      <c r="A16" s="634" t="s">
        <v>487</v>
      </c>
      <c r="B16" s="635" t="s">
        <v>489</v>
      </c>
      <c r="C16" s="636" t="s">
        <v>501</v>
      </c>
      <c r="D16" s="637" t="s">
        <v>502</v>
      </c>
      <c r="E16" s="636" t="s">
        <v>490</v>
      </c>
      <c r="F16" s="637" t="s">
        <v>491</v>
      </c>
      <c r="G16" s="636" t="s">
        <v>521</v>
      </c>
      <c r="H16" s="636" t="s">
        <v>536</v>
      </c>
      <c r="I16" s="636" t="s">
        <v>537</v>
      </c>
      <c r="J16" s="636" t="s">
        <v>538</v>
      </c>
      <c r="K16" s="636" t="s">
        <v>539</v>
      </c>
      <c r="L16" s="638">
        <v>84.569999999999979</v>
      </c>
      <c r="M16" s="638">
        <v>2</v>
      </c>
      <c r="N16" s="639">
        <v>169.13999999999996</v>
      </c>
    </row>
    <row r="17" spans="1:14" ht="14.4" customHeight="1" x14ac:dyDescent="0.3">
      <c r="A17" s="634" t="s">
        <v>487</v>
      </c>
      <c r="B17" s="635" t="s">
        <v>489</v>
      </c>
      <c r="C17" s="636" t="s">
        <v>501</v>
      </c>
      <c r="D17" s="637" t="s">
        <v>502</v>
      </c>
      <c r="E17" s="636" t="s">
        <v>490</v>
      </c>
      <c r="F17" s="637" t="s">
        <v>491</v>
      </c>
      <c r="G17" s="636" t="s">
        <v>521</v>
      </c>
      <c r="H17" s="636" t="s">
        <v>540</v>
      </c>
      <c r="I17" s="636" t="s">
        <v>541</v>
      </c>
      <c r="J17" s="636" t="s">
        <v>542</v>
      </c>
      <c r="K17" s="636" t="s">
        <v>543</v>
      </c>
      <c r="L17" s="638">
        <v>95.965123745792198</v>
      </c>
      <c r="M17" s="638">
        <v>70</v>
      </c>
      <c r="N17" s="639">
        <v>6717.5586622054543</v>
      </c>
    </row>
    <row r="18" spans="1:14" ht="14.4" customHeight="1" x14ac:dyDescent="0.3">
      <c r="A18" s="634" t="s">
        <v>487</v>
      </c>
      <c r="B18" s="635" t="s">
        <v>489</v>
      </c>
      <c r="C18" s="636" t="s">
        <v>501</v>
      </c>
      <c r="D18" s="637" t="s">
        <v>502</v>
      </c>
      <c r="E18" s="636" t="s">
        <v>490</v>
      </c>
      <c r="F18" s="637" t="s">
        <v>491</v>
      </c>
      <c r="G18" s="636" t="s">
        <v>521</v>
      </c>
      <c r="H18" s="636" t="s">
        <v>544</v>
      </c>
      <c r="I18" s="636" t="s">
        <v>545</v>
      </c>
      <c r="J18" s="636" t="s">
        <v>542</v>
      </c>
      <c r="K18" s="636" t="s">
        <v>546</v>
      </c>
      <c r="L18" s="638">
        <v>101.31647650371724</v>
      </c>
      <c r="M18" s="638">
        <v>6</v>
      </c>
      <c r="N18" s="639">
        <v>607.89885902230344</v>
      </c>
    </row>
    <row r="19" spans="1:14" ht="14.4" customHeight="1" x14ac:dyDescent="0.3">
      <c r="A19" s="634" t="s">
        <v>487</v>
      </c>
      <c r="B19" s="635" t="s">
        <v>489</v>
      </c>
      <c r="C19" s="636" t="s">
        <v>501</v>
      </c>
      <c r="D19" s="637" t="s">
        <v>502</v>
      </c>
      <c r="E19" s="636" t="s">
        <v>490</v>
      </c>
      <c r="F19" s="637" t="s">
        <v>491</v>
      </c>
      <c r="G19" s="636" t="s">
        <v>521</v>
      </c>
      <c r="H19" s="636" t="s">
        <v>547</v>
      </c>
      <c r="I19" s="636" t="s">
        <v>548</v>
      </c>
      <c r="J19" s="636" t="s">
        <v>549</v>
      </c>
      <c r="K19" s="636" t="s">
        <v>550</v>
      </c>
      <c r="L19" s="638">
        <v>64.707028806514629</v>
      </c>
      <c r="M19" s="638">
        <v>48</v>
      </c>
      <c r="N19" s="639">
        <v>3105.9373827127019</v>
      </c>
    </row>
    <row r="20" spans="1:14" ht="14.4" customHeight="1" x14ac:dyDescent="0.3">
      <c r="A20" s="634" t="s">
        <v>487</v>
      </c>
      <c r="B20" s="635" t="s">
        <v>489</v>
      </c>
      <c r="C20" s="636" t="s">
        <v>501</v>
      </c>
      <c r="D20" s="637" t="s">
        <v>502</v>
      </c>
      <c r="E20" s="636" t="s">
        <v>490</v>
      </c>
      <c r="F20" s="637" t="s">
        <v>491</v>
      </c>
      <c r="G20" s="636" t="s">
        <v>521</v>
      </c>
      <c r="H20" s="636" t="s">
        <v>551</v>
      </c>
      <c r="I20" s="636" t="s">
        <v>552</v>
      </c>
      <c r="J20" s="636" t="s">
        <v>553</v>
      </c>
      <c r="K20" s="636" t="s">
        <v>554</v>
      </c>
      <c r="L20" s="638">
        <v>56.128386525719883</v>
      </c>
      <c r="M20" s="638">
        <v>19</v>
      </c>
      <c r="N20" s="639">
        <v>1066.4393439886778</v>
      </c>
    </row>
    <row r="21" spans="1:14" ht="14.4" customHeight="1" x14ac:dyDescent="0.3">
      <c r="A21" s="634" t="s">
        <v>487</v>
      </c>
      <c r="B21" s="635" t="s">
        <v>489</v>
      </c>
      <c r="C21" s="636" t="s">
        <v>501</v>
      </c>
      <c r="D21" s="637" t="s">
        <v>502</v>
      </c>
      <c r="E21" s="636" t="s">
        <v>490</v>
      </c>
      <c r="F21" s="637" t="s">
        <v>491</v>
      </c>
      <c r="G21" s="636" t="s">
        <v>521</v>
      </c>
      <c r="H21" s="636" t="s">
        <v>555</v>
      </c>
      <c r="I21" s="636" t="s">
        <v>556</v>
      </c>
      <c r="J21" s="636" t="s">
        <v>557</v>
      </c>
      <c r="K21" s="636" t="s">
        <v>558</v>
      </c>
      <c r="L21" s="638">
        <v>65.229226102028804</v>
      </c>
      <c r="M21" s="638">
        <v>4</v>
      </c>
      <c r="N21" s="639">
        <v>260.91690440811522</v>
      </c>
    </row>
    <row r="22" spans="1:14" ht="14.4" customHeight="1" x14ac:dyDescent="0.3">
      <c r="A22" s="634" t="s">
        <v>487</v>
      </c>
      <c r="B22" s="635" t="s">
        <v>489</v>
      </c>
      <c r="C22" s="636" t="s">
        <v>501</v>
      </c>
      <c r="D22" s="637" t="s">
        <v>502</v>
      </c>
      <c r="E22" s="636" t="s">
        <v>490</v>
      </c>
      <c r="F22" s="637" t="s">
        <v>491</v>
      </c>
      <c r="G22" s="636" t="s">
        <v>521</v>
      </c>
      <c r="H22" s="636" t="s">
        <v>559</v>
      </c>
      <c r="I22" s="636" t="s">
        <v>560</v>
      </c>
      <c r="J22" s="636" t="s">
        <v>561</v>
      </c>
      <c r="K22" s="636" t="s">
        <v>562</v>
      </c>
      <c r="L22" s="638">
        <v>84.423333333333346</v>
      </c>
      <c r="M22" s="638">
        <v>15</v>
      </c>
      <c r="N22" s="639">
        <v>1266.3500000000001</v>
      </c>
    </row>
    <row r="23" spans="1:14" ht="14.4" customHeight="1" x14ac:dyDescent="0.3">
      <c r="A23" s="634" t="s">
        <v>487</v>
      </c>
      <c r="B23" s="635" t="s">
        <v>489</v>
      </c>
      <c r="C23" s="636" t="s">
        <v>501</v>
      </c>
      <c r="D23" s="637" t="s">
        <v>502</v>
      </c>
      <c r="E23" s="636" t="s">
        <v>490</v>
      </c>
      <c r="F23" s="637" t="s">
        <v>491</v>
      </c>
      <c r="G23" s="636" t="s">
        <v>521</v>
      </c>
      <c r="H23" s="636" t="s">
        <v>563</v>
      </c>
      <c r="I23" s="636" t="s">
        <v>564</v>
      </c>
      <c r="J23" s="636" t="s">
        <v>565</v>
      </c>
      <c r="K23" s="636" t="s">
        <v>566</v>
      </c>
      <c r="L23" s="638">
        <v>27.678314002934197</v>
      </c>
      <c r="M23" s="638">
        <v>170</v>
      </c>
      <c r="N23" s="639">
        <v>4705.3133804988138</v>
      </c>
    </row>
    <row r="24" spans="1:14" ht="14.4" customHeight="1" x14ac:dyDescent="0.3">
      <c r="A24" s="634" t="s">
        <v>487</v>
      </c>
      <c r="B24" s="635" t="s">
        <v>489</v>
      </c>
      <c r="C24" s="636" t="s">
        <v>501</v>
      </c>
      <c r="D24" s="637" t="s">
        <v>502</v>
      </c>
      <c r="E24" s="636" t="s">
        <v>490</v>
      </c>
      <c r="F24" s="637" t="s">
        <v>491</v>
      </c>
      <c r="G24" s="636" t="s">
        <v>521</v>
      </c>
      <c r="H24" s="636" t="s">
        <v>567</v>
      </c>
      <c r="I24" s="636" t="s">
        <v>568</v>
      </c>
      <c r="J24" s="636" t="s">
        <v>569</v>
      </c>
      <c r="K24" s="636" t="s">
        <v>570</v>
      </c>
      <c r="L24" s="638">
        <v>80.19</v>
      </c>
      <c r="M24" s="638">
        <v>1</v>
      </c>
      <c r="N24" s="639">
        <v>80.19</v>
      </c>
    </row>
    <row r="25" spans="1:14" ht="14.4" customHeight="1" x14ac:dyDescent="0.3">
      <c r="A25" s="634" t="s">
        <v>487</v>
      </c>
      <c r="B25" s="635" t="s">
        <v>489</v>
      </c>
      <c r="C25" s="636" t="s">
        <v>501</v>
      </c>
      <c r="D25" s="637" t="s">
        <v>502</v>
      </c>
      <c r="E25" s="636" t="s">
        <v>490</v>
      </c>
      <c r="F25" s="637" t="s">
        <v>491</v>
      </c>
      <c r="G25" s="636" t="s">
        <v>521</v>
      </c>
      <c r="H25" s="636" t="s">
        <v>571</v>
      </c>
      <c r="I25" s="636" t="s">
        <v>572</v>
      </c>
      <c r="J25" s="636" t="s">
        <v>573</v>
      </c>
      <c r="K25" s="636" t="s">
        <v>574</v>
      </c>
      <c r="L25" s="638">
        <v>37.189761712065675</v>
      </c>
      <c r="M25" s="638">
        <v>1</v>
      </c>
      <c r="N25" s="639">
        <v>37.189761712065675</v>
      </c>
    </row>
    <row r="26" spans="1:14" ht="14.4" customHeight="1" x14ac:dyDescent="0.3">
      <c r="A26" s="634" t="s">
        <v>487</v>
      </c>
      <c r="B26" s="635" t="s">
        <v>489</v>
      </c>
      <c r="C26" s="636" t="s">
        <v>501</v>
      </c>
      <c r="D26" s="637" t="s">
        <v>502</v>
      </c>
      <c r="E26" s="636" t="s">
        <v>490</v>
      </c>
      <c r="F26" s="637" t="s">
        <v>491</v>
      </c>
      <c r="G26" s="636" t="s">
        <v>521</v>
      </c>
      <c r="H26" s="636" t="s">
        <v>575</v>
      </c>
      <c r="I26" s="636" t="s">
        <v>576</v>
      </c>
      <c r="J26" s="636" t="s">
        <v>577</v>
      </c>
      <c r="K26" s="636" t="s">
        <v>554</v>
      </c>
      <c r="L26" s="638">
        <v>67.415676985192732</v>
      </c>
      <c r="M26" s="638">
        <v>14</v>
      </c>
      <c r="N26" s="639">
        <v>943.81947779269831</v>
      </c>
    </row>
    <row r="27" spans="1:14" ht="14.4" customHeight="1" x14ac:dyDescent="0.3">
      <c r="A27" s="634" t="s">
        <v>487</v>
      </c>
      <c r="B27" s="635" t="s">
        <v>489</v>
      </c>
      <c r="C27" s="636" t="s">
        <v>501</v>
      </c>
      <c r="D27" s="637" t="s">
        <v>502</v>
      </c>
      <c r="E27" s="636" t="s">
        <v>490</v>
      </c>
      <c r="F27" s="637" t="s">
        <v>491</v>
      </c>
      <c r="G27" s="636" t="s">
        <v>521</v>
      </c>
      <c r="H27" s="636" t="s">
        <v>578</v>
      </c>
      <c r="I27" s="636" t="s">
        <v>579</v>
      </c>
      <c r="J27" s="636" t="s">
        <v>580</v>
      </c>
      <c r="K27" s="636" t="s">
        <v>581</v>
      </c>
      <c r="L27" s="638">
        <v>33.828571428571415</v>
      </c>
      <c r="M27" s="638">
        <v>7</v>
      </c>
      <c r="N27" s="639">
        <v>236.79999999999993</v>
      </c>
    </row>
    <row r="28" spans="1:14" ht="14.4" customHeight="1" x14ac:dyDescent="0.3">
      <c r="A28" s="634" t="s">
        <v>487</v>
      </c>
      <c r="B28" s="635" t="s">
        <v>489</v>
      </c>
      <c r="C28" s="636" t="s">
        <v>501</v>
      </c>
      <c r="D28" s="637" t="s">
        <v>502</v>
      </c>
      <c r="E28" s="636" t="s">
        <v>490</v>
      </c>
      <c r="F28" s="637" t="s">
        <v>491</v>
      </c>
      <c r="G28" s="636" t="s">
        <v>521</v>
      </c>
      <c r="H28" s="636" t="s">
        <v>582</v>
      </c>
      <c r="I28" s="636" t="s">
        <v>583</v>
      </c>
      <c r="J28" s="636" t="s">
        <v>584</v>
      </c>
      <c r="K28" s="636" t="s">
        <v>585</v>
      </c>
      <c r="L28" s="638">
        <v>29.889645380800868</v>
      </c>
      <c r="M28" s="638">
        <v>3</v>
      </c>
      <c r="N28" s="639">
        <v>89.6689361424026</v>
      </c>
    </row>
    <row r="29" spans="1:14" ht="14.4" customHeight="1" x14ac:dyDescent="0.3">
      <c r="A29" s="634" t="s">
        <v>487</v>
      </c>
      <c r="B29" s="635" t="s">
        <v>489</v>
      </c>
      <c r="C29" s="636" t="s">
        <v>501</v>
      </c>
      <c r="D29" s="637" t="s">
        <v>502</v>
      </c>
      <c r="E29" s="636" t="s">
        <v>490</v>
      </c>
      <c r="F29" s="637" t="s">
        <v>491</v>
      </c>
      <c r="G29" s="636" t="s">
        <v>521</v>
      </c>
      <c r="H29" s="636" t="s">
        <v>586</v>
      </c>
      <c r="I29" s="636" t="s">
        <v>587</v>
      </c>
      <c r="J29" s="636" t="s">
        <v>588</v>
      </c>
      <c r="K29" s="636" t="s">
        <v>589</v>
      </c>
      <c r="L29" s="638">
        <v>60.350181355699995</v>
      </c>
      <c r="M29" s="638">
        <v>60</v>
      </c>
      <c r="N29" s="639">
        <v>3621.0108813419997</v>
      </c>
    </row>
    <row r="30" spans="1:14" ht="14.4" customHeight="1" x14ac:dyDescent="0.3">
      <c r="A30" s="634" t="s">
        <v>487</v>
      </c>
      <c r="B30" s="635" t="s">
        <v>489</v>
      </c>
      <c r="C30" s="636" t="s">
        <v>501</v>
      </c>
      <c r="D30" s="637" t="s">
        <v>502</v>
      </c>
      <c r="E30" s="636" t="s">
        <v>490</v>
      </c>
      <c r="F30" s="637" t="s">
        <v>491</v>
      </c>
      <c r="G30" s="636" t="s">
        <v>521</v>
      </c>
      <c r="H30" s="636" t="s">
        <v>590</v>
      </c>
      <c r="I30" s="636" t="s">
        <v>591</v>
      </c>
      <c r="J30" s="636" t="s">
        <v>592</v>
      </c>
      <c r="K30" s="636" t="s">
        <v>593</v>
      </c>
      <c r="L30" s="638">
        <v>111.12</v>
      </c>
      <c r="M30" s="638">
        <v>1</v>
      </c>
      <c r="N30" s="639">
        <v>111.12</v>
      </c>
    </row>
    <row r="31" spans="1:14" ht="14.4" customHeight="1" x14ac:dyDescent="0.3">
      <c r="A31" s="634" t="s">
        <v>487</v>
      </c>
      <c r="B31" s="635" t="s">
        <v>489</v>
      </c>
      <c r="C31" s="636" t="s">
        <v>501</v>
      </c>
      <c r="D31" s="637" t="s">
        <v>502</v>
      </c>
      <c r="E31" s="636" t="s">
        <v>490</v>
      </c>
      <c r="F31" s="637" t="s">
        <v>491</v>
      </c>
      <c r="G31" s="636" t="s">
        <v>521</v>
      </c>
      <c r="H31" s="636" t="s">
        <v>594</v>
      </c>
      <c r="I31" s="636" t="s">
        <v>595</v>
      </c>
      <c r="J31" s="636" t="s">
        <v>596</v>
      </c>
      <c r="K31" s="636" t="s">
        <v>597</v>
      </c>
      <c r="L31" s="638">
        <v>64.400000000000006</v>
      </c>
      <c r="M31" s="638">
        <v>2</v>
      </c>
      <c r="N31" s="639">
        <v>128.80000000000001</v>
      </c>
    </row>
    <row r="32" spans="1:14" ht="14.4" customHeight="1" x14ac:dyDescent="0.3">
      <c r="A32" s="634" t="s">
        <v>487</v>
      </c>
      <c r="B32" s="635" t="s">
        <v>489</v>
      </c>
      <c r="C32" s="636" t="s">
        <v>501</v>
      </c>
      <c r="D32" s="637" t="s">
        <v>502</v>
      </c>
      <c r="E32" s="636" t="s">
        <v>490</v>
      </c>
      <c r="F32" s="637" t="s">
        <v>491</v>
      </c>
      <c r="G32" s="636" t="s">
        <v>521</v>
      </c>
      <c r="H32" s="636" t="s">
        <v>598</v>
      </c>
      <c r="I32" s="636" t="s">
        <v>599</v>
      </c>
      <c r="J32" s="636" t="s">
        <v>600</v>
      </c>
      <c r="K32" s="636" t="s">
        <v>601</v>
      </c>
      <c r="L32" s="638">
        <v>260.00036910057611</v>
      </c>
      <c r="M32" s="638">
        <v>38</v>
      </c>
      <c r="N32" s="639">
        <v>9880.0140258218926</v>
      </c>
    </row>
    <row r="33" spans="1:14" ht="14.4" customHeight="1" x14ac:dyDescent="0.3">
      <c r="A33" s="634" t="s">
        <v>487</v>
      </c>
      <c r="B33" s="635" t="s">
        <v>489</v>
      </c>
      <c r="C33" s="636" t="s">
        <v>501</v>
      </c>
      <c r="D33" s="637" t="s">
        <v>502</v>
      </c>
      <c r="E33" s="636" t="s">
        <v>490</v>
      </c>
      <c r="F33" s="637" t="s">
        <v>491</v>
      </c>
      <c r="G33" s="636" t="s">
        <v>521</v>
      </c>
      <c r="H33" s="636" t="s">
        <v>602</v>
      </c>
      <c r="I33" s="636" t="s">
        <v>603</v>
      </c>
      <c r="J33" s="636" t="s">
        <v>604</v>
      </c>
      <c r="K33" s="636" t="s">
        <v>601</v>
      </c>
      <c r="L33" s="638">
        <v>344.39000000000004</v>
      </c>
      <c r="M33" s="638">
        <v>24</v>
      </c>
      <c r="N33" s="639">
        <v>8265.36</v>
      </c>
    </row>
    <row r="34" spans="1:14" ht="14.4" customHeight="1" x14ac:dyDescent="0.3">
      <c r="A34" s="634" t="s">
        <v>487</v>
      </c>
      <c r="B34" s="635" t="s">
        <v>489</v>
      </c>
      <c r="C34" s="636" t="s">
        <v>501</v>
      </c>
      <c r="D34" s="637" t="s">
        <v>502</v>
      </c>
      <c r="E34" s="636" t="s">
        <v>490</v>
      </c>
      <c r="F34" s="637" t="s">
        <v>491</v>
      </c>
      <c r="G34" s="636" t="s">
        <v>521</v>
      </c>
      <c r="H34" s="636" t="s">
        <v>605</v>
      </c>
      <c r="I34" s="636" t="s">
        <v>606</v>
      </c>
      <c r="J34" s="636" t="s">
        <v>607</v>
      </c>
      <c r="K34" s="636" t="s">
        <v>608</v>
      </c>
      <c r="L34" s="638">
        <v>151.13999999999999</v>
      </c>
      <c r="M34" s="638">
        <v>1</v>
      </c>
      <c r="N34" s="639">
        <v>151.13999999999999</v>
      </c>
    </row>
    <row r="35" spans="1:14" ht="14.4" customHeight="1" x14ac:dyDescent="0.3">
      <c r="A35" s="634" t="s">
        <v>487</v>
      </c>
      <c r="B35" s="635" t="s">
        <v>489</v>
      </c>
      <c r="C35" s="636" t="s">
        <v>501</v>
      </c>
      <c r="D35" s="637" t="s">
        <v>502</v>
      </c>
      <c r="E35" s="636" t="s">
        <v>490</v>
      </c>
      <c r="F35" s="637" t="s">
        <v>491</v>
      </c>
      <c r="G35" s="636" t="s">
        <v>521</v>
      </c>
      <c r="H35" s="636" t="s">
        <v>609</v>
      </c>
      <c r="I35" s="636" t="s">
        <v>610</v>
      </c>
      <c r="J35" s="636" t="s">
        <v>611</v>
      </c>
      <c r="K35" s="636" t="s">
        <v>612</v>
      </c>
      <c r="L35" s="638">
        <v>194.05</v>
      </c>
      <c r="M35" s="638">
        <v>17</v>
      </c>
      <c r="N35" s="639">
        <v>3298.8500000000004</v>
      </c>
    </row>
    <row r="36" spans="1:14" ht="14.4" customHeight="1" x14ac:dyDescent="0.3">
      <c r="A36" s="634" t="s">
        <v>487</v>
      </c>
      <c r="B36" s="635" t="s">
        <v>489</v>
      </c>
      <c r="C36" s="636" t="s">
        <v>501</v>
      </c>
      <c r="D36" s="637" t="s">
        <v>502</v>
      </c>
      <c r="E36" s="636" t="s">
        <v>490</v>
      </c>
      <c r="F36" s="637" t="s">
        <v>491</v>
      </c>
      <c r="G36" s="636" t="s">
        <v>521</v>
      </c>
      <c r="H36" s="636" t="s">
        <v>613</v>
      </c>
      <c r="I36" s="636" t="s">
        <v>613</v>
      </c>
      <c r="J36" s="636" t="s">
        <v>614</v>
      </c>
      <c r="K36" s="636" t="s">
        <v>615</v>
      </c>
      <c r="L36" s="638">
        <v>38.189953086473196</v>
      </c>
      <c r="M36" s="638">
        <v>60</v>
      </c>
      <c r="N36" s="639">
        <v>2291.3971851883916</v>
      </c>
    </row>
    <row r="37" spans="1:14" ht="14.4" customHeight="1" x14ac:dyDescent="0.3">
      <c r="A37" s="634" t="s">
        <v>487</v>
      </c>
      <c r="B37" s="635" t="s">
        <v>489</v>
      </c>
      <c r="C37" s="636" t="s">
        <v>501</v>
      </c>
      <c r="D37" s="637" t="s">
        <v>502</v>
      </c>
      <c r="E37" s="636" t="s">
        <v>490</v>
      </c>
      <c r="F37" s="637" t="s">
        <v>491</v>
      </c>
      <c r="G37" s="636" t="s">
        <v>521</v>
      </c>
      <c r="H37" s="636" t="s">
        <v>616</v>
      </c>
      <c r="I37" s="636" t="s">
        <v>617</v>
      </c>
      <c r="J37" s="636" t="s">
        <v>618</v>
      </c>
      <c r="K37" s="636" t="s">
        <v>619</v>
      </c>
      <c r="L37" s="638">
        <v>184.74</v>
      </c>
      <c r="M37" s="638">
        <v>1</v>
      </c>
      <c r="N37" s="639">
        <v>184.74</v>
      </c>
    </row>
    <row r="38" spans="1:14" ht="14.4" customHeight="1" x14ac:dyDescent="0.3">
      <c r="A38" s="634" t="s">
        <v>487</v>
      </c>
      <c r="B38" s="635" t="s">
        <v>489</v>
      </c>
      <c r="C38" s="636" t="s">
        <v>501</v>
      </c>
      <c r="D38" s="637" t="s">
        <v>502</v>
      </c>
      <c r="E38" s="636" t="s">
        <v>490</v>
      </c>
      <c r="F38" s="637" t="s">
        <v>491</v>
      </c>
      <c r="G38" s="636" t="s">
        <v>521</v>
      </c>
      <c r="H38" s="636" t="s">
        <v>620</v>
      </c>
      <c r="I38" s="636" t="s">
        <v>621</v>
      </c>
      <c r="J38" s="636" t="s">
        <v>588</v>
      </c>
      <c r="K38" s="636" t="s">
        <v>622</v>
      </c>
      <c r="L38" s="638">
        <v>22.480000000000004</v>
      </c>
      <c r="M38" s="638">
        <v>2</v>
      </c>
      <c r="N38" s="639">
        <v>44.960000000000008</v>
      </c>
    </row>
    <row r="39" spans="1:14" ht="14.4" customHeight="1" x14ac:dyDescent="0.3">
      <c r="A39" s="634" t="s">
        <v>487</v>
      </c>
      <c r="B39" s="635" t="s">
        <v>489</v>
      </c>
      <c r="C39" s="636" t="s">
        <v>501</v>
      </c>
      <c r="D39" s="637" t="s">
        <v>502</v>
      </c>
      <c r="E39" s="636" t="s">
        <v>490</v>
      </c>
      <c r="F39" s="637" t="s">
        <v>491</v>
      </c>
      <c r="G39" s="636" t="s">
        <v>521</v>
      </c>
      <c r="H39" s="636" t="s">
        <v>623</v>
      </c>
      <c r="I39" s="636" t="s">
        <v>624</v>
      </c>
      <c r="J39" s="636" t="s">
        <v>625</v>
      </c>
      <c r="K39" s="636" t="s">
        <v>626</v>
      </c>
      <c r="L39" s="638">
        <v>1127.81</v>
      </c>
      <c r="M39" s="638">
        <v>1</v>
      </c>
      <c r="N39" s="639">
        <v>1127.81</v>
      </c>
    </row>
    <row r="40" spans="1:14" ht="14.4" customHeight="1" x14ac:dyDescent="0.3">
      <c r="A40" s="634" t="s">
        <v>487</v>
      </c>
      <c r="B40" s="635" t="s">
        <v>489</v>
      </c>
      <c r="C40" s="636" t="s">
        <v>501</v>
      </c>
      <c r="D40" s="637" t="s">
        <v>502</v>
      </c>
      <c r="E40" s="636" t="s">
        <v>490</v>
      </c>
      <c r="F40" s="637" t="s">
        <v>491</v>
      </c>
      <c r="G40" s="636" t="s">
        <v>521</v>
      </c>
      <c r="H40" s="636" t="s">
        <v>627</v>
      </c>
      <c r="I40" s="636" t="s">
        <v>628</v>
      </c>
      <c r="J40" s="636" t="s">
        <v>629</v>
      </c>
      <c r="K40" s="636" t="s">
        <v>630</v>
      </c>
      <c r="L40" s="638">
        <v>161.82</v>
      </c>
      <c r="M40" s="638">
        <v>2</v>
      </c>
      <c r="N40" s="639">
        <v>323.64</v>
      </c>
    </row>
    <row r="41" spans="1:14" ht="14.4" customHeight="1" x14ac:dyDescent="0.3">
      <c r="A41" s="634" t="s">
        <v>487</v>
      </c>
      <c r="B41" s="635" t="s">
        <v>489</v>
      </c>
      <c r="C41" s="636" t="s">
        <v>501</v>
      </c>
      <c r="D41" s="637" t="s">
        <v>502</v>
      </c>
      <c r="E41" s="636" t="s">
        <v>490</v>
      </c>
      <c r="F41" s="637" t="s">
        <v>491</v>
      </c>
      <c r="G41" s="636" t="s">
        <v>521</v>
      </c>
      <c r="H41" s="636" t="s">
        <v>631</v>
      </c>
      <c r="I41" s="636" t="s">
        <v>632</v>
      </c>
      <c r="J41" s="636" t="s">
        <v>633</v>
      </c>
      <c r="K41" s="636" t="s">
        <v>634</v>
      </c>
      <c r="L41" s="638">
        <v>223.47</v>
      </c>
      <c r="M41" s="638">
        <v>1</v>
      </c>
      <c r="N41" s="639">
        <v>223.47</v>
      </c>
    </row>
    <row r="42" spans="1:14" ht="14.4" customHeight="1" x14ac:dyDescent="0.3">
      <c r="A42" s="634" t="s">
        <v>487</v>
      </c>
      <c r="B42" s="635" t="s">
        <v>489</v>
      </c>
      <c r="C42" s="636" t="s">
        <v>501</v>
      </c>
      <c r="D42" s="637" t="s">
        <v>502</v>
      </c>
      <c r="E42" s="636" t="s">
        <v>490</v>
      </c>
      <c r="F42" s="637" t="s">
        <v>491</v>
      </c>
      <c r="G42" s="636" t="s">
        <v>521</v>
      </c>
      <c r="H42" s="636" t="s">
        <v>635</v>
      </c>
      <c r="I42" s="636" t="s">
        <v>636</v>
      </c>
      <c r="J42" s="636" t="s">
        <v>637</v>
      </c>
      <c r="K42" s="636" t="s">
        <v>638</v>
      </c>
      <c r="L42" s="638">
        <v>75.239999999999995</v>
      </c>
      <c r="M42" s="638">
        <v>2</v>
      </c>
      <c r="N42" s="639">
        <v>150.47999999999999</v>
      </c>
    </row>
    <row r="43" spans="1:14" ht="14.4" customHeight="1" x14ac:dyDescent="0.3">
      <c r="A43" s="634" t="s">
        <v>487</v>
      </c>
      <c r="B43" s="635" t="s">
        <v>489</v>
      </c>
      <c r="C43" s="636" t="s">
        <v>501</v>
      </c>
      <c r="D43" s="637" t="s">
        <v>502</v>
      </c>
      <c r="E43" s="636" t="s">
        <v>490</v>
      </c>
      <c r="F43" s="637" t="s">
        <v>491</v>
      </c>
      <c r="G43" s="636" t="s">
        <v>521</v>
      </c>
      <c r="H43" s="636" t="s">
        <v>639</v>
      </c>
      <c r="I43" s="636" t="s">
        <v>640</v>
      </c>
      <c r="J43" s="636" t="s">
        <v>641</v>
      </c>
      <c r="K43" s="636" t="s">
        <v>642</v>
      </c>
      <c r="L43" s="638">
        <v>120.71999999999997</v>
      </c>
      <c r="M43" s="638">
        <v>1</v>
      </c>
      <c r="N43" s="639">
        <v>120.71999999999997</v>
      </c>
    </row>
    <row r="44" spans="1:14" ht="14.4" customHeight="1" x14ac:dyDescent="0.3">
      <c r="A44" s="634" t="s">
        <v>487</v>
      </c>
      <c r="B44" s="635" t="s">
        <v>489</v>
      </c>
      <c r="C44" s="636" t="s">
        <v>501</v>
      </c>
      <c r="D44" s="637" t="s">
        <v>502</v>
      </c>
      <c r="E44" s="636" t="s">
        <v>490</v>
      </c>
      <c r="F44" s="637" t="s">
        <v>491</v>
      </c>
      <c r="G44" s="636" t="s">
        <v>521</v>
      </c>
      <c r="H44" s="636" t="s">
        <v>643</v>
      </c>
      <c r="I44" s="636" t="s">
        <v>644</v>
      </c>
      <c r="J44" s="636" t="s">
        <v>645</v>
      </c>
      <c r="K44" s="636" t="s">
        <v>646</v>
      </c>
      <c r="L44" s="638">
        <v>376.02702080113812</v>
      </c>
      <c r="M44" s="638">
        <v>3</v>
      </c>
      <c r="N44" s="639">
        <v>1128.0810624034143</v>
      </c>
    </row>
    <row r="45" spans="1:14" ht="14.4" customHeight="1" x14ac:dyDescent="0.3">
      <c r="A45" s="634" t="s">
        <v>487</v>
      </c>
      <c r="B45" s="635" t="s">
        <v>489</v>
      </c>
      <c r="C45" s="636" t="s">
        <v>501</v>
      </c>
      <c r="D45" s="637" t="s">
        <v>502</v>
      </c>
      <c r="E45" s="636" t="s">
        <v>490</v>
      </c>
      <c r="F45" s="637" t="s">
        <v>491</v>
      </c>
      <c r="G45" s="636" t="s">
        <v>521</v>
      </c>
      <c r="H45" s="636" t="s">
        <v>647</v>
      </c>
      <c r="I45" s="636" t="s">
        <v>648</v>
      </c>
      <c r="J45" s="636" t="s">
        <v>649</v>
      </c>
      <c r="K45" s="636" t="s">
        <v>650</v>
      </c>
      <c r="L45" s="638">
        <v>63.639999999999993</v>
      </c>
      <c r="M45" s="638">
        <v>11</v>
      </c>
      <c r="N45" s="639">
        <v>700.04</v>
      </c>
    </row>
    <row r="46" spans="1:14" ht="14.4" customHeight="1" x14ac:dyDescent="0.3">
      <c r="A46" s="634" t="s">
        <v>487</v>
      </c>
      <c r="B46" s="635" t="s">
        <v>489</v>
      </c>
      <c r="C46" s="636" t="s">
        <v>501</v>
      </c>
      <c r="D46" s="637" t="s">
        <v>502</v>
      </c>
      <c r="E46" s="636" t="s">
        <v>490</v>
      </c>
      <c r="F46" s="637" t="s">
        <v>491</v>
      </c>
      <c r="G46" s="636" t="s">
        <v>521</v>
      </c>
      <c r="H46" s="636" t="s">
        <v>651</v>
      </c>
      <c r="I46" s="636" t="s">
        <v>652</v>
      </c>
      <c r="J46" s="636" t="s">
        <v>653</v>
      </c>
      <c r="K46" s="636" t="s">
        <v>654</v>
      </c>
      <c r="L46" s="638">
        <v>120.28666666666668</v>
      </c>
      <c r="M46" s="638">
        <v>3</v>
      </c>
      <c r="N46" s="639">
        <v>360.86</v>
      </c>
    </row>
    <row r="47" spans="1:14" ht="14.4" customHeight="1" x14ac:dyDescent="0.3">
      <c r="A47" s="634" t="s">
        <v>487</v>
      </c>
      <c r="B47" s="635" t="s">
        <v>489</v>
      </c>
      <c r="C47" s="636" t="s">
        <v>501</v>
      </c>
      <c r="D47" s="637" t="s">
        <v>502</v>
      </c>
      <c r="E47" s="636" t="s">
        <v>490</v>
      </c>
      <c r="F47" s="637" t="s">
        <v>491</v>
      </c>
      <c r="G47" s="636" t="s">
        <v>521</v>
      </c>
      <c r="H47" s="636" t="s">
        <v>655</v>
      </c>
      <c r="I47" s="636" t="s">
        <v>656</v>
      </c>
      <c r="J47" s="636" t="s">
        <v>657</v>
      </c>
      <c r="K47" s="636" t="s">
        <v>658</v>
      </c>
      <c r="L47" s="638">
        <v>76.680928259055577</v>
      </c>
      <c r="M47" s="638">
        <v>1</v>
      </c>
      <c r="N47" s="639">
        <v>76.680928259055577</v>
      </c>
    </row>
    <row r="48" spans="1:14" ht="14.4" customHeight="1" x14ac:dyDescent="0.3">
      <c r="A48" s="634" t="s">
        <v>487</v>
      </c>
      <c r="B48" s="635" t="s">
        <v>489</v>
      </c>
      <c r="C48" s="636" t="s">
        <v>501</v>
      </c>
      <c r="D48" s="637" t="s">
        <v>502</v>
      </c>
      <c r="E48" s="636" t="s">
        <v>490</v>
      </c>
      <c r="F48" s="637" t="s">
        <v>491</v>
      </c>
      <c r="G48" s="636" t="s">
        <v>521</v>
      </c>
      <c r="H48" s="636" t="s">
        <v>659</v>
      </c>
      <c r="I48" s="636" t="s">
        <v>660</v>
      </c>
      <c r="J48" s="636" t="s">
        <v>661</v>
      </c>
      <c r="K48" s="636" t="s">
        <v>662</v>
      </c>
      <c r="L48" s="638">
        <v>45.780013502999935</v>
      </c>
      <c r="M48" s="638">
        <v>12</v>
      </c>
      <c r="N48" s="639">
        <v>549.36016203599922</v>
      </c>
    </row>
    <row r="49" spans="1:14" ht="14.4" customHeight="1" x14ac:dyDescent="0.3">
      <c r="A49" s="634" t="s">
        <v>487</v>
      </c>
      <c r="B49" s="635" t="s">
        <v>489</v>
      </c>
      <c r="C49" s="636" t="s">
        <v>501</v>
      </c>
      <c r="D49" s="637" t="s">
        <v>502</v>
      </c>
      <c r="E49" s="636" t="s">
        <v>490</v>
      </c>
      <c r="F49" s="637" t="s">
        <v>491</v>
      </c>
      <c r="G49" s="636" t="s">
        <v>521</v>
      </c>
      <c r="H49" s="636" t="s">
        <v>663</v>
      </c>
      <c r="I49" s="636" t="s">
        <v>664</v>
      </c>
      <c r="J49" s="636" t="s">
        <v>665</v>
      </c>
      <c r="K49" s="636" t="s">
        <v>666</v>
      </c>
      <c r="L49" s="638">
        <v>92.479876410660893</v>
      </c>
      <c r="M49" s="638">
        <v>8</v>
      </c>
      <c r="N49" s="639">
        <v>739.83901128528714</v>
      </c>
    </row>
    <row r="50" spans="1:14" ht="14.4" customHeight="1" x14ac:dyDescent="0.3">
      <c r="A50" s="634" t="s">
        <v>487</v>
      </c>
      <c r="B50" s="635" t="s">
        <v>489</v>
      </c>
      <c r="C50" s="636" t="s">
        <v>501</v>
      </c>
      <c r="D50" s="637" t="s">
        <v>502</v>
      </c>
      <c r="E50" s="636" t="s">
        <v>490</v>
      </c>
      <c r="F50" s="637" t="s">
        <v>491</v>
      </c>
      <c r="G50" s="636" t="s">
        <v>521</v>
      </c>
      <c r="H50" s="636" t="s">
        <v>667</v>
      </c>
      <c r="I50" s="636" t="s">
        <v>668</v>
      </c>
      <c r="J50" s="636" t="s">
        <v>669</v>
      </c>
      <c r="K50" s="636" t="s">
        <v>670</v>
      </c>
      <c r="L50" s="638">
        <v>47.359835375158191</v>
      </c>
      <c r="M50" s="638">
        <v>12</v>
      </c>
      <c r="N50" s="639">
        <v>568.31802450189832</v>
      </c>
    </row>
    <row r="51" spans="1:14" ht="14.4" customHeight="1" x14ac:dyDescent="0.3">
      <c r="A51" s="634" t="s">
        <v>487</v>
      </c>
      <c r="B51" s="635" t="s">
        <v>489</v>
      </c>
      <c r="C51" s="636" t="s">
        <v>501</v>
      </c>
      <c r="D51" s="637" t="s">
        <v>502</v>
      </c>
      <c r="E51" s="636" t="s">
        <v>490</v>
      </c>
      <c r="F51" s="637" t="s">
        <v>491</v>
      </c>
      <c r="G51" s="636" t="s">
        <v>521</v>
      </c>
      <c r="H51" s="636" t="s">
        <v>671</v>
      </c>
      <c r="I51" s="636" t="s">
        <v>671</v>
      </c>
      <c r="J51" s="636" t="s">
        <v>596</v>
      </c>
      <c r="K51" s="636" t="s">
        <v>672</v>
      </c>
      <c r="L51" s="638">
        <v>106.815</v>
      </c>
      <c r="M51" s="638">
        <v>2</v>
      </c>
      <c r="N51" s="639">
        <v>213.63</v>
      </c>
    </row>
    <row r="52" spans="1:14" ht="14.4" customHeight="1" x14ac:dyDescent="0.3">
      <c r="A52" s="634" t="s">
        <v>487</v>
      </c>
      <c r="B52" s="635" t="s">
        <v>489</v>
      </c>
      <c r="C52" s="636" t="s">
        <v>501</v>
      </c>
      <c r="D52" s="637" t="s">
        <v>502</v>
      </c>
      <c r="E52" s="636" t="s">
        <v>490</v>
      </c>
      <c r="F52" s="637" t="s">
        <v>491</v>
      </c>
      <c r="G52" s="636" t="s">
        <v>521</v>
      </c>
      <c r="H52" s="636" t="s">
        <v>673</v>
      </c>
      <c r="I52" s="636" t="s">
        <v>674</v>
      </c>
      <c r="J52" s="636" t="s">
        <v>675</v>
      </c>
      <c r="K52" s="636" t="s">
        <v>676</v>
      </c>
      <c r="L52" s="638">
        <v>292.57687637044205</v>
      </c>
      <c r="M52" s="638">
        <v>26</v>
      </c>
      <c r="N52" s="639">
        <v>7606.9987856314938</v>
      </c>
    </row>
    <row r="53" spans="1:14" ht="14.4" customHeight="1" x14ac:dyDescent="0.3">
      <c r="A53" s="634" t="s">
        <v>487</v>
      </c>
      <c r="B53" s="635" t="s">
        <v>489</v>
      </c>
      <c r="C53" s="636" t="s">
        <v>501</v>
      </c>
      <c r="D53" s="637" t="s">
        <v>502</v>
      </c>
      <c r="E53" s="636" t="s">
        <v>490</v>
      </c>
      <c r="F53" s="637" t="s">
        <v>491</v>
      </c>
      <c r="G53" s="636" t="s">
        <v>521</v>
      </c>
      <c r="H53" s="636" t="s">
        <v>677</v>
      </c>
      <c r="I53" s="636" t="s">
        <v>678</v>
      </c>
      <c r="J53" s="636" t="s">
        <v>679</v>
      </c>
      <c r="K53" s="636" t="s">
        <v>680</v>
      </c>
      <c r="L53" s="638">
        <v>392.88844361162563</v>
      </c>
      <c r="M53" s="638">
        <v>6</v>
      </c>
      <c r="N53" s="639">
        <v>2357.3306616697537</v>
      </c>
    </row>
    <row r="54" spans="1:14" ht="14.4" customHeight="1" x14ac:dyDescent="0.3">
      <c r="A54" s="634" t="s">
        <v>487</v>
      </c>
      <c r="B54" s="635" t="s">
        <v>489</v>
      </c>
      <c r="C54" s="636" t="s">
        <v>501</v>
      </c>
      <c r="D54" s="637" t="s">
        <v>502</v>
      </c>
      <c r="E54" s="636" t="s">
        <v>490</v>
      </c>
      <c r="F54" s="637" t="s">
        <v>491</v>
      </c>
      <c r="G54" s="636" t="s">
        <v>521</v>
      </c>
      <c r="H54" s="636" t="s">
        <v>681</v>
      </c>
      <c r="I54" s="636" t="s">
        <v>682</v>
      </c>
      <c r="J54" s="636" t="s">
        <v>683</v>
      </c>
      <c r="K54" s="636" t="s">
        <v>684</v>
      </c>
      <c r="L54" s="638">
        <v>49.600209616704525</v>
      </c>
      <c r="M54" s="638">
        <v>3</v>
      </c>
      <c r="N54" s="639">
        <v>148.80062885011358</v>
      </c>
    </row>
    <row r="55" spans="1:14" ht="14.4" customHeight="1" x14ac:dyDescent="0.3">
      <c r="A55" s="634" t="s">
        <v>487</v>
      </c>
      <c r="B55" s="635" t="s">
        <v>489</v>
      </c>
      <c r="C55" s="636" t="s">
        <v>501</v>
      </c>
      <c r="D55" s="637" t="s">
        <v>502</v>
      </c>
      <c r="E55" s="636" t="s">
        <v>490</v>
      </c>
      <c r="F55" s="637" t="s">
        <v>491</v>
      </c>
      <c r="G55" s="636" t="s">
        <v>521</v>
      </c>
      <c r="H55" s="636" t="s">
        <v>685</v>
      </c>
      <c r="I55" s="636" t="s">
        <v>686</v>
      </c>
      <c r="J55" s="636" t="s">
        <v>687</v>
      </c>
      <c r="K55" s="636" t="s">
        <v>688</v>
      </c>
      <c r="L55" s="638">
        <v>55.45</v>
      </c>
      <c r="M55" s="638">
        <v>1</v>
      </c>
      <c r="N55" s="639">
        <v>55.45</v>
      </c>
    </row>
    <row r="56" spans="1:14" ht="14.4" customHeight="1" x14ac:dyDescent="0.3">
      <c r="A56" s="634" t="s">
        <v>487</v>
      </c>
      <c r="B56" s="635" t="s">
        <v>489</v>
      </c>
      <c r="C56" s="636" t="s">
        <v>501</v>
      </c>
      <c r="D56" s="637" t="s">
        <v>502</v>
      </c>
      <c r="E56" s="636" t="s">
        <v>490</v>
      </c>
      <c r="F56" s="637" t="s">
        <v>491</v>
      </c>
      <c r="G56" s="636" t="s">
        <v>521</v>
      </c>
      <c r="H56" s="636" t="s">
        <v>689</v>
      </c>
      <c r="I56" s="636" t="s">
        <v>690</v>
      </c>
      <c r="J56" s="636" t="s">
        <v>691</v>
      </c>
      <c r="K56" s="636" t="s">
        <v>692</v>
      </c>
      <c r="L56" s="638">
        <v>219.62041006981377</v>
      </c>
      <c r="M56" s="638">
        <v>32</v>
      </c>
      <c r="N56" s="639">
        <v>7027.8531222340407</v>
      </c>
    </row>
    <row r="57" spans="1:14" ht="14.4" customHeight="1" x14ac:dyDescent="0.3">
      <c r="A57" s="634" t="s">
        <v>487</v>
      </c>
      <c r="B57" s="635" t="s">
        <v>489</v>
      </c>
      <c r="C57" s="636" t="s">
        <v>501</v>
      </c>
      <c r="D57" s="637" t="s">
        <v>502</v>
      </c>
      <c r="E57" s="636" t="s">
        <v>490</v>
      </c>
      <c r="F57" s="637" t="s">
        <v>491</v>
      </c>
      <c r="G57" s="636" t="s">
        <v>521</v>
      </c>
      <c r="H57" s="636" t="s">
        <v>693</v>
      </c>
      <c r="I57" s="636" t="s">
        <v>246</v>
      </c>
      <c r="J57" s="636" t="s">
        <v>694</v>
      </c>
      <c r="K57" s="636"/>
      <c r="L57" s="638">
        <v>97.32031197311926</v>
      </c>
      <c r="M57" s="638">
        <v>24</v>
      </c>
      <c r="N57" s="639">
        <v>2335.6874873548622</v>
      </c>
    </row>
    <row r="58" spans="1:14" ht="14.4" customHeight="1" x14ac:dyDescent="0.3">
      <c r="A58" s="634" t="s">
        <v>487</v>
      </c>
      <c r="B58" s="635" t="s">
        <v>489</v>
      </c>
      <c r="C58" s="636" t="s">
        <v>501</v>
      </c>
      <c r="D58" s="637" t="s">
        <v>502</v>
      </c>
      <c r="E58" s="636" t="s">
        <v>490</v>
      </c>
      <c r="F58" s="637" t="s">
        <v>491</v>
      </c>
      <c r="G58" s="636" t="s">
        <v>521</v>
      </c>
      <c r="H58" s="636" t="s">
        <v>695</v>
      </c>
      <c r="I58" s="636" t="s">
        <v>246</v>
      </c>
      <c r="J58" s="636" t="s">
        <v>696</v>
      </c>
      <c r="K58" s="636"/>
      <c r="L58" s="638">
        <v>218.19842989479599</v>
      </c>
      <c r="M58" s="638">
        <v>2</v>
      </c>
      <c r="N58" s="639">
        <v>436.39685978959199</v>
      </c>
    </row>
    <row r="59" spans="1:14" ht="14.4" customHeight="1" x14ac:dyDescent="0.3">
      <c r="A59" s="634" t="s">
        <v>487</v>
      </c>
      <c r="B59" s="635" t="s">
        <v>489</v>
      </c>
      <c r="C59" s="636" t="s">
        <v>501</v>
      </c>
      <c r="D59" s="637" t="s">
        <v>502</v>
      </c>
      <c r="E59" s="636" t="s">
        <v>490</v>
      </c>
      <c r="F59" s="637" t="s">
        <v>491</v>
      </c>
      <c r="G59" s="636" t="s">
        <v>521</v>
      </c>
      <c r="H59" s="636" t="s">
        <v>697</v>
      </c>
      <c r="I59" s="636" t="s">
        <v>246</v>
      </c>
      <c r="J59" s="636" t="s">
        <v>698</v>
      </c>
      <c r="K59" s="636"/>
      <c r="L59" s="638">
        <v>100.67999999999995</v>
      </c>
      <c r="M59" s="638">
        <v>10</v>
      </c>
      <c r="N59" s="639">
        <v>1006.7999999999995</v>
      </c>
    </row>
    <row r="60" spans="1:14" ht="14.4" customHeight="1" x14ac:dyDescent="0.3">
      <c r="A60" s="634" t="s">
        <v>487</v>
      </c>
      <c r="B60" s="635" t="s">
        <v>489</v>
      </c>
      <c r="C60" s="636" t="s">
        <v>501</v>
      </c>
      <c r="D60" s="637" t="s">
        <v>502</v>
      </c>
      <c r="E60" s="636" t="s">
        <v>490</v>
      </c>
      <c r="F60" s="637" t="s">
        <v>491</v>
      </c>
      <c r="G60" s="636" t="s">
        <v>521</v>
      </c>
      <c r="H60" s="636" t="s">
        <v>699</v>
      </c>
      <c r="I60" s="636" t="s">
        <v>700</v>
      </c>
      <c r="J60" s="636" t="s">
        <v>701</v>
      </c>
      <c r="K60" s="636" t="s">
        <v>702</v>
      </c>
      <c r="L60" s="638">
        <v>70.527692307692305</v>
      </c>
      <c r="M60" s="638">
        <v>13</v>
      </c>
      <c r="N60" s="639">
        <v>916.8599999999999</v>
      </c>
    </row>
    <row r="61" spans="1:14" ht="14.4" customHeight="1" x14ac:dyDescent="0.3">
      <c r="A61" s="634" t="s">
        <v>487</v>
      </c>
      <c r="B61" s="635" t="s">
        <v>489</v>
      </c>
      <c r="C61" s="636" t="s">
        <v>501</v>
      </c>
      <c r="D61" s="637" t="s">
        <v>502</v>
      </c>
      <c r="E61" s="636" t="s">
        <v>490</v>
      </c>
      <c r="F61" s="637" t="s">
        <v>491</v>
      </c>
      <c r="G61" s="636" t="s">
        <v>521</v>
      </c>
      <c r="H61" s="636" t="s">
        <v>703</v>
      </c>
      <c r="I61" s="636" t="s">
        <v>246</v>
      </c>
      <c r="J61" s="636" t="s">
        <v>704</v>
      </c>
      <c r="K61" s="636" t="s">
        <v>705</v>
      </c>
      <c r="L61" s="638">
        <v>1440.12</v>
      </c>
      <c r="M61" s="638">
        <v>3</v>
      </c>
      <c r="N61" s="639">
        <v>4320.3599999999997</v>
      </c>
    </row>
    <row r="62" spans="1:14" ht="14.4" customHeight="1" x14ac:dyDescent="0.3">
      <c r="A62" s="634" t="s">
        <v>487</v>
      </c>
      <c r="B62" s="635" t="s">
        <v>489</v>
      </c>
      <c r="C62" s="636" t="s">
        <v>501</v>
      </c>
      <c r="D62" s="637" t="s">
        <v>502</v>
      </c>
      <c r="E62" s="636" t="s">
        <v>490</v>
      </c>
      <c r="F62" s="637" t="s">
        <v>491</v>
      </c>
      <c r="G62" s="636" t="s">
        <v>521</v>
      </c>
      <c r="H62" s="636" t="s">
        <v>706</v>
      </c>
      <c r="I62" s="636" t="s">
        <v>707</v>
      </c>
      <c r="J62" s="636" t="s">
        <v>708</v>
      </c>
      <c r="K62" s="636" t="s">
        <v>709</v>
      </c>
      <c r="L62" s="638">
        <v>37.56</v>
      </c>
      <c r="M62" s="638">
        <v>2</v>
      </c>
      <c r="N62" s="639">
        <v>75.12</v>
      </c>
    </row>
    <row r="63" spans="1:14" ht="14.4" customHeight="1" x14ac:dyDescent="0.3">
      <c r="A63" s="634" t="s">
        <v>487</v>
      </c>
      <c r="B63" s="635" t="s">
        <v>489</v>
      </c>
      <c r="C63" s="636" t="s">
        <v>501</v>
      </c>
      <c r="D63" s="637" t="s">
        <v>502</v>
      </c>
      <c r="E63" s="636" t="s">
        <v>490</v>
      </c>
      <c r="F63" s="637" t="s">
        <v>491</v>
      </c>
      <c r="G63" s="636" t="s">
        <v>521</v>
      </c>
      <c r="H63" s="636" t="s">
        <v>710</v>
      </c>
      <c r="I63" s="636" t="s">
        <v>711</v>
      </c>
      <c r="J63" s="636" t="s">
        <v>712</v>
      </c>
      <c r="K63" s="636" t="s">
        <v>713</v>
      </c>
      <c r="L63" s="638">
        <v>42.427188440927353</v>
      </c>
      <c r="M63" s="638">
        <v>77</v>
      </c>
      <c r="N63" s="639">
        <v>3266.893509951406</v>
      </c>
    </row>
    <row r="64" spans="1:14" ht="14.4" customHeight="1" x14ac:dyDescent="0.3">
      <c r="A64" s="634" t="s">
        <v>487</v>
      </c>
      <c r="B64" s="635" t="s">
        <v>489</v>
      </c>
      <c r="C64" s="636" t="s">
        <v>501</v>
      </c>
      <c r="D64" s="637" t="s">
        <v>502</v>
      </c>
      <c r="E64" s="636" t="s">
        <v>490</v>
      </c>
      <c r="F64" s="637" t="s">
        <v>491</v>
      </c>
      <c r="G64" s="636" t="s">
        <v>521</v>
      </c>
      <c r="H64" s="636" t="s">
        <v>714</v>
      </c>
      <c r="I64" s="636" t="s">
        <v>715</v>
      </c>
      <c r="J64" s="636" t="s">
        <v>716</v>
      </c>
      <c r="K64" s="636" t="s">
        <v>717</v>
      </c>
      <c r="L64" s="638">
        <v>59.21</v>
      </c>
      <c r="M64" s="638">
        <v>2</v>
      </c>
      <c r="N64" s="639">
        <v>118.42</v>
      </c>
    </row>
    <row r="65" spans="1:14" ht="14.4" customHeight="1" x14ac:dyDescent="0.3">
      <c r="A65" s="634" t="s">
        <v>487</v>
      </c>
      <c r="B65" s="635" t="s">
        <v>489</v>
      </c>
      <c r="C65" s="636" t="s">
        <v>501</v>
      </c>
      <c r="D65" s="637" t="s">
        <v>502</v>
      </c>
      <c r="E65" s="636" t="s">
        <v>490</v>
      </c>
      <c r="F65" s="637" t="s">
        <v>491</v>
      </c>
      <c r="G65" s="636" t="s">
        <v>521</v>
      </c>
      <c r="H65" s="636" t="s">
        <v>718</v>
      </c>
      <c r="I65" s="636" t="s">
        <v>719</v>
      </c>
      <c r="J65" s="636" t="s">
        <v>716</v>
      </c>
      <c r="K65" s="636" t="s">
        <v>720</v>
      </c>
      <c r="L65" s="638">
        <v>29.52</v>
      </c>
      <c r="M65" s="638">
        <v>2</v>
      </c>
      <c r="N65" s="639">
        <v>59.04</v>
      </c>
    </row>
    <row r="66" spans="1:14" ht="14.4" customHeight="1" x14ac:dyDescent="0.3">
      <c r="A66" s="634" t="s">
        <v>487</v>
      </c>
      <c r="B66" s="635" t="s">
        <v>489</v>
      </c>
      <c r="C66" s="636" t="s">
        <v>501</v>
      </c>
      <c r="D66" s="637" t="s">
        <v>502</v>
      </c>
      <c r="E66" s="636" t="s">
        <v>490</v>
      </c>
      <c r="F66" s="637" t="s">
        <v>491</v>
      </c>
      <c r="G66" s="636" t="s">
        <v>521</v>
      </c>
      <c r="H66" s="636" t="s">
        <v>721</v>
      </c>
      <c r="I66" s="636" t="s">
        <v>722</v>
      </c>
      <c r="J66" s="636" t="s">
        <v>723</v>
      </c>
      <c r="K66" s="636" t="s">
        <v>619</v>
      </c>
      <c r="L66" s="638">
        <v>274.08999999999997</v>
      </c>
      <c r="M66" s="638">
        <v>1</v>
      </c>
      <c r="N66" s="639">
        <v>274.08999999999997</v>
      </c>
    </row>
    <row r="67" spans="1:14" ht="14.4" customHeight="1" x14ac:dyDescent="0.3">
      <c r="A67" s="634" t="s">
        <v>487</v>
      </c>
      <c r="B67" s="635" t="s">
        <v>489</v>
      </c>
      <c r="C67" s="636" t="s">
        <v>501</v>
      </c>
      <c r="D67" s="637" t="s">
        <v>502</v>
      </c>
      <c r="E67" s="636" t="s">
        <v>490</v>
      </c>
      <c r="F67" s="637" t="s">
        <v>491</v>
      </c>
      <c r="G67" s="636" t="s">
        <v>521</v>
      </c>
      <c r="H67" s="636" t="s">
        <v>724</v>
      </c>
      <c r="I67" s="636" t="s">
        <v>725</v>
      </c>
      <c r="J67" s="636" t="s">
        <v>726</v>
      </c>
      <c r="K67" s="636" t="s">
        <v>727</v>
      </c>
      <c r="L67" s="638">
        <v>527.85</v>
      </c>
      <c r="M67" s="638">
        <v>1</v>
      </c>
      <c r="N67" s="639">
        <v>527.85</v>
      </c>
    </row>
    <row r="68" spans="1:14" ht="14.4" customHeight="1" x14ac:dyDescent="0.3">
      <c r="A68" s="634" t="s">
        <v>487</v>
      </c>
      <c r="B68" s="635" t="s">
        <v>489</v>
      </c>
      <c r="C68" s="636" t="s">
        <v>501</v>
      </c>
      <c r="D68" s="637" t="s">
        <v>502</v>
      </c>
      <c r="E68" s="636" t="s">
        <v>490</v>
      </c>
      <c r="F68" s="637" t="s">
        <v>491</v>
      </c>
      <c r="G68" s="636" t="s">
        <v>521</v>
      </c>
      <c r="H68" s="636" t="s">
        <v>728</v>
      </c>
      <c r="I68" s="636" t="s">
        <v>246</v>
      </c>
      <c r="J68" s="636" t="s">
        <v>729</v>
      </c>
      <c r="K68" s="636"/>
      <c r="L68" s="638">
        <v>194.16599519578693</v>
      </c>
      <c r="M68" s="638">
        <v>11</v>
      </c>
      <c r="N68" s="639">
        <v>2135.8259471536562</v>
      </c>
    </row>
    <row r="69" spans="1:14" ht="14.4" customHeight="1" x14ac:dyDescent="0.3">
      <c r="A69" s="634" t="s">
        <v>487</v>
      </c>
      <c r="B69" s="635" t="s">
        <v>489</v>
      </c>
      <c r="C69" s="636" t="s">
        <v>501</v>
      </c>
      <c r="D69" s="637" t="s">
        <v>502</v>
      </c>
      <c r="E69" s="636" t="s">
        <v>490</v>
      </c>
      <c r="F69" s="637" t="s">
        <v>491</v>
      </c>
      <c r="G69" s="636" t="s">
        <v>521</v>
      </c>
      <c r="H69" s="636" t="s">
        <v>730</v>
      </c>
      <c r="I69" s="636" t="s">
        <v>730</v>
      </c>
      <c r="J69" s="636" t="s">
        <v>523</v>
      </c>
      <c r="K69" s="636" t="s">
        <v>731</v>
      </c>
      <c r="L69" s="638">
        <v>201.25</v>
      </c>
      <c r="M69" s="638">
        <v>9</v>
      </c>
      <c r="N69" s="639">
        <v>1811.25</v>
      </c>
    </row>
    <row r="70" spans="1:14" ht="14.4" customHeight="1" x14ac:dyDescent="0.3">
      <c r="A70" s="634" t="s">
        <v>487</v>
      </c>
      <c r="B70" s="635" t="s">
        <v>489</v>
      </c>
      <c r="C70" s="636" t="s">
        <v>501</v>
      </c>
      <c r="D70" s="637" t="s">
        <v>502</v>
      </c>
      <c r="E70" s="636" t="s">
        <v>490</v>
      </c>
      <c r="F70" s="637" t="s">
        <v>491</v>
      </c>
      <c r="G70" s="636" t="s">
        <v>521</v>
      </c>
      <c r="H70" s="636" t="s">
        <v>732</v>
      </c>
      <c r="I70" s="636" t="s">
        <v>733</v>
      </c>
      <c r="J70" s="636" t="s">
        <v>734</v>
      </c>
      <c r="K70" s="636" t="s">
        <v>735</v>
      </c>
      <c r="L70" s="638">
        <v>42.65482116185607</v>
      </c>
      <c r="M70" s="638">
        <v>6</v>
      </c>
      <c r="N70" s="639">
        <v>255.92892697113643</v>
      </c>
    </row>
    <row r="71" spans="1:14" ht="14.4" customHeight="1" x14ac:dyDescent="0.3">
      <c r="A71" s="634" t="s">
        <v>487</v>
      </c>
      <c r="B71" s="635" t="s">
        <v>489</v>
      </c>
      <c r="C71" s="636" t="s">
        <v>501</v>
      </c>
      <c r="D71" s="637" t="s">
        <v>502</v>
      </c>
      <c r="E71" s="636" t="s">
        <v>490</v>
      </c>
      <c r="F71" s="637" t="s">
        <v>491</v>
      </c>
      <c r="G71" s="636" t="s">
        <v>521</v>
      </c>
      <c r="H71" s="636" t="s">
        <v>736</v>
      </c>
      <c r="I71" s="636" t="s">
        <v>737</v>
      </c>
      <c r="J71" s="636" t="s">
        <v>738</v>
      </c>
      <c r="K71" s="636" t="s">
        <v>543</v>
      </c>
      <c r="L71" s="638">
        <v>60.88</v>
      </c>
      <c r="M71" s="638">
        <v>3</v>
      </c>
      <c r="N71" s="639">
        <v>182.64000000000001</v>
      </c>
    </row>
    <row r="72" spans="1:14" ht="14.4" customHeight="1" x14ac:dyDescent="0.3">
      <c r="A72" s="634" t="s">
        <v>487</v>
      </c>
      <c r="B72" s="635" t="s">
        <v>489</v>
      </c>
      <c r="C72" s="636" t="s">
        <v>501</v>
      </c>
      <c r="D72" s="637" t="s">
        <v>502</v>
      </c>
      <c r="E72" s="636" t="s">
        <v>490</v>
      </c>
      <c r="F72" s="637" t="s">
        <v>491</v>
      </c>
      <c r="G72" s="636" t="s">
        <v>521</v>
      </c>
      <c r="H72" s="636" t="s">
        <v>739</v>
      </c>
      <c r="I72" s="636" t="s">
        <v>740</v>
      </c>
      <c r="J72" s="636" t="s">
        <v>741</v>
      </c>
      <c r="K72" s="636" t="s">
        <v>539</v>
      </c>
      <c r="L72" s="638">
        <v>121.83269511468458</v>
      </c>
      <c r="M72" s="638">
        <v>280</v>
      </c>
      <c r="N72" s="639">
        <v>34113.154632111684</v>
      </c>
    </row>
    <row r="73" spans="1:14" ht="14.4" customHeight="1" x14ac:dyDescent="0.3">
      <c r="A73" s="634" t="s">
        <v>487</v>
      </c>
      <c r="B73" s="635" t="s">
        <v>489</v>
      </c>
      <c r="C73" s="636" t="s">
        <v>501</v>
      </c>
      <c r="D73" s="637" t="s">
        <v>502</v>
      </c>
      <c r="E73" s="636" t="s">
        <v>490</v>
      </c>
      <c r="F73" s="637" t="s">
        <v>491</v>
      </c>
      <c r="G73" s="636" t="s">
        <v>521</v>
      </c>
      <c r="H73" s="636" t="s">
        <v>742</v>
      </c>
      <c r="I73" s="636" t="s">
        <v>743</v>
      </c>
      <c r="J73" s="636" t="s">
        <v>744</v>
      </c>
      <c r="K73" s="636" t="s">
        <v>745</v>
      </c>
      <c r="L73" s="638">
        <v>60.040886782561799</v>
      </c>
      <c r="M73" s="638">
        <v>33</v>
      </c>
      <c r="N73" s="639">
        <v>1981.3492638245393</v>
      </c>
    </row>
    <row r="74" spans="1:14" ht="14.4" customHeight="1" x14ac:dyDescent="0.3">
      <c r="A74" s="634" t="s">
        <v>487</v>
      </c>
      <c r="B74" s="635" t="s">
        <v>489</v>
      </c>
      <c r="C74" s="636" t="s">
        <v>501</v>
      </c>
      <c r="D74" s="637" t="s">
        <v>502</v>
      </c>
      <c r="E74" s="636" t="s">
        <v>490</v>
      </c>
      <c r="F74" s="637" t="s">
        <v>491</v>
      </c>
      <c r="G74" s="636" t="s">
        <v>521</v>
      </c>
      <c r="H74" s="636" t="s">
        <v>746</v>
      </c>
      <c r="I74" s="636" t="s">
        <v>747</v>
      </c>
      <c r="J74" s="636" t="s">
        <v>748</v>
      </c>
      <c r="K74" s="636" t="s">
        <v>749</v>
      </c>
      <c r="L74" s="638">
        <v>1665.2</v>
      </c>
      <c r="M74" s="638">
        <v>7</v>
      </c>
      <c r="N74" s="639">
        <v>11656.4</v>
      </c>
    </row>
    <row r="75" spans="1:14" ht="14.4" customHeight="1" x14ac:dyDescent="0.3">
      <c r="A75" s="634" t="s">
        <v>487</v>
      </c>
      <c r="B75" s="635" t="s">
        <v>489</v>
      </c>
      <c r="C75" s="636" t="s">
        <v>501</v>
      </c>
      <c r="D75" s="637" t="s">
        <v>502</v>
      </c>
      <c r="E75" s="636" t="s">
        <v>490</v>
      </c>
      <c r="F75" s="637" t="s">
        <v>491</v>
      </c>
      <c r="G75" s="636" t="s">
        <v>521</v>
      </c>
      <c r="H75" s="636" t="s">
        <v>750</v>
      </c>
      <c r="I75" s="636" t="s">
        <v>751</v>
      </c>
      <c r="J75" s="636" t="s">
        <v>752</v>
      </c>
      <c r="K75" s="636" t="s">
        <v>753</v>
      </c>
      <c r="L75" s="638">
        <v>78.595826967496848</v>
      </c>
      <c r="M75" s="638">
        <v>35</v>
      </c>
      <c r="N75" s="639">
        <v>2750.8539438623898</v>
      </c>
    </row>
    <row r="76" spans="1:14" ht="14.4" customHeight="1" x14ac:dyDescent="0.3">
      <c r="A76" s="634" t="s">
        <v>487</v>
      </c>
      <c r="B76" s="635" t="s">
        <v>489</v>
      </c>
      <c r="C76" s="636" t="s">
        <v>501</v>
      </c>
      <c r="D76" s="637" t="s">
        <v>502</v>
      </c>
      <c r="E76" s="636" t="s">
        <v>490</v>
      </c>
      <c r="F76" s="637" t="s">
        <v>491</v>
      </c>
      <c r="G76" s="636" t="s">
        <v>521</v>
      </c>
      <c r="H76" s="636" t="s">
        <v>754</v>
      </c>
      <c r="I76" s="636" t="s">
        <v>755</v>
      </c>
      <c r="J76" s="636" t="s">
        <v>611</v>
      </c>
      <c r="K76" s="636" t="s">
        <v>756</v>
      </c>
      <c r="L76" s="638">
        <v>259.99999999999994</v>
      </c>
      <c r="M76" s="638">
        <v>18</v>
      </c>
      <c r="N76" s="639">
        <v>4679.9999999999991</v>
      </c>
    </row>
    <row r="77" spans="1:14" ht="14.4" customHeight="1" x14ac:dyDescent="0.3">
      <c r="A77" s="634" t="s">
        <v>487</v>
      </c>
      <c r="B77" s="635" t="s">
        <v>489</v>
      </c>
      <c r="C77" s="636" t="s">
        <v>501</v>
      </c>
      <c r="D77" s="637" t="s">
        <v>502</v>
      </c>
      <c r="E77" s="636" t="s">
        <v>490</v>
      </c>
      <c r="F77" s="637" t="s">
        <v>491</v>
      </c>
      <c r="G77" s="636" t="s">
        <v>521</v>
      </c>
      <c r="H77" s="636" t="s">
        <v>757</v>
      </c>
      <c r="I77" s="636" t="s">
        <v>758</v>
      </c>
      <c r="J77" s="636" t="s">
        <v>759</v>
      </c>
      <c r="K77" s="636" t="s">
        <v>760</v>
      </c>
      <c r="L77" s="638">
        <v>103.33977100041864</v>
      </c>
      <c r="M77" s="638">
        <v>3</v>
      </c>
      <c r="N77" s="639">
        <v>310.01931300125591</v>
      </c>
    </row>
    <row r="78" spans="1:14" ht="14.4" customHeight="1" x14ac:dyDescent="0.3">
      <c r="A78" s="634" t="s">
        <v>487</v>
      </c>
      <c r="B78" s="635" t="s">
        <v>489</v>
      </c>
      <c r="C78" s="636" t="s">
        <v>501</v>
      </c>
      <c r="D78" s="637" t="s">
        <v>502</v>
      </c>
      <c r="E78" s="636" t="s">
        <v>490</v>
      </c>
      <c r="F78" s="637" t="s">
        <v>491</v>
      </c>
      <c r="G78" s="636" t="s">
        <v>521</v>
      </c>
      <c r="H78" s="636" t="s">
        <v>761</v>
      </c>
      <c r="I78" s="636" t="s">
        <v>762</v>
      </c>
      <c r="J78" s="636" t="s">
        <v>763</v>
      </c>
      <c r="K78" s="636" t="s">
        <v>764</v>
      </c>
      <c r="L78" s="638">
        <v>1121.3100000000002</v>
      </c>
      <c r="M78" s="638">
        <v>3</v>
      </c>
      <c r="N78" s="639">
        <v>3363.9300000000003</v>
      </c>
    </row>
    <row r="79" spans="1:14" ht="14.4" customHeight="1" x14ac:dyDescent="0.3">
      <c r="A79" s="634" t="s">
        <v>487</v>
      </c>
      <c r="B79" s="635" t="s">
        <v>489</v>
      </c>
      <c r="C79" s="636" t="s">
        <v>501</v>
      </c>
      <c r="D79" s="637" t="s">
        <v>502</v>
      </c>
      <c r="E79" s="636" t="s">
        <v>490</v>
      </c>
      <c r="F79" s="637" t="s">
        <v>491</v>
      </c>
      <c r="G79" s="636" t="s">
        <v>521</v>
      </c>
      <c r="H79" s="636" t="s">
        <v>765</v>
      </c>
      <c r="I79" s="636" t="s">
        <v>766</v>
      </c>
      <c r="J79" s="636" t="s">
        <v>767</v>
      </c>
      <c r="K79" s="636" t="s">
        <v>768</v>
      </c>
      <c r="L79" s="638">
        <v>197.47598175749587</v>
      </c>
      <c r="M79" s="638">
        <v>7</v>
      </c>
      <c r="N79" s="639">
        <v>1382.3318723024711</v>
      </c>
    </row>
    <row r="80" spans="1:14" ht="14.4" customHeight="1" x14ac:dyDescent="0.3">
      <c r="A80" s="634" t="s">
        <v>487</v>
      </c>
      <c r="B80" s="635" t="s">
        <v>489</v>
      </c>
      <c r="C80" s="636" t="s">
        <v>501</v>
      </c>
      <c r="D80" s="637" t="s">
        <v>502</v>
      </c>
      <c r="E80" s="636" t="s">
        <v>490</v>
      </c>
      <c r="F80" s="637" t="s">
        <v>491</v>
      </c>
      <c r="G80" s="636" t="s">
        <v>521</v>
      </c>
      <c r="H80" s="636" t="s">
        <v>769</v>
      </c>
      <c r="I80" s="636" t="s">
        <v>770</v>
      </c>
      <c r="J80" s="636" t="s">
        <v>771</v>
      </c>
      <c r="K80" s="636" t="s">
        <v>772</v>
      </c>
      <c r="L80" s="638">
        <v>343.15</v>
      </c>
      <c r="M80" s="638">
        <v>1</v>
      </c>
      <c r="N80" s="639">
        <v>343.15</v>
      </c>
    </row>
    <row r="81" spans="1:14" ht="14.4" customHeight="1" x14ac:dyDescent="0.3">
      <c r="A81" s="634" t="s">
        <v>487</v>
      </c>
      <c r="B81" s="635" t="s">
        <v>489</v>
      </c>
      <c r="C81" s="636" t="s">
        <v>501</v>
      </c>
      <c r="D81" s="637" t="s">
        <v>502</v>
      </c>
      <c r="E81" s="636" t="s">
        <v>490</v>
      </c>
      <c r="F81" s="637" t="s">
        <v>491</v>
      </c>
      <c r="G81" s="636" t="s">
        <v>521</v>
      </c>
      <c r="H81" s="636" t="s">
        <v>773</v>
      </c>
      <c r="I81" s="636" t="s">
        <v>774</v>
      </c>
      <c r="J81" s="636" t="s">
        <v>775</v>
      </c>
      <c r="K81" s="636" t="s">
        <v>776</v>
      </c>
      <c r="L81" s="638">
        <v>21.899431969764336</v>
      </c>
      <c r="M81" s="638">
        <v>60</v>
      </c>
      <c r="N81" s="639">
        <v>1313.9659181858601</v>
      </c>
    </row>
    <row r="82" spans="1:14" ht="14.4" customHeight="1" x14ac:dyDescent="0.3">
      <c r="A82" s="634" t="s">
        <v>487</v>
      </c>
      <c r="B82" s="635" t="s">
        <v>489</v>
      </c>
      <c r="C82" s="636" t="s">
        <v>501</v>
      </c>
      <c r="D82" s="637" t="s">
        <v>502</v>
      </c>
      <c r="E82" s="636" t="s">
        <v>490</v>
      </c>
      <c r="F82" s="637" t="s">
        <v>491</v>
      </c>
      <c r="G82" s="636" t="s">
        <v>521</v>
      </c>
      <c r="H82" s="636" t="s">
        <v>777</v>
      </c>
      <c r="I82" s="636" t="s">
        <v>778</v>
      </c>
      <c r="J82" s="636" t="s">
        <v>779</v>
      </c>
      <c r="K82" s="636" t="s">
        <v>780</v>
      </c>
      <c r="L82" s="638">
        <v>37.493030234349916</v>
      </c>
      <c r="M82" s="638">
        <v>27</v>
      </c>
      <c r="N82" s="639">
        <v>1012.3118163274478</v>
      </c>
    </row>
    <row r="83" spans="1:14" ht="14.4" customHeight="1" x14ac:dyDescent="0.3">
      <c r="A83" s="634" t="s">
        <v>487</v>
      </c>
      <c r="B83" s="635" t="s">
        <v>489</v>
      </c>
      <c r="C83" s="636" t="s">
        <v>501</v>
      </c>
      <c r="D83" s="637" t="s">
        <v>502</v>
      </c>
      <c r="E83" s="636" t="s">
        <v>490</v>
      </c>
      <c r="F83" s="637" t="s">
        <v>491</v>
      </c>
      <c r="G83" s="636" t="s">
        <v>521</v>
      </c>
      <c r="H83" s="636" t="s">
        <v>781</v>
      </c>
      <c r="I83" s="636" t="s">
        <v>782</v>
      </c>
      <c r="J83" s="636" t="s">
        <v>779</v>
      </c>
      <c r="K83" s="636" t="s">
        <v>783</v>
      </c>
      <c r="L83" s="638">
        <v>66.848829810511589</v>
      </c>
      <c r="M83" s="638">
        <v>1</v>
      </c>
      <c r="N83" s="639">
        <v>66.848829810511589</v>
      </c>
    </row>
    <row r="84" spans="1:14" ht="14.4" customHeight="1" x14ac:dyDescent="0.3">
      <c r="A84" s="634" t="s">
        <v>487</v>
      </c>
      <c r="B84" s="635" t="s">
        <v>489</v>
      </c>
      <c r="C84" s="636" t="s">
        <v>501</v>
      </c>
      <c r="D84" s="637" t="s">
        <v>502</v>
      </c>
      <c r="E84" s="636" t="s">
        <v>490</v>
      </c>
      <c r="F84" s="637" t="s">
        <v>491</v>
      </c>
      <c r="G84" s="636" t="s">
        <v>521</v>
      </c>
      <c r="H84" s="636" t="s">
        <v>784</v>
      </c>
      <c r="I84" s="636" t="s">
        <v>785</v>
      </c>
      <c r="J84" s="636" t="s">
        <v>786</v>
      </c>
      <c r="K84" s="636" t="s">
        <v>787</v>
      </c>
      <c r="L84" s="638">
        <v>54.595132314442843</v>
      </c>
      <c r="M84" s="638">
        <v>10</v>
      </c>
      <c r="N84" s="639">
        <v>545.95132314442844</v>
      </c>
    </row>
    <row r="85" spans="1:14" ht="14.4" customHeight="1" x14ac:dyDescent="0.3">
      <c r="A85" s="634" t="s">
        <v>487</v>
      </c>
      <c r="B85" s="635" t="s">
        <v>489</v>
      </c>
      <c r="C85" s="636" t="s">
        <v>501</v>
      </c>
      <c r="D85" s="637" t="s">
        <v>502</v>
      </c>
      <c r="E85" s="636" t="s">
        <v>490</v>
      </c>
      <c r="F85" s="637" t="s">
        <v>491</v>
      </c>
      <c r="G85" s="636" t="s">
        <v>521</v>
      </c>
      <c r="H85" s="636" t="s">
        <v>788</v>
      </c>
      <c r="I85" s="636" t="s">
        <v>246</v>
      </c>
      <c r="J85" s="636" t="s">
        <v>789</v>
      </c>
      <c r="K85" s="636"/>
      <c r="L85" s="638">
        <v>116.0798917254415</v>
      </c>
      <c r="M85" s="638">
        <v>8</v>
      </c>
      <c r="N85" s="639">
        <v>928.63913380353199</v>
      </c>
    </row>
    <row r="86" spans="1:14" ht="14.4" customHeight="1" x14ac:dyDescent="0.3">
      <c r="A86" s="634" t="s">
        <v>487</v>
      </c>
      <c r="B86" s="635" t="s">
        <v>489</v>
      </c>
      <c r="C86" s="636" t="s">
        <v>501</v>
      </c>
      <c r="D86" s="637" t="s">
        <v>502</v>
      </c>
      <c r="E86" s="636" t="s">
        <v>490</v>
      </c>
      <c r="F86" s="637" t="s">
        <v>491</v>
      </c>
      <c r="G86" s="636" t="s">
        <v>521</v>
      </c>
      <c r="H86" s="636" t="s">
        <v>790</v>
      </c>
      <c r="I86" s="636" t="s">
        <v>791</v>
      </c>
      <c r="J86" s="636" t="s">
        <v>792</v>
      </c>
      <c r="K86" s="636" t="s">
        <v>793</v>
      </c>
      <c r="L86" s="638">
        <v>178.04</v>
      </c>
      <c r="M86" s="638">
        <v>1</v>
      </c>
      <c r="N86" s="639">
        <v>178.04</v>
      </c>
    </row>
    <row r="87" spans="1:14" ht="14.4" customHeight="1" x14ac:dyDescent="0.3">
      <c r="A87" s="634" t="s">
        <v>487</v>
      </c>
      <c r="B87" s="635" t="s">
        <v>489</v>
      </c>
      <c r="C87" s="636" t="s">
        <v>501</v>
      </c>
      <c r="D87" s="637" t="s">
        <v>502</v>
      </c>
      <c r="E87" s="636" t="s">
        <v>490</v>
      </c>
      <c r="F87" s="637" t="s">
        <v>491</v>
      </c>
      <c r="G87" s="636" t="s">
        <v>521</v>
      </c>
      <c r="H87" s="636" t="s">
        <v>794</v>
      </c>
      <c r="I87" s="636" t="s">
        <v>246</v>
      </c>
      <c r="J87" s="636" t="s">
        <v>795</v>
      </c>
      <c r="K87" s="636"/>
      <c r="L87" s="638">
        <v>64.650130134660742</v>
      </c>
      <c r="M87" s="638">
        <v>5</v>
      </c>
      <c r="N87" s="639">
        <v>323.25065067330371</v>
      </c>
    </row>
    <row r="88" spans="1:14" ht="14.4" customHeight="1" x14ac:dyDescent="0.3">
      <c r="A88" s="634" t="s">
        <v>487</v>
      </c>
      <c r="B88" s="635" t="s">
        <v>489</v>
      </c>
      <c r="C88" s="636" t="s">
        <v>501</v>
      </c>
      <c r="D88" s="637" t="s">
        <v>502</v>
      </c>
      <c r="E88" s="636" t="s">
        <v>490</v>
      </c>
      <c r="F88" s="637" t="s">
        <v>491</v>
      </c>
      <c r="G88" s="636" t="s">
        <v>521</v>
      </c>
      <c r="H88" s="636" t="s">
        <v>796</v>
      </c>
      <c r="I88" s="636" t="s">
        <v>797</v>
      </c>
      <c r="J88" s="636" t="s">
        <v>798</v>
      </c>
      <c r="K88" s="636" t="s">
        <v>799</v>
      </c>
      <c r="L88" s="638">
        <v>49.985016777608607</v>
      </c>
      <c r="M88" s="638">
        <v>18</v>
      </c>
      <c r="N88" s="639">
        <v>899.73030199695495</v>
      </c>
    </row>
    <row r="89" spans="1:14" ht="14.4" customHeight="1" x14ac:dyDescent="0.3">
      <c r="A89" s="634" t="s">
        <v>487</v>
      </c>
      <c r="B89" s="635" t="s">
        <v>489</v>
      </c>
      <c r="C89" s="636" t="s">
        <v>501</v>
      </c>
      <c r="D89" s="637" t="s">
        <v>502</v>
      </c>
      <c r="E89" s="636" t="s">
        <v>490</v>
      </c>
      <c r="F89" s="637" t="s">
        <v>491</v>
      </c>
      <c r="G89" s="636" t="s">
        <v>521</v>
      </c>
      <c r="H89" s="636" t="s">
        <v>800</v>
      </c>
      <c r="I89" s="636" t="s">
        <v>801</v>
      </c>
      <c r="J89" s="636" t="s">
        <v>802</v>
      </c>
      <c r="K89" s="636" t="s">
        <v>803</v>
      </c>
      <c r="L89" s="638">
        <v>49.54491004606745</v>
      </c>
      <c r="M89" s="638">
        <v>12</v>
      </c>
      <c r="N89" s="639">
        <v>594.53892055280937</v>
      </c>
    </row>
    <row r="90" spans="1:14" ht="14.4" customHeight="1" x14ac:dyDescent="0.3">
      <c r="A90" s="634" t="s">
        <v>487</v>
      </c>
      <c r="B90" s="635" t="s">
        <v>489</v>
      </c>
      <c r="C90" s="636" t="s">
        <v>501</v>
      </c>
      <c r="D90" s="637" t="s">
        <v>502</v>
      </c>
      <c r="E90" s="636" t="s">
        <v>490</v>
      </c>
      <c r="F90" s="637" t="s">
        <v>491</v>
      </c>
      <c r="G90" s="636" t="s">
        <v>521</v>
      </c>
      <c r="H90" s="636" t="s">
        <v>804</v>
      </c>
      <c r="I90" s="636" t="s">
        <v>805</v>
      </c>
      <c r="J90" s="636" t="s">
        <v>806</v>
      </c>
      <c r="K90" s="636" t="s">
        <v>807</v>
      </c>
      <c r="L90" s="638">
        <v>147.91970437202451</v>
      </c>
      <c r="M90" s="638">
        <v>2</v>
      </c>
      <c r="N90" s="639">
        <v>295.83940874404902</v>
      </c>
    </row>
    <row r="91" spans="1:14" ht="14.4" customHeight="1" x14ac:dyDescent="0.3">
      <c r="A91" s="634" t="s">
        <v>487</v>
      </c>
      <c r="B91" s="635" t="s">
        <v>489</v>
      </c>
      <c r="C91" s="636" t="s">
        <v>501</v>
      </c>
      <c r="D91" s="637" t="s">
        <v>502</v>
      </c>
      <c r="E91" s="636" t="s">
        <v>490</v>
      </c>
      <c r="F91" s="637" t="s">
        <v>491</v>
      </c>
      <c r="G91" s="636" t="s">
        <v>521</v>
      </c>
      <c r="H91" s="636" t="s">
        <v>808</v>
      </c>
      <c r="I91" s="636" t="s">
        <v>809</v>
      </c>
      <c r="J91" s="636" t="s">
        <v>810</v>
      </c>
      <c r="K91" s="636" t="s">
        <v>811</v>
      </c>
      <c r="L91" s="638">
        <v>177.80000000000004</v>
      </c>
      <c r="M91" s="638">
        <v>1</v>
      </c>
      <c r="N91" s="639">
        <v>177.80000000000004</v>
      </c>
    </row>
    <row r="92" spans="1:14" ht="14.4" customHeight="1" x14ac:dyDescent="0.3">
      <c r="A92" s="634" t="s">
        <v>487</v>
      </c>
      <c r="B92" s="635" t="s">
        <v>489</v>
      </c>
      <c r="C92" s="636" t="s">
        <v>501</v>
      </c>
      <c r="D92" s="637" t="s">
        <v>502</v>
      </c>
      <c r="E92" s="636" t="s">
        <v>490</v>
      </c>
      <c r="F92" s="637" t="s">
        <v>491</v>
      </c>
      <c r="G92" s="636" t="s">
        <v>521</v>
      </c>
      <c r="H92" s="636" t="s">
        <v>812</v>
      </c>
      <c r="I92" s="636" t="s">
        <v>813</v>
      </c>
      <c r="J92" s="636" t="s">
        <v>814</v>
      </c>
      <c r="K92" s="636" t="s">
        <v>815</v>
      </c>
      <c r="L92" s="638">
        <v>2663.16</v>
      </c>
      <c r="M92" s="638">
        <v>2</v>
      </c>
      <c r="N92" s="639">
        <v>5326.32</v>
      </c>
    </row>
    <row r="93" spans="1:14" ht="14.4" customHeight="1" x14ac:dyDescent="0.3">
      <c r="A93" s="634" t="s">
        <v>487</v>
      </c>
      <c r="B93" s="635" t="s">
        <v>489</v>
      </c>
      <c r="C93" s="636" t="s">
        <v>501</v>
      </c>
      <c r="D93" s="637" t="s">
        <v>502</v>
      </c>
      <c r="E93" s="636" t="s">
        <v>490</v>
      </c>
      <c r="F93" s="637" t="s">
        <v>491</v>
      </c>
      <c r="G93" s="636" t="s">
        <v>521</v>
      </c>
      <c r="H93" s="636" t="s">
        <v>816</v>
      </c>
      <c r="I93" s="636" t="s">
        <v>816</v>
      </c>
      <c r="J93" s="636" t="s">
        <v>817</v>
      </c>
      <c r="K93" s="636" t="s">
        <v>527</v>
      </c>
      <c r="L93" s="638">
        <v>301.64999999999998</v>
      </c>
      <c r="M93" s="638">
        <v>5</v>
      </c>
      <c r="N93" s="639">
        <v>1508.25</v>
      </c>
    </row>
    <row r="94" spans="1:14" ht="14.4" customHeight="1" x14ac:dyDescent="0.3">
      <c r="A94" s="634" t="s">
        <v>487</v>
      </c>
      <c r="B94" s="635" t="s">
        <v>489</v>
      </c>
      <c r="C94" s="636" t="s">
        <v>501</v>
      </c>
      <c r="D94" s="637" t="s">
        <v>502</v>
      </c>
      <c r="E94" s="636" t="s">
        <v>490</v>
      </c>
      <c r="F94" s="637" t="s">
        <v>491</v>
      </c>
      <c r="G94" s="636" t="s">
        <v>521</v>
      </c>
      <c r="H94" s="636" t="s">
        <v>818</v>
      </c>
      <c r="I94" s="636" t="s">
        <v>819</v>
      </c>
      <c r="J94" s="636" t="s">
        <v>820</v>
      </c>
      <c r="K94" s="636" t="s">
        <v>543</v>
      </c>
      <c r="L94" s="638">
        <v>69.619727891156458</v>
      </c>
      <c r="M94" s="638">
        <v>7</v>
      </c>
      <c r="N94" s="639">
        <v>487.33809523809521</v>
      </c>
    </row>
    <row r="95" spans="1:14" ht="14.4" customHeight="1" x14ac:dyDescent="0.3">
      <c r="A95" s="634" t="s">
        <v>487</v>
      </c>
      <c r="B95" s="635" t="s">
        <v>489</v>
      </c>
      <c r="C95" s="636" t="s">
        <v>501</v>
      </c>
      <c r="D95" s="637" t="s">
        <v>502</v>
      </c>
      <c r="E95" s="636" t="s">
        <v>490</v>
      </c>
      <c r="F95" s="637" t="s">
        <v>491</v>
      </c>
      <c r="G95" s="636" t="s">
        <v>521</v>
      </c>
      <c r="H95" s="636" t="s">
        <v>821</v>
      </c>
      <c r="I95" s="636" t="s">
        <v>822</v>
      </c>
      <c r="J95" s="636" t="s">
        <v>823</v>
      </c>
      <c r="K95" s="636" t="s">
        <v>558</v>
      </c>
      <c r="L95" s="638">
        <v>41.581222698039831</v>
      </c>
      <c r="M95" s="638">
        <v>9</v>
      </c>
      <c r="N95" s="639">
        <v>374.23100428235847</v>
      </c>
    </row>
    <row r="96" spans="1:14" ht="14.4" customHeight="1" x14ac:dyDescent="0.3">
      <c r="A96" s="634" t="s">
        <v>487</v>
      </c>
      <c r="B96" s="635" t="s">
        <v>489</v>
      </c>
      <c r="C96" s="636" t="s">
        <v>501</v>
      </c>
      <c r="D96" s="637" t="s">
        <v>502</v>
      </c>
      <c r="E96" s="636" t="s">
        <v>490</v>
      </c>
      <c r="F96" s="637" t="s">
        <v>491</v>
      </c>
      <c r="G96" s="636" t="s">
        <v>521</v>
      </c>
      <c r="H96" s="636" t="s">
        <v>824</v>
      </c>
      <c r="I96" s="636" t="s">
        <v>825</v>
      </c>
      <c r="J96" s="636" t="s">
        <v>826</v>
      </c>
      <c r="K96" s="636" t="s">
        <v>827</v>
      </c>
      <c r="L96" s="638">
        <v>98.820000000000022</v>
      </c>
      <c r="M96" s="638">
        <v>1</v>
      </c>
      <c r="N96" s="639">
        <v>98.820000000000022</v>
      </c>
    </row>
    <row r="97" spans="1:14" ht="14.4" customHeight="1" x14ac:dyDescent="0.3">
      <c r="A97" s="634" t="s">
        <v>487</v>
      </c>
      <c r="B97" s="635" t="s">
        <v>489</v>
      </c>
      <c r="C97" s="636" t="s">
        <v>501</v>
      </c>
      <c r="D97" s="637" t="s">
        <v>502</v>
      </c>
      <c r="E97" s="636" t="s">
        <v>490</v>
      </c>
      <c r="F97" s="637" t="s">
        <v>491</v>
      </c>
      <c r="G97" s="636" t="s">
        <v>521</v>
      </c>
      <c r="H97" s="636" t="s">
        <v>828</v>
      </c>
      <c r="I97" s="636" t="s">
        <v>829</v>
      </c>
      <c r="J97" s="636" t="s">
        <v>830</v>
      </c>
      <c r="K97" s="636" t="s">
        <v>831</v>
      </c>
      <c r="L97" s="638">
        <v>389.29013778723049</v>
      </c>
      <c r="M97" s="638">
        <v>10</v>
      </c>
      <c r="N97" s="639">
        <v>3892.9013778723047</v>
      </c>
    </row>
    <row r="98" spans="1:14" ht="14.4" customHeight="1" x14ac:dyDescent="0.3">
      <c r="A98" s="634" t="s">
        <v>487</v>
      </c>
      <c r="B98" s="635" t="s">
        <v>489</v>
      </c>
      <c r="C98" s="636" t="s">
        <v>501</v>
      </c>
      <c r="D98" s="637" t="s">
        <v>502</v>
      </c>
      <c r="E98" s="636" t="s">
        <v>490</v>
      </c>
      <c r="F98" s="637" t="s">
        <v>491</v>
      </c>
      <c r="G98" s="636" t="s">
        <v>521</v>
      </c>
      <c r="H98" s="636" t="s">
        <v>832</v>
      </c>
      <c r="I98" s="636" t="s">
        <v>833</v>
      </c>
      <c r="J98" s="636" t="s">
        <v>834</v>
      </c>
      <c r="K98" s="636" t="s">
        <v>835</v>
      </c>
      <c r="L98" s="638">
        <v>1006.9600000000002</v>
      </c>
      <c r="M98" s="638">
        <v>11</v>
      </c>
      <c r="N98" s="639">
        <v>11076.560000000001</v>
      </c>
    </row>
    <row r="99" spans="1:14" ht="14.4" customHeight="1" x14ac:dyDescent="0.3">
      <c r="A99" s="634" t="s">
        <v>487</v>
      </c>
      <c r="B99" s="635" t="s">
        <v>489</v>
      </c>
      <c r="C99" s="636" t="s">
        <v>501</v>
      </c>
      <c r="D99" s="637" t="s">
        <v>502</v>
      </c>
      <c r="E99" s="636" t="s">
        <v>490</v>
      </c>
      <c r="F99" s="637" t="s">
        <v>491</v>
      </c>
      <c r="G99" s="636" t="s">
        <v>521</v>
      </c>
      <c r="H99" s="636" t="s">
        <v>836</v>
      </c>
      <c r="I99" s="636" t="s">
        <v>837</v>
      </c>
      <c r="J99" s="636" t="s">
        <v>838</v>
      </c>
      <c r="K99" s="636" t="s">
        <v>839</v>
      </c>
      <c r="L99" s="638">
        <v>274.04250000000002</v>
      </c>
      <c r="M99" s="638">
        <v>4</v>
      </c>
      <c r="N99" s="639">
        <v>1096.17</v>
      </c>
    </row>
    <row r="100" spans="1:14" ht="14.4" customHeight="1" x14ac:dyDescent="0.3">
      <c r="A100" s="634" t="s">
        <v>487</v>
      </c>
      <c r="B100" s="635" t="s">
        <v>489</v>
      </c>
      <c r="C100" s="636" t="s">
        <v>501</v>
      </c>
      <c r="D100" s="637" t="s">
        <v>502</v>
      </c>
      <c r="E100" s="636" t="s">
        <v>490</v>
      </c>
      <c r="F100" s="637" t="s">
        <v>491</v>
      </c>
      <c r="G100" s="636" t="s">
        <v>521</v>
      </c>
      <c r="H100" s="636" t="s">
        <v>840</v>
      </c>
      <c r="I100" s="636" t="s">
        <v>841</v>
      </c>
      <c r="J100" s="636" t="s">
        <v>842</v>
      </c>
      <c r="K100" s="636" t="s">
        <v>843</v>
      </c>
      <c r="L100" s="638">
        <v>79.93982913172843</v>
      </c>
      <c r="M100" s="638">
        <v>2</v>
      </c>
      <c r="N100" s="639">
        <v>159.87965826345686</v>
      </c>
    </row>
    <row r="101" spans="1:14" ht="14.4" customHeight="1" x14ac:dyDescent="0.3">
      <c r="A101" s="634" t="s">
        <v>487</v>
      </c>
      <c r="B101" s="635" t="s">
        <v>489</v>
      </c>
      <c r="C101" s="636" t="s">
        <v>501</v>
      </c>
      <c r="D101" s="637" t="s">
        <v>502</v>
      </c>
      <c r="E101" s="636" t="s">
        <v>490</v>
      </c>
      <c r="F101" s="637" t="s">
        <v>491</v>
      </c>
      <c r="G101" s="636" t="s">
        <v>521</v>
      </c>
      <c r="H101" s="636" t="s">
        <v>844</v>
      </c>
      <c r="I101" s="636" t="s">
        <v>845</v>
      </c>
      <c r="J101" s="636" t="s">
        <v>846</v>
      </c>
      <c r="K101" s="636" t="s">
        <v>847</v>
      </c>
      <c r="L101" s="638">
        <v>289.80000000000007</v>
      </c>
      <c r="M101" s="638">
        <v>3</v>
      </c>
      <c r="N101" s="639">
        <v>869.4000000000002</v>
      </c>
    </row>
    <row r="102" spans="1:14" ht="14.4" customHeight="1" x14ac:dyDescent="0.3">
      <c r="A102" s="634" t="s">
        <v>487</v>
      </c>
      <c r="B102" s="635" t="s">
        <v>489</v>
      </c>
      <c r="C102" s="636" t="s">
        <v>501</v>
      </c>
      <c r="D102" s="637" t="s">
        <v>502</v>
      </c>
      <c r="E102" s="636" t="s">
        <v>490</v>
      </c>
      <c r="F102" s="637" t="s">
        <v>491</v>
      </c>
      <c r="G102" s="636" t="s">
        <v>521</v>
      </c>
      <c r="H102" s="636" t="s">
        <v>848</v>
      </c>
      <c r="I102" s="636" t="s">
        <v>849</v>
      </c>
      <c r="J102" s="636" t="s">
        <v>850</v>
      </c>
      <c r="K102" s="636" t="s">
        <v>851</v>
      </c>
      <c r="L102" s="638">
        <v>1100.7295403054529</v>
      </c>
      <c r="M102" s="638">
        <v>12</v>
      </c>
      <c r="N102" s="639">
        <v>13208.754483665436</v>
      </c>
    </row>
    <row r="103" spans="1:14" ht="14.4" customHeight="1" x14ac:dyDescent="0.3">
      <c r="A103" s="634" t="s">
        <v>487</v>
      </c>
      <c r="B103" s="635" t="s">
        <v>489</v>
      </c>
      <c r="C103" s="636" t="s">
        <v>501</v>
      </c>
      <c r="D103" s="637" t="s">
        <v>502</v>
      </c>
      <c r="E103" s="636" t="s">
        <v>490</v>
      </c>
      <c r="F103" s="637" t="s">
        <v>491</v>
      </c>
      <c r="G103" s="636" t="s">
        <v>521</v>
      </c>
      <c r="H103" s="636" t="s">
        <v>852</v>
      </c>
      <c r="I103" s="636" t="s">
        <v>246</v>
      </c>
      <c r="J103" s="636" t="s">
        <v>853</v>
      </c>
      <c r="K103" s="636"/>
      <c r="L103" s="638">
        <v>63.145714285714284</v>
      </c>
      <c r="M103" s="638">
        <v>7</v>
      </c>
      <c r="N103" s="639">
        <v>442.02</v>
      </c>
    </row>
    <row r="104" spans="1:14" ht="14.4" customHeight="1" x14ac:dyDescent="0.3">
      <c r="A104" s="634" t="s">
        <v>487</v>
      </c>
      <c r="B104" s="635" t="s">
        <v>489</v>
      </c>
      <c r="C104" s="636" t="s">
        <v>501</v>
      </c>
      <c r="D104" s="637" t="s">
        <v>502</v>
      </c>
      <c r="E104" s="636" t="s">
        <v>490</v>
      </c>
      <c r="F104" s="637" t="s">
        <v>491</v>
      </c>
      <c r="G104" s="636" t="s">
        <v>521</v>
      </c>
      <c r="H104" s="636" t="s">
        <v>854</v>
      </c>
      <c r="I104" s="636" t="s">
        <v>246</v>
      </c>
      <c r="J104" s="636" t="s">
        <v>855</v>
      </c>
      <c r="K104" s="636"/>
      <c r="L104" s="638">
        <v>102.567506131466</v>
      </c>
      <c r="M104" s="638">
        <v>2</v>
      </c>
      <c r="N104" s="639">
        <v>205.13501226293201</v>
      </c>
    </row>
    <row r="105" spans="1:14" ht="14.4" customHeight="1" x14ac:dyDescent="0.3">
      <c r="A105" s="634" t="s">
        <v>487</v>
      </c>
      <c r="B105" s="635" t="s">
        <v>489</v>
      </c>
      <c r="C105" s="636" t="s">
        <v>501</v>
      </c>
      <c r="D105" s="637" t="s">
        <v>502</v>
      </c>
      <c r="E105" s="636" t="s">
        <v>490</v>
      </c>
      <c r="F105" s="637" t="s">
        <v>491</v>
      </c>
      <c r="G105" s="636" t="s">
        <v>521</v>
      </c>
      <c r="H105" s="636" t="s">
        <v>856</v>
      </c>
      <c r="I105" s="636" t="s">
        <v>857</v>
      </c>
      <c r="J105" s="636" t="s">
        <v>858</v>
      </c>
      <c r="K105" s="636" t="s">
        <v>859</v>
      </c>
      <c r="L105" s="638">
        <v>269.62</v>
      </c>
      <c r="M105" s="638">
        <v>2</v>
      </c>
      <c r="N105" s="639">
        <v>539.24</v>
      </c>
    </row>
    <row r="106" spans="1:14" ht="14.4" customHeight="1" x14ac:dyDescent="0.3">
      <c r="A106" s="634" t="s">
        <v>487</v>
      </c>
      <c r="B106" s="635" t="s">
        <v>489</v>
      </c>
      <c r="C106" s="636" t="s">
        <v>501</v>
      </c>
      <c r="D106" s="637" t="s">
        <v>502</v>
      </c>
      <c r="E106" s="636" t="s">
        <v>490</v>
      </c>
      <c r="F106" s="637" t="s">
        <v>491</v>
      </c>
      <c r="G106" s="636" t="s">
        <v>521</v>
      </c>
      <c r="H106" s="636" t="s">
        <v>860</v>
      </c>
      <c r="I106" s="636" t="s">
        <v>861</v>
      </c>
      <c r="J106" s="636" t="s">
        <v>862</v>
      </c>
      <c r="K106" s="636" t="s">
        <v>863</v>
      </c>
      <c r="L106" s="638">
        <v>61.550072617706064</v>
      </c>
      <c r="M106" s="638">
        <v>2</v>
      </c>
      <c r="N106" s="639">
        <v>123.10014523541213</v>
      </c>
    </row>
    <row r="107" spans="1:14" ht="14.4" customHeight="1" x14ac:dyDescent="0.3">
      <c r="A107" s="634" t="s">
        <v>487</v>
      </c>
      <c r="B107" s="635" t="s">
        <v>489</v>
      </c>
      <c r="C107" s="636" t="s">
        <v>501</v>
      </c>
      <c r="D107" s="637" t="s">
        <v>502</v>
      </c>
      <c r="E107" s="636" t="s">
        <v>490</v>
      </c>
      <c r="F107" s="637" t="s">
        <v>491</v>
      </c>
      <c r="G107" s="636" t="s">
        <v>521</v>
      </c>
      <c r="H107" s="636" t="s">
        <v>864</v>
      </c>
      <c r="I107" s="636" t="s">
        <v>865</v>
      </c>
      <c r="J107" s="636" t="s">
        <v>866</v>
      </c>
      <c r="K107" s="636" t="s">
        <v>867</v>
      </c>
      <c r="L107" s="638">
        <v>186.89750000000001</v>
      </c>
      <c r="M107" s="638">
        <v>8</v>
      </c>
      <c r="N107" s="639">
        <v>1495.18</v>
      </c>
    </row>
    <row r="108" spans="1:14" ht="14.4" customHeight="1" x14ac:dyDescent="0.3">
      <c r="A108" s="634" t="s">
        <v>487</v>
      </c>
      <c r="B108" s="635" t="s">
        <v>489</v>
      </c>
      <c r="C108" s="636" t="s">
        <v>501</v>
      </c>
      <c r="D108" s="637" t="s">
        <v>502</v>
      </c>
      <c r="E108" s="636" t="s">
        <v>490</v>
      </c>
      <c r="F108" s="637" t="s">
        <v>491</v>
      </c>
      <c r="G108" s="636" t="s">
        <v>521</v>
      </c>
      <c r="H108" s="636" t="s">
        <v>868</v>
      </c>
      <c r="I108" s="636" t="s">
        <v>869</v>
      </c>
      <c r="J108" s="636" t="s">
        <v>870</v>
      </c>
      <c r="K108" s="636" t="s">
        <v>871</v>
      </c>
      <c r="L108" s="638">
        <v>128.41</v>
      </c>
      <c r="M108" s="638">
        <v>1</v>
      </c>
      <c r="N108" s="639">
        <v>128.41</v>
      </c>
    </row>
    <row r="109" spans="1:14" ht="14.4" customHeight="1" x14ac:dyDescent="0.3">
      <c r="A109" s="634" t="s">
        <v>487</v>
      </c>
      <c r="B109" s="635" t="s">
        <v>489</v>
      </c>
      <c r="C109" s="636" t="s">
        <v>501</v>
      </c>
      <c r="D109" s="637" t="s">
        <v>502</v>
      </c>
      <c r="E109" s="636" t="s">
        <v>490</v>
      </c>
      <c r="F109" s="637" t="s">
        <v>491</v>
      </c>
      <c r="G109" s="636" t="s">
        <v>521</v>
      </c>
      <c r="H109" s="636" t="s">
        <v>872</v>
      </c>
      <c r="I109" s="636" t="s">
        <v>246</v>
      </c>
      <c r="J109" s="636" t="s">
        <v>873</v>
      </c>
      <c r="K109" s="636"/>
      <c r="L109" s="638">
        <v>486.96434780042972</v>
      </c>
      <c r="M109" s="638">
        <v>6</v>
      </c>
      <c r="N109" s="639">
        <v>2921.7860868025782</v>
      </c>
    </row>
    <row r="110" spans="1:14" ht="14.4" customHeight="1" x14ac:dyDescent="0.3">
      <c r="A110" s="634" t="s">
        <v>487</v>
      </c>
      <c r="B110" s="635" t="s">
        <v>489</v>
      </c>
      <c r="C110" s="636" t="s">
        <v>501</v>
      </c>
      <c r="D110" s="637" t="s">
        <v>502</v>
      </c>
      <c r="E110" s="636" t="s">
        <v>490</v>
      </c>
      <c r="F110" s="637" t="s">
        <v>491</v>
      </c>
      <c r="G110" s="636" t="s">
        <v>521</v>
      </c>
      <c r="H110" s="636" t="s">
        <v>874</v>
      </c>
      <c r="I110" s="636" t="s">
        <v>875</v>
      </c>
      <c r="J110" s="636" t="s">
        <v>561</v>
      </c>
      <c r="K110" s="636" t="s">
        <v>876</v>
      </c>
      <c r="L110" s="638">
        <v>97.939751120098933</v>
      </c>
      <c r="M110" s="638">
        <v>60</v>
      </c>
      <c r="N110" s="639">
        <v>5876.3850672059361</v>
      </c>
    </row>
    <row r="111" spans="1:14" ht="14.4" customHeight="1" x14ac:dyDescent="0.3">
      <c r="A111" s="634" t="s">
        <v>487</v>
      </c>
      <c r="B111" s="635" t="s">
        <v>489</v>
      </c>
      <c r="C111" s="636" t="s">
        <v>501</v>
      </c>
      <c r="D111" s="637" t="s">
        <v>502</v>
      </c>
      <c r="E111" s="636" t="s">
        <v>490</v>
      </c>
      <c r="F111" s="637" t="s">
        <v>491</v>
      </c>
      <c r="G111" s="636" t="s">
        <v>521</v>
      </c>
      <c r="H111" s="636" t="s">
        <v>877</v>
      </c>
      <c r="I111" s="636" t="s">
        <v>878</v>
      </c>
      <c r="J111" s="636" t="s">
        <v>879</v>
      </c>
      <c r="K111" s="636" t="s">
        <v>880</v>
      </c>
      <c r="L111" s="638">
        <v>108.65581523696765</v>
      </c>
      <c r="M111" s="638">
        <v>62</v>
      </c>
      <c r="N111" s="639">
        <v>6736.6605446919948</v>
      </c>
    </row>
    <row r="112" spans="1:14" ht="14.4" customHeight="1" x14ac:dyDescent="0.3">
      <c r="A112" s="634" t="s">
        <v>487</v>
      </c>
      <c r="B112" s="635" t="s">
        <v>489</v>
      </c>
      <c r="C112" s="636" t="s">
        <v>501</v>
      </c>
      <c r="D112" s="637" t="s">
        <v>502</v>
      </c>
      <c r="E112" s="636" t="s">
        <v>490</v>
      </c>
      <c r="F112" s="637" t="s">
        <v>491</v>
      </c>
      <c r="G112" s="636" t="s">
        <v>521</v>
      </c>
      <c r="H112" s="636" t="s">
        <v>881</v>
      </c>
      <c r="I112" s="636" t="s">
        <v>882</v>
      </c>
      <c r="J112" s="636" t="s">
        <v>883</v>
      </c>
      <c r="K112" s="636" t="s">
        <v>884</v>
      </c>
      <c r="L112" s="638">
        <v>303.69935085446491</v>
      </c>
      <c r="M112" s="638">
        <v>1</v>
      </c>
      <c r="N112" s="639">
        <v>303.69935085446491</v>
      </c>
    </row>
    <row r="113" spans="1:14" ht="14.4" customHeight="1" x14ac:dyDescent="0.3">
      <c r="A113" s="634" t="s">
        <v>487</v>
      </c>
      <c r="B113" s="635" t="s">
        <v>489</v>
      </c>
      <c r="C113" s="636" t="s">
        <v>501</v>
      </c>
      <c r="D113" s="637" t="s">
        <v>502</v>
      </c>
      <c r="E113" s="636" t="s">
        <v>490</v>
      </c>
      <c r="F113" s="637" t="s">
        <v>491</v>
      </c>
      <c r="G113" s="636" t="s">
        <v>521</v>
      </c>
      <c r="H113" s="636" t="s">
        <v>885</v>
      </c>
      <c r="I113" s="636" t="s">
        <v>886</v>
      </c>
      <c r="J113" s="636" t="s">
        <v>887</v>
      </c>
      <c r="K113" s="636" t="s">
        <v>888</v>
      </c>
      <c r="L113" s="638">
        <v>55.890000000000008</v>
      </c>
      <c r="M113" s="638">
        <v>6</v>
      </c>
      <c r="N113" s="639">
        <v>335.34000000000003</v>
      </c>
    </row>
    <row r="114" spans="1:14" ht="14.4" customHeight="1" x14ac:dyDescent="0.3">
      <c r="A114" s="634" t="s">
        <v>487</v>
      </c>
      <c r="B114" s="635" t="s">
        <v>489</v>
      </c>
      <c r="C114" s="636" t="s">
        <v>501</v>
      </c>
      <c r="D114" s="637" t="s">
        <v>502</v>
      </c>
      <c r="E114" s="636" t="s">
        <v>490</v>
      </c>
      <c r="F114" s="637" t="s">
        <v>491</v>
      </c>
      <c r="G114" s="636" t="s">
        <v>521</v>
      </c>
      <c r="H114" s="636" t="s">
        <v>889</v>
      </c>
      <c r="I114" s="636" t="s">
        <v>246</v>
      </c>
      <c r="J114" s="636" t="s">
        <v>890</v>
      </c>
      <c r="K114" s="636"/>
      <c r="L114" s="638">
        <v>146.94315696643238</v>
      </c>
      <c r="M114" s="638">
        <v>15</v>
      </c>
      <c r="N114" s="639">
        <v>2204.1473544964856</v>
      </c>
    </row>
    <row r="115" spans="1:14" ht="14.4" customHeight="1" x14ac:dyDescent="0.3">
      <c r="A115" s="634" t="s">
        <v>487</v>
      </c>
      <c r="B115" s="635" t="s">
        <v>489</v>
      </c>
      <c r="C115" s="636" t="s">
        <v>501</v>
      </c>
      <c r="D115" s="637" t="s">
        <v>502</v>
      </c>
      <c r="E115" s="636" t="s">
        <v>490</v>
      </c>
      <c r="F115" s="637" t="s">
        <v>491</v>
      </c>
      <c r="G115" s="636" t="s">
        <v>521</v>
      </c>
      <c r="H115" s="636" t="s">
        <v>891</v>
      </c>
      <c r="I115" s="636" t="s">
        <v>246</v>
      </c>
      <c r="J115" s="636" t="s">
        <v>892</v>
      </c>
      <c r="K115" s="636"/>
      <c r="L115" s="638">
        <v>78.760000000000005</v>
      </c>
      <c r="M115" s="638">
        <v>8</v>
      </c>
      <c r="N115" s="639">
        <v>630.08000000000004</v>
      </c>
    </row>
    <row r="116" spans="1:14" ht="14.4" customHeight="1" x14ac:dyDescent="0.3">
      <c r="A116" s="634" t="s">
        <v>487</v>
      </c>
      <c r="B116" s="635" t="s">
        <v>489</v>
      </c>
      <c r="C116" s="636" t="s">
        <v>501</v>
      </c>
      <c r="D116" s="637" t="s">
        <v>502</v>
      </c>
      <c r="E116" s="636" t="s">
        <v>490</v>
      </c>
      <c r="F116" s="637" t="s">
        <v>491</v>
      </c>
      <c r="G116" s="636" t="s">
        <v>521</v>
      </c>
      <c r="H116" s="636" t="s">
        <v>893</v>
      </c>
      <c r="I116" s="636" t="s">
        <v>246</v>
      </c>
      <c r="J116" s="636" t="s">
        <v>894</v>
      </c>
      <c r="K116" s="636"/>
      <c r="L116" s="638">
        <v>216.84</v>
      </c>
      <c r="M116" s="638">
        <v>3</v>
      </c>
      <c r="N116" s="639">
        <v>650.52</v>
      </c>
    </row>
    <row r="117" spans="1:14" ht="14.4" customHeight="1" x14ac:dyDescent="0.3">
      <c r="A117" s="634" t="s">
        <v>487</v>
      </c>
      <c r="B117" s="635" t="s">
        <v>489</v>
      </c>
      <c r="C117" s="636" t="s">
        <v>501</v>
      </c>
      <c r="D117" s="637" t="s">
        <v>502</v>
      </c>
      <c r="E117" s="636" t="s">
        <v>490</v>
      </c>
      <c r="F117" s="637" t="s">
        <v>491</v>
      </c>
      <c r="G117" s="636" t="s">
        <v>521</v>
      </c>
      <c r="H117" s="636" t="s">
        <v>895</v>
      </c>
      <c r="I117" s="636" t="s">
        <v>246</v>
      </c>
      <c r="J117" s="636" t="s">
        <v>896</v>
      </c>
      <c r="K117" s="636"/>
      <c r="L117" s="638">
        <v>216.93304090574549</v>
      </c>
      <c r="M117" s="638">
        <v>4</v>
      </c>
      <c r="N117" s="639">
        <v>867.73216362298194</v>
      </c>
    </row>
    <row r="118" spans="1:14" ht="14.4" customHeight="1" x14ac:dyDescent="0.3">
      <c r="A118" s="634" t="s">
        <v>487</v>
      </c>
      <c r="B118" s="635" t="s">
        <v>489</v>
      </c>
      <c r="C118" s="636" t="s">
        <v>501</v>
      </c>
      <c r="D118" s="637" t="s">
        <v>502</v>
      </c>
      <c r="E118" s="636" t="s">
        <v>490</v>
      </c>
      <c r="F118" s="637" t="s">
        <v>491</v>
      </c>
      <c r="G118" s="636" t="s">
        <v>521</v>
      </c>
      <c r="H118" s="636" t="s">
        <v>897</v>
      </c>
      <c r="I118" s="636" t="s">
        <v>897</v>
      </c>
      <c r="J118" s="636" t="s">
        <v>898</v>
      </c>
      <c r="K118" s="636" t="s">
        <v>899</v>
      </c>
      <c r="L118" s="638">
        <v>235.32000000000002</v>
      </c>
      <c r="M118" s="638">
        <v>3</v>
      </c>
      <c r="N118" s="639">
        <v>705.96</v>
      </c>
    </row>
    <row r="119" spans="1:14" ht="14.4" customHeight="1" x14ac:dyDescent="0.3">
      <c r="A119" s="634" t="s">
        <v>487</v>
      </c>
      <c r="B119" s="635" t="s">
        <v>489</v>
      </c>
      <c r="C119" s="636" t="s">
        <v>501</v>
      </c>
      <c r="D119" s="637" t="s">
        <v>502</v>
      </c>
      <c r="E119" s="636" t="s">
        <v>490</v>
      </c>
      <c r="F119" s="637" t="s">
        <v>491</v>
      </c>
      <c r="G119" s="636" t="s">
        <v>521</v>
      </c>
      <c r="H119" s="636" t="s">
        <v>900</v>
      </c>
      <c r="I119" s="636" t="s">
        <v>901</v>
      </c>
      <c r="J119" s="636" t="s">
        <v>902</v>
      </c>
      <c r="K119" s="636" t="s">
        <v>638</v>
      </c>
      <c r="L119" s="638">
        <v>41.12</v>
      </c>
      <c r="M119" s="638">
        <v>1</v>
      </c>
      <c r="N119" s="639">
        <v>41.12</v>
      </c>
    </row>
    <row r="120" spans="1:14" ht="14.4" customHeight="1" x14ac:dyDescent="0.3">
      <c r="A120" s="634" t="s">
        <v>487</v>
      </c>
      <c r="B120" s="635" t="s">
        <v>489</v>
      </c>
      <c r="C120" s="636" t="s">
        <v>501</v>
      </c>
      <c r="D120" s="637" t="s">
        <v>502</v>
      </c>
      <c r="E120" s="636" t="s">
        <v>490</v>
      </c>
      <c r="F120" s="637" t="s">
        <v>491</v>
      </c>
      <c r="G120" s="636" t="s">
        <v>521</v>
      </c>
      <c r="H120" s="636" t="s">
        <v>903</v>
      </c>
      <c r="I120" s="636" t="s">
        <v>904</v>
      </c>
      <c r="J120" s="636" t="s">
        <v>905</v>
      </c>
      <c r="K120" s="636" t="s">
        <v>906</v>
      </c>
      <c r="L120" s="638">
        <v>117.73999999999997</v>
      </c>
      <c r="M120" s="638">
        <v>30</v>
      </c>
      <c r="N120" s="639">
        <v>3532.1999999999989</v>
      </c>
    </row>
    <row r="121" spans="1:14" ht="14.4" customHeight="1" x14ac:dyDescent="0.3">
      <c r="A121" s="634" t="s">
        <v>487</v>
      </c>
      <c r="B121" s="635" t="s">
        <v>489</v>
      </c>
      <c r="C121" s="636" t="s">
        <v>501</v>
      </c>
      <c r="D121" s="637" t="s">
        <v>502</v>
      </c>
      <c r="E121" s="636" t="s">
        <v>490</v>
      </c>
      <c r="F121" s="637" t="s">
        <v>491</v>
      </c>
      <c r="G121" s="636" t="s">
        <v>521</v>
      </c>
      <c r="H121" s="636" t="s">
        <v>907</v>
      </c>
      <c r="I121" s="636" t="s">
        <v>908</v>
      </c>
      <c r="J121" s="636" t="s">
        <v>909</v>
      </c>
      <c r="K121" s="636" t="s">
        <v>910</v>
      </c>
      <c r="L121" s="638">
        <v>1005.8504211036562</v>
      </c>
      <c r="M121" s="638">
        <v>3</v>
      </c>
      <c r="N121" s="639">
        <v>3017.5512633109688</v>
      </c>
    </row>
    <row r="122" spans="1:14" ht="14.4" customHeight="1" x14ac:dyDescent="0.3">
      <c r="A122" s="634" t="s">
        <v>487</v>
      </c>
      <c r="B122" s="635" t="s">
        <v>489</v>
      </c>
      <c r="C122" s="636" t="s">
        <v>501</v>
      </c>
      <c r="D122" s="637" t="s">
        <v>502</v>
      </c>
      <c r="E122" s="636" t="s">
        <v>490</v>
      </c>
      <c r="F122" s="637" t="s">
        <v>491</v>
      </c>
      <c r="G122" s="636" t="s">
        <v>521</v>
      </c>
      <c r="H122" s="636" t="s">
        <v>911</v>
      </c>
      <c r="I122" s="636" t="s">
        <v>911</v>
      </c>
      <c r="J122" s="636" t="s">
        <v>912</v>
      </c>
      <c r="K122" s="636" t="s">
        <v>913</v>
      </c>
      <c r="L122" s="638">
        <v>96.19</v>
      </c>
      <c r="M122" s="638">
        <v>1</v>
      </c>
      <c r="N122" s="639">
        <v>96.19</v>
      </c>
    </row>
    <row r="123" spans="1:14" ht="14.4" customHeight="1" x14ac:dyDescent="0.3">
      <c r="A123" s="634" t="s">
        <v>487</v>
      </c>
      <c r="B123" s="635" t="s">
        <v>489</v>
      </c>
      <c r="C123" s="636" t="s">
        <v>501</v>
      </c>
      <c r="D123" s="637" t="s">
        <v>502</v>
      </c>
      <c r="E123" s="636" t="s">
        <v>490</v>
      </c>
      <c r="F123" s="637" t="s">
        <v>491</v>
      </c>
      <c r="G123" s="636" t="s">
        <v>521</v>
      </c>
      <c r="H123" s="636" t="s">
        <v>914</v>
      </c>
      <c r="I123" s="636" t="s">
        <v>915</v>
      </c>
      <c r="J123" s="636" t="s">
        <v>916</v>
      </c>
      <c r="K123" s="636" t="s">
        <v>917</v>
      </c>
      <c r="L123" s="638">
        <v>4539.4800000000005</v>
      </c>
      <c r="M123" s="638">
        <v>1</v>
      </c>
      <c r="N123" s="639">
        <v>4539.4800000000005</v>
      </c>
    </row>
    <row r="124" spans="1:14" ht="14.4" customHeight="1" x14ac:dyDescent="0.3">
      <c r="A124" s="634" t="s">
        <v>487</v>
      </c>
      <c r="B124" s="635" t="s">
        <v>489</v>
      </c>
      <c r="C124" s="636" t="s">
        <v>501</v>
      </c>
      <c r="D124" s="637" t="s">
        <v>502</v>
      </c>
      <c r="E124" s="636" t="s">
        <v>490</v>
      </c>
      <c r="F124" s="637" t="s">
        <v>491</v>
      </c>
      <c r="G124" s="636" t="s">
        <v>521</v>
      </c>
      <c r="H124" s="636" t="s">
        <v>918</v>
      </c>
      <c r="I124" s="636" t="s">
        <v>919</v>
      </c>
      <c r="J124" s="636" t="s">
        <v>920</v>
      </c>
      <c r="K124" s="636" t="s">
        <v>921</v>
      </c>
      <c r="L124" s="638">
        <v>399.47973002951312</v>
      </c>
      <c r="M124" s="638">
        <v>20</v>
      </c>
      <c r="N124" s="639">
        <v>7989.5946005902624</v>
      </c>
    </row>
    <row r="125" spans="1:14" ht="14.4" customHeight="1" x14ac:dyDescent="0.3">
      <c r="A125" s="634" t="s">
        <v>487</v>
      </c>
      <c r="B125" s="635" t="s">
        <v>489</v>
      </c>
      <c r="C125" s="636" t="s">
        <v>501</v>
      </c>
      <c r="D125" s="637" t="s">
        <v>502</v>
      </c>
      <c r="E125" s="636" t="s">
        <v>490</v>
      </c>
      <c r="F125" s="637" t="s">
        <v>491</v>
      </c>
      <c r="G125" s="636" t="s">
        <v>521</v>
      </c>
      <c r="H125" s="636" t="s">
        <v>922</v>
      </c>
      <c r="I125" s="636" t="s">
        <v>246</v>
      </c>
      <c r="J125" s="636" t="s">
        <v>923</v>
      </c>
      <c r="K125" s="636"/>
      <c r="L125" s="638">
        <v>155.49440391094112</v>
      </c>
      <c r="M125" s="638">
        <v>6</v>
      </c>
      <c r="N125" s="639">
        <v>932.9664234656467</v>
      </c>
    </row>
    <row r="126" spans="1:14" ht="14.4" customHeight="1" x14ac:dyDescent="0.3">
      <c r="A126" s="634" t="s">
        <v>487</v>
      </c>
      <c r="B126" s="635" t="s">
        <v>489</v>
      </c>
      <c r="C126" s="636" t="s">
        <v>501</v>
      </c>
      <c r="D126" s="637" t="s">
        <v>502</v>
      </c>
      <c r="E126" s="636" t="s">
        <v>490</v>
      </c>
      <c r="F126" s="637" t="s">
        <v>491</v>
      </c>
      <c r="G126" s="636" t="s">
        <v>521</v>
      </c>
      <c r="H126" s="636" t="s">
        <v>924</v>
      </c>
      <c r="I126" s="636" t="s">
        <v>925</v>
      </c>
      <c r="J126" s="636" t="s">
        <v>926</v>
      </c>
      <c r="K126" s="636" t="s">
        <v>927</v>
      </c>
      <c r="L126" s="638">
        <v>225.91</v>
      </c>
      <c r="M126" s="638">
        <v>1</v>
      </c>
      <c r="N126" s="639">
        <v>225.91</v>
      </c>
    </row>
    <row r="127" spans="1:14" ht="14.4" customHeight="1" x14ac:dyDescent="0.3">
      <c r="A127" s="634" t="s">
        <v>487</v>
      </c>
      <c r="B127" s="635" t="s">
        <v>489</v>
      </c>
      <c r="C127" s="636" t="s">
        <v>501</v>
      </c>
      <c r="D127" s="637" t="s">
        <v>502</v>
      </c>
      <c r="E127" s="636" t="s">
        <v>490</v>
      </c>
      <c r="F127" s="637" t="s">
        <v>491</v>
      </c>
      <c r="G127" s="636" t="s">
        <v>521</v>
      </c>
      <c r="H127" s="636" t="s">
        <v>928</v>
      </c>
      <c r="I127" s="636" t="s">
        <v>929</v>
      </c>
      <c r="J127" s="636" t="s">
        <v>669</v>
      </c>
      <c r="K127" s="636" t="s">
        <v>930</v>
      </c>
      <c r="L127" s="638">
        <v>474.18</v>
      </c>
      <c r="M127" s="638">
        <v>1</v>
      </c>
      <c r="N127" s="639">
        <v>474.18</v>
      </c>
    </row>
    <row r="128" spans="1:14" ht="14.4" customHeight="1" x14ac:dyDescent="0.3">
      <c r="A128" s="634" t="s">
        <v>487</v>
      </c>
      <c r="B128" s="635" t="s">
        <v>489</v>
      </c>
      <c r="C128" s="636" t="s">
        <v>501</v>
      </c>
      <c r="D128" s="637" t="s">
        <v>502</v>
      </c>
      <c r="E128" s="636" t="s">
        <v>490</v>
      </c>
      <c r="F128" s="637" t="s">
        <v>491</v>
      </c>
      <c r="G128" s="636" t="s">
        <v>521</v>
      </c>
      <c r="H128" s="636" t="s">
        <v>931</v>
      </c>
      <c r="I128" s="636" t="s">
        <v>246</v>
      </c>
      <c r="J128" s="636" t="s">
        <v>932</v>
      </c>
      <c r="K128" s="636" t="s">
        <v>933</v>
      </c>
      <c r="L128" s="638">
        <v>367.33000000000004</v>
      </c>
      <c r="M128" s="638">
        <v>2</v>
      </c>
      <c r="N128" s="639">
        <v>734.66000000000008</v>
      </c>
    </row>
    <row r="129" spans="1:14" ht="14.4" customHeight="1" x14ac:dyDescent="0.3">
      <c r="A129" s="634" t="s">
        <v>487</v>
      </c>
      <c r="B129" s="635" t="s">
        <v>489</v>
      </c>
      <c r="C129" s="636" t="s">
        <v>501</v>
      </c>
      <c r="D129" s="637" t="s">
        <v>502</v>
      </c>
      <c r="E129" s="636" t="s">
        <v>490</v>
      </c>
      <c r="F129" s="637" t="s">
        <v>491</v>
      </c>
      <c r="G129" s="636" t="s">
        <v>521</v>
      </c>
      <c r="H129" s="636" t="s">
        <v>934</v>
      </c>
      <c r="I129" s="636" t="s">
        <v>935</v>
      </c>
      <c r="J129" s="636" t="s">
        <v>936</v>
      </c>
      <c r="K129" s="636" t="s">
        <v>937</v>
      </c>
      <c r="L129" s="638">
        <v>79.129492989399225</v>
      </c>
      <c r="M129" s="638">
        <v>1</v>
      </c>
      <c r="N129" s="639">
        <v>79.129492989399225</v>
      </c>
    </row>
    <row r="130" spans="1:14" ht="14.4" customHeight="1" x14ac:dyDescent="0.3">
      <c r="A130" s="634" t="s">
        <v>487</v>
      </c>
      <c r="B130" s="635" t="s">
        <v>489</v>
      </c>
      <c r="C130" s="636" t="s">
        <v>501</v>
      </c>
      <c r="D130" s="637" t="s">
        <v>502</v>
      </c>
      <c r="E130" s="636" t="s">
        <v>490</v>
      </c>
      <c r="F130" s="637" t="s">
        <v>491</v>
      </c>
      <c r="G130" s="636" t="s">
        <v>521</v>
      </c>
      <c r="H130" s="636" t="s">
        <v>938</v>
      </c>
      <c r="I130" s="636" t="s">
        <v>246</v>
      </c>
      <c r="J130" s="636" t="s">
        <v>939</v>
      </c>
      <c r="K130" s="636"/>
      <c r="L130" s="638">
        <v>123.07466525602202</v>
      </c>
      <c r="M130" s="638">
        <v>12</v>
      </c>
      <c r="N130" s="639">
        <v>1476.8959830722642</v>
      </c>
    </row>
    <row r="131" spans="1:14" ht="14.4" customHeight="1" x14ac:dyDescent="0.3">
      <c r="A131" s="634" t="s">
        <v>487</v>
      </c>
      <c r="B131" s="635" t="s">
        <v>489</v>
      </c>
      <c r="C131" s="636" t="s">
        <v>501</v>
      </c>
      <c r="D131" s="637" t="s">
        <v>502</v>
      </c>
      <c r="E131" s="636" t="s">
        <v>490</v>
      </c>
      <c r="F131" s="637" t="s">
        <v>491</v>
      </c>
      <c r="G131" s="636" t="s">
        <v>521</v>
      </c>
      <c r="H131" s="636" t="s">
        <v>940</v>
      </c>
      <c r="I131" s="636" t="s">
        <v>941</v>
      </c>
      <c r="J131" s="636" t="s">
        <v>942</v>
      </c>
      <c r="K131" s="636" t="s">
        <v>943</v>
      </c>
      <c r="L131" s="638">
        <v>109.22999999999999</v>
      </c>
      <c r="M131" s="638">
        <v>20</v>
      </c>
      <c r="N131" s="639">
        <v>2184.6</v>
      </c>
    </row>
    <row r="132" spans="1:14" ht="14.4" customHeight="1" x14ac:dyDescent="0.3">
      <c r="A132" s="634" t="s">
        <v>487</v>
      </c>
      <c r="B132" s="635" t="s">
        <v>489</v>
      </c>
      <c r="C132" s="636" t="s">
        <v>501</v>
      </c>
      <c r="D132" s="637" t="s">
        <v>502</v>
      </c>
      <c r="E132" s="636" t="s">
        <v>490</v>
      </c>
      <c r="F132" s="637" t="s">
        <v>491</v>
      </c>
      <c r="G132" s="636" t="s">
        <v>521</v>
      </c>
      <c r="H132" s="636" t="s">
        <v>944</v>
      </c>
      <c r="I132" s="636" t="s">
        <v>945</v>
      </c>
      <c r="J132" s="636" t="s">
        <v>946</v>
      </c>
      <c r="K132" s="636" t="s">
        <v>947</v>
      </c>
      <c r="L132" s="638">
        <v>339.93988336603888</v>
      </c>
      <c r="M132" s="638">
        <v>2</v>
      </c>
      <c r="N132" s="639">
        <v>679.87976673207777</v>
      </c>
    </row>
    <row r="133" spans="1:14" ht="14.4" customHeight="1" x14ac:dyDescent="0.3">
      <c r="A133" s="634" t="s">
        <v>487</v>
      </c>
      <c r="B133" s="635" t="s">
        <v>489</v>
      </c>
      <c r="C133" s="636" t="s">
        <v>501</v>
      </c>
      <c r="D133" s="637" t="s">
        <v>502</v>
      </c>
      <c r="E133" s="636" t="s">
        <v>490</v>
      </c>
      <c r="F133" s="637" t="s">
        <v>491</v>
      </c>
      <c r="G133" s="636" t="s">
        <v>521</v>
      </c>
      <c r="H133" s="636" t="s">
        <v>948</v>
      </c>
      <c r="I133" s="636" t="s">
        <v>246</v>
      </c>
      <c r="J133" s="636" t="s">
        <v>949</v>
      </c>
      <c r="K133" s="636"/>
      <c r="L133" s="638">
        <v>167.17434648843945</v>
      </c>
      <c r="M133" s="638">
        <v>11</v>
      </c>
      <c r="N133" s="639">
        <v>1838.917811372834</v>
      </c>
    </row>
    <row r="134" spans="1:14" ht="14.4" customHeight="1" x14ac:dyDescent="0.3">
      <c r="A134" s="634" t="s">
        <v>487</v>
      </c>
      <c r="B134" s="635" t="s">
        <v>489</v>
      </c>
      <c r="C134" s="636" t="s">
        <v>501</v>
      </c>
      <c r="D134" s="637" t="s">
        <v>502</v>
      </c>
      <c r="E134" s="636" t="s">
        <v>490</v>
      </c>
      <c r="F134" s="637" t="s">
        <v>491</v>
      </c>
      <c r="G134" s="636" t="s">
        <v>521</v>
      </c>
      <c r="H134" s="636" t="s">
        <v>950</v>
      </c>
      <c r="I134" s="636" t="s">
        <v>246</v>
      </c>
      <c r="J134" s="636" t="s">
        <v>951</v>
      </c>
      <c r="K134" s="636"/>
      <c r="L134" s="638">
        <v>153.9645993843605</v>
      </c>
      <c r="M134" s="638">
        <v>2</v>
      </c>
      <c r="N134" s="639">
        <v>307.92919876872099</v>
      </c>
    </row>
    <row r="135" spans="1:14" ht="14.4" customHeight="1" x14ac:dyDescent="0.3">
      <c r="A135" s="634" t="s">
        <v>487</v>
      </c>
      <c r="B135" s="635" t="s">
        <v>489</v>
      </c>
      <c r="C135" s="636" t="s">
        <v>501</v>
      </c>
      <c r="D135" s="637" t="s">
        <v>502</v>
      </c>
      <c r="E135" s="636" t="s">
        <v>490</v>
      </c>
      <c r="F135" s="637" t="s">
        <v>491</v>
      </c>
      <c r="G135" s="636" t="s">
        <v>521</v>
      </c>
      <c r="H135" s="636" t="s">
        <v>952</v>
      </c>
      <c r="I135" s="636" t="s">
        <v>952</v>
      </c>
      <c r="J135" s="636" t="s">
        <v>953</v>
      </c>
      <c r="K135" s="636" t="s">
        <v>527</v>
      </c>
      <c r="L135" s="638">
        <v>382.61</v>
      </c>
      <c r="M135" s="638">
        <v>1</v>
      </c>
      <c r="N135" s="639">
        <v>382.61</v>
      </c>
    </row>
    <row r="136" spans="1:14" ht="14.4" customHeight="1" x14ac:dyDescent="0.3">
      <c r="A136" s="634" t="s">
        <v>487</v>
      </c>
      <c r="B136" s="635" t="s">
        <v>489</v>
      </c>
      <c r="C136" s="636" t="s">
        <v>501</v>
      </c>
      <c r="D136" s="637" t="s">
        <v>502</v>
      </c>
      <c r="E136" s="636" t="s">
        <v>490</v>
      </c>
      <c r="F136" s="637" t="s">
        <v>491</v>
      </c>
      <c r="G136" s="636" t="s">
        <v>521</v>
      </c>
      <c r="H136" s="636" t="s">
        <v>954</v>
      </c>
      <c r="I136" s="636" t="s">
        <v>955</v>
      </c>
      <c r="J136" s="636" t="s">
        <v>956</v>
      </c>
      <c r="K136" s="636" t="s">
        <v>917</v>
      </c>
      <c r="L136" s="638">
        <v>2700.0000000000005</v>
      </c>
      <c r="M136" s="638">
        <v>1</v>
      </c>
      <c r="N136" s="639">
        <v>2700.0000000000005</v>
      </c>
    </row>
    <row r="137" spans="1:14" ht="14.4" customHeight="1" x14ac:dyDescent="0.3">
      <c r="A137" s="634" t="s">
        <v>487</v>
      </c>
      <c r="B137" s="635" t="s">
        <v>489</v>
      </c>
      <c r="C137" s="636" t="s">
        <v>501</v>
      </c>
      <c r="D137" s="637" t="s">
        <v>502</v>
      </c>
      <c r="E137" s="636" t="s">
        <v>490</v>
      </c>
      <c r="F137" s="637" t="s">
        <v>491</v>
      </c>
      <c r="G137" s="636" t="s">
        <v>521</v>
      </c>
      <c r="H137" s="636" t="s">
        <v>957</v>
      </c>
      <c r="I137" s="636" t="s">
        <v>958</v>
      </c>
      <c r="J137" s="636" t="s">
        <v>959</v>
      </c>
      <c r="K137" s="636" t="s">
        <v>960</v>
      </c>
      <c r="L137" s="638">
        <v>3818</v>
      </c>
      <c r="M137" s="638">
        <v>1</v>
      </c>
      <c r="N137" s="639">
        <v>3818</v>
      </c>
    </row>
    <row r="138" spans="1:14" ht="14.4" customHeight="1" x14ac:dyDescent="0.3">
      <c r="A138" s="634" t="s">
        <v>487</v>
      </c>
      <c r="B138" s="635" t="s">
        <v>489</v>
      </c>
      <c r="C138" s="636" t="s">
        <v>501</v>
      </c>
      <c r="D138" s="637" t="s">
        <v>502</v>
      </c>
      <c r="E138" s="636" t="s">
        <v>490</v>
      </c>
      <c r="F138" s="637" t="s">
        <v>491</v>
      </c>
      <c r="G138" s="636" t="s">
        <v>521</v>
      </c>
      <c r="H138" s="636" t="s">
        <v>961</v>
      </c>
      <c r="I138" s="636" t="s">
        <v>246</v>
      </c>
      <c r="J138" s="636" t="s">
        <v>962</v>
      </c>
      <c r="K138" s="636"/>
      <c r="L138" s="638">
        <v>89.549020660663999</v>
      </c>
      <c r="M138" s="638">
        <v>2</v>
      </c>
      <c r="N138" s="639">
        <v>179.098041321328</v>
      </c>
    </row>
    <row r="139" spans="1:14" ht="14.4" customHeight="1" x14ac:dyDescent="0.3">
      <c r="A139" s="634" t="s">
        <v>487</v>
      </c>
      <c r="B139" s="635" t="s">
        <v>489</v>
      </c>
      <c r="C139" s="636" t="s">
        <v>501</v>
      </c>
      <c r="D139" s="637" t="s">
        <v>502</v>
      </c>
      <c r="E139" s="636" t="s">
        <v>490</v>
      </c>
      <c r="F139" s="637" t="s">
        <v>491</v>
      </c>
      <c r="G139" s="636" t="s">
        <v>521</v>
      </c>
      <c r="H139" s="636" t="s">
        <v>963</v>
      </c>
      <c r="I139" s="636" t="s">
        <v>964</v>
      </c>
      <c r="J139" s="636" t="s">
        <v>965</v>
      </c>
      <c r="K139" s="636" t="s">
        <v>943</v>
      </c>
      <c r="L139" s="638">
        <v>36.64</v>
      </c>
      <c r="M139" s="638">
        <v>20</v>
      </c>
      <c r="N139" s="639">
        <v>732.8</v>
      </c>
    </row>
    <row r="140" spans="1:14" ht="14.4" customHeight="1" x14ac:dyDescent="0.3">
      <c r="A140" s="634" t="s">
        <v>487</v>
      </c>
      <c r="B140" s="635" t="s">
        <v>489</v>
      </c>
      <c r="C140" s="636" t="s">
        <v>501</v>
      </c>
      <c r="D140" s="637" t="s">
        <v>502</v>
      </c>
      <c r="E140" s="636" t="s">
        <v>490</v>
      </c>
      <c r="F140" s="637" t="s">
        <v>491</v>
      </c>
      <c r="G140" s="636" t="s">
        <v>521</v>
      </c>
      <c r="H140" s="636" t="s">
        <v>966</v>
      </c>
      <c r="I140" s="636" t="s">
        <v>967</v>
      </c>
      <c r="J140" s="636" t="s">
        <v>968</v>
      </c>
      <c r="K140" s="636" t="s">
        <v>969</v>
      </c>
      <c r="L140" s="638">
        <v>3548.5799999999995</v>
      </c>
      <c r="M140" s="638">
        <v>0.3</v>
      </c>
      <c r="N140" s="639">
        <v>1064.5739999999998</v>
      </c>
    </row>
    <row r="141" spans="1:14" ht="14.4" customHeight="1" x14ac:dyDescent="0.3">
      <c r="A141" s="634" t="s">
        <v>487</v>
      </c>
      <c r="B141" s="635" t="s">
        <v>489</v>
      </c>
      <c r="C141" s="636" t="s">
        <v>501</v>
      </c>
      <c r="D141" s="637" t="s">
        <v>502</v>
      </c>
      <c r="E141" s="636" t="s">
        <v>490</v>
      </c>
      <c r="F141" s="637" t="s">
        <v>491</v>
      </c>
      <c r="G141" s="636" t="s">
        <v>521</v>
      </c>
      <c r="H141" s="636" t="s">
        <v>970</v>
      </c>
      <c r="I141" s="636" t="s">
        <v>971</v>
      </c>
      <c r="J141" s="636" t="s">
        <v>972</v>
      </c>
      <c r="K141" s="636" t="s">
        <v>973</v>
      </c>
      <c r="L141" s="638">
        <v>649.85</v>
      </c>
      <c r="M141" s="638">
        <v>1</v>
      </c>
      <c r="N141" s="639">
        <v>649.85</v>
      </c>
    </row>
    <row r="142" spans="1:14" ht="14.4" customHeight="1" x14ac:dyDescent="0.3">
      <c r="A142" s="634" t="s">
        <v>487</v>
      </c>
      <c r="B142" s="635" t="s">
        <v>489</v>
      </c>
      <c r="C142" s="636" t="s">
        <v>501</v>
      </c>
      <c r="D142" s="637" t="s">
        <v>502</v>
      </c>
      <c r="E142" s="636" t="s">
        <v>490</v>
      </c>
      <c r="F142" s="637" t="s">
        <v>491</v>
      </c>
      <c r="G142" s="636" t="s">
        <v>521</v>
      </c>
      <c r="H142" s="636" t="s">
        <v>974</v>
      </c>
      <c r="I142" s="636" t="s">
        <v>974</v>
      </c>
      <c r="J142" s="636" t="s">
        <v>975</v>
      </c>
      <c r="K142" s="636" t="s">
        <v>976</v>
      </c>
      <c r="L142" s="638">
        <v>580.98</v>
      </c>
      <c r="M142" s="638">
        <v>11</v>
      </c>
      <c r="N142" s="639">
        <v>6390.7800000000007</v>
      </c>
    </row>
    <row r="143" spans="1:14" ht="14.4" customHeight="1" x14ac:dyDescent="0.3">
      <c r="A143" s="634" t="s">
        <v>487</v>
      </c>
      <c r="B143" s="635" t="s">
        <v>489</v>
      </c>
      <c r="C143" s="636" t="s">
        <v>501</v>
      </c>
      <c r="D143" s="637" t="s">
        <v>502</v>
      </c>
      <c r="E143" s="636" t="s">
        <v>490</v>
      </c>
      <c r="F143" s="637" t="s">
        <v>491</v>
      </c>
      <c r="G143" s="636" t="s">
        <v>521</v>
      </c>
      <c r="H143" s="636" t="s">
        <v>977</v>
      </c>
      <c r="I143" s="636" t="s">
        <v>246</v>
      </c>
      <c r="J143" s="636" t="s">
        <v>978</v>
      </c>
      <c r="K143" s="636" t="s">
        <v>979</v>
      </c>
      <c r="L143" s="638">
        <v>761.62</v>
      </c>
      <c r="M143" s="638">
        <v>3</v>
      </c>
      <c r="N143" s="639">
        <v>2284.86</v>
      </c>
    </row>
    <row r="144" spans="1:14" ht="14.4" customHeight="1" x14ac:dyDescent="0.3">
      <c r="A144" s="634" t="s">
        <v>487</v>
      </c>
      <c r="B144" s="635" t="s">
        <v>489</v>
      </c>
      <c r="C144" s="636" t="s">
        <v>501</v>
      </c>
      <c r="D144" s="637" t="s">
        <v>502</v>
      </c>
      <c r="E144" s="636" t="s">
        <v>490</v>
      </c>
      <c r="F144" s="637" t="s">
        <v>491</v>
      </c>
      <c r="G144" s="636" t="s">
        <v>521</v>
      </c>
      <c r="H144" s="636" t="s">
        <v>980</v>
      </c>
      <c r="I144" s="636" t="s">
        <v>981</v>
      </c>
      <c r="J144" s="636" t="s">
        <v>982</v>
      </c>
      <c r="K144" s="636" t="s">
        <v>983</v>
      </c>
      <c r="L144" s="638">
        <v>30.649999999999995</v>
      </c>
      <c r="M144" s="638">
        <v>12</v>
      </c>
      <c r="N144" s="639">
        <v>367.79999999999995</v>
      </c>
    </row>
    <row r="145" spans="1:14" ht="14.4" customHeight="1" x14ac:dyDescent="0.3">
      <c r="A145" s="634" t="s">
        <v>487</v>
      </c>
      <c r="B145" s="635" t="s">
        <v>489</v>
      </c>
      <c r="C145" s="636" t="s">
        <v>501</v>
      </c>
      <c r="D145" s="637" t="s">
        <v>502</v>
      </c>
      <c r="E145" s="636" t="s">
        <v>490</v>
      </c>
      <c r="F145" s="637" t="s">
        <v>491</v>
      </c>
      <c r="G145" s="636" t="s">
        <v>521</v>
      </c>
      <c r="H145" s="636" t="s">
        <v>984</v>
      </c>
      <c r="I145" s="636" t="s">
        <v>985</v>
      </c>
      <c r="J145" s="636" t="s">
        <v>986</v>
      </c>
      <c r="K145" s="636" t="s">
        <v>987</v>
      </c>
      <c r="L145" s="638">
        <v>104.28</v>
      </c>
      <c r="M145" s="638">
        <v>1</v>
      </c>
      <c r="N145" s="639">
        <v>104.28</v>
      </c>
    </row>
    <row r="146" spans="1:14" ht="14.4" customHeight="1" x14ac:dyDescent="0.3">
      <c r="A146" s="634" t="s">
        <v>487</v>
      </c>
      <c r="B146" s="635" t="s">
        <v>489</v>
      </c>
      <c r="C146" s="636" t="s">
        <v>501</v>
      </c>
      <c r="D146" s="637" t="s">
        <v>502</v>
      </c>
      <c r="E146" s="636" t="s">
        <v>490</v>
      </c>
      <c r="F146" s="637" t="s">
        <v>491</v>
      </c>
      <c r="G146" s="636" t="s">
        <v>521</v>
      </c>
      <c r="H146" s="636" t="s">
        <v>988</v>
      </c>
      <c r="I146" s="636" t="s">
        <v>988</v>
      </c>
      <c r="J146" s="636" t="s">
        <v>557</v>
      </c>
      <c r="K146" s="636" t="s">
        <v>989</v>
      </c>
      <c r="L146" s="638">
        <v>60.259999999999991</v>
      </c>
      <c r="M146" s="638">
        <v>7</v>
      </c>
      <c r="N146" s="639">
        <v>421.81999999999994</v>
      </c>
    </row>
    <row r="147" spans="1:14" ht="14.4" customHeight="1" x14ac:dyDescent="0.3">
      <c r="A147" s="634" t="s">
        <v>487</v>
      </c>
      <c r="B147" s="635" t="s">
        <v>489</v>
      </c>
      <c r="C147" s="636" t="s">
        <v>501</v>
      </c>
      <c r="D147" s="637" t="s">
        <v>502</v>
      </c>
      <c r="E147" s="636" t="s">
        <v>490</v>
      </c>
      <c r="F147" s="637" t="s">
        <v>491</v>
      </c>
      <c r="G147" s="636" t="s">
        <v>521</v>
      </c>
      <c r="H147" s="636" t="s">
        <v>990</v>
      </c>
      <c r="I147" s="636" t="s">
        <v>246</v>
      </c>
      <c r="J147" s="636" t="s">
        <v>991</v>
      </c>
      <c r="K147" s="636"/>
      <c r="L147" s="638">
        <v>147.49950971397899</v>
      </c>
      <c r="M147" s="638">
        <v>6</v>
      </c>
      <c r="N147" s="639">
        <v>884.99705828387391</v>
      </c>
    </row>
    <row r="148" spans="1:14" ht="14.4" customHeight="1" x14ac:dyDescent="0.3">
      <c r="A148" s="634" t="s">
        <v>487</v>
      </c>
      <c r="B148" s="635" t="s">
        <v>489</v>
      </c>
      <c r="C148" s="636" t="s">
        <v>501</v>
      </c>
      <c r="D148" s="637" t="s">
        <v>502</v>
      </c>
      <c r="E148" s="636" t="s">
        <v>490</v>
      </c>
      <c r="F148" s="637" t="s">
        <v>491</v>
      </c>
      <c r="G148" s="636" t="s">
        <v>521</v>
      </c>
      <c r="H148" s="636" t="s">
        <v>992</v>
      </c>
      <c r="I148" s="636" t="s">
        <v>246</v>
      </c>
      <c r="J148" s="636" t="s">
        <v>993</v>
      </c>
      <c r="K148" s="636"/>
      <c r="L148" s="638">
        <v>169.94</v>
      </c>
      <c r="M148" s="638">
        <v>3</v>
      </c>
      <c r="N148" s="639">
        <v>509.82</v>
      </c>
    </row>
    <row r="149" spans="1:14" ht="14.4" customHeight="1" x14ac:dyDescent="0.3">
      <c r="A149" s="634" t="s">
        <v>487</v>
      </c>
      <c r="B149" s="635" t="s">
        <v>489</v>
      </c>
      <c r="C149" s="636" t="s">
        <v>501</v>
      </c>
      <c r="D149" s="637" t="s">
        <v>502</v>
      </c>
      <c r="E149" s="636" t="s">
        <v>490</v>
      </c>
      <c r="F149" s="637" t="s">
        <v>491</v>
      </c>
      <c r="G149" s="636" t="s">
        <v>994</v>
      </c>
      <c r="H149" s="636" t="s">
        <v>995</v>
      </c>
      <c r="I149" s="636" t="s">
        <v>996</v>
      </c>
      <c r="J149" s="636" t="s">
        <v>997</v>
      </c>
      <c r="K149" s="636" t="s">
        <v>998</v>
      </c>
      <c r="L149" s="638">
        <v>36.33</v>
      </c>
      <c r="M149" s="638">
        <v>4</v>
      </c>
      <c r="N149" s="639">
        <v>145.32</v>
      </c>
    </row>
    <row r="150" spans="1:14" ht="14.4" customHeight="1" x14ac:dyDescent="0.3">
      <c r="A150" s="634" t="s">
        <v>487</v>
      </c>
      <c r="B150" s="635" t="s">
        <v>489</v>
      </c>
      <c r="C150" s="636" t="s">
        <v>501</v>
      </c>
      <c r="D150" s="637" t="s">
        <v>502</v>
      </c>
      <c r="E150" s="636" t="s">
        <v>490</v>
      </c>
      <c r="F150" s="637" t="s">
        <v>491</v>
      </c>
      <c r="G150" s="636" t="s">
        <v>994</v>
      </c>
      <c r="H150" s="636" t="s">
        <v>999</v>
      </c>
      <c r="I150" s="636" t="s">
        <v>1000</v>
      </c>
      <c r="J150" s="636" t="s">
        <v>1001</v>
      </c>
      <c r="K150" s="636" t="s">
        <v>1002</v>
      </c>
      <c r="L150" s="638">
        <v>47.33</v>
      </c>
      <c r="M150" s="638">
        <v>1</v>
      </c>
      <c r="N150" s="639">
        <v>47.33</v>
      </c>
    </row>
    <row r="151" spans="1:14" ht="14.4" customHeight="1" x14ac:dyDescent="0.3">
      <c r="A151" s="634" t="s">
        <v>487</v>
      </c>
      <c r="B151" s="635" t="s">
        <v>489</v>
      </c>
      <c r="C151" s="636" t="s">
        <v>501</v>
      </c>
      <c r="D151" s="637" t="s">
        <v>502</v>
      </c>
      <c r="E151" s="636" t="s">
        <v>490</v>
      </c>
      <c r="F151" s="637" t="s">
        <v>491</v>
      </c>
      <c r="G151" s="636" t="s">
        <v>994</v>
      </c>
      <c r="H151" s="636" t="s">
        <v>1003</v>
      </c>
      <c r="I151" s="636" t="s">
        <v>1004</v>
      </c>
      <c r="J151" s="636" t="s">
        <v>1005</v>
      </c>
      <c r="K151" s="636" t="s">
        <v>1006</v>
      </c>
      <c r="L151" s="638">
        <v>54.460001564674904</v>
      </c>
      <c r="M151" s="638">
        <v>14</v>
      </c>
      <c r="N151" s="639">
        <v>762.4400219054487</v>
      </c>
    </row>
    <row r="152" spans="1:14" ht="14.4" customHeight="1" x14ac:dyDescent="0.3">
      <c r="A152" s="634" t="s">
        <v>487</v>
      </c>
      <c r="B152" s="635" t="s">
        <v>489</v>
      </c>
      <c r="C152" s="636" t="s">
        <v>501</v>
      </c>
      <c r="D152" s="637" t="s">
        <v>502</v>
      </c>
      <c r="E152" s="636" t="s">
        <v>490</v>
      </c>
      <c r="F152" s="637" t="s">
        <v>491</v>
      </c>
      <c r="G152" s="636" t="s">
        <v>994</v>
      </c>
      <c r="H152" s="636" t="s">
        <v>1007</v>
      </c>
      <c r="I152" s="636" t="s">
        <v>1008</v>
      </c>
      <c r="J152" s="636" t="s">
        <v>1009</v>
      </c>
      <c r="K152" s="636" t="s">
        <v>1010</v>
      </c>
      <c r="L152" s="638">
        <v>122.72</v>
      </c>
      <c r="M152" s="638">
        <v>1</v>
      </c>
      <c r="N152" s="639">
        <v>122.72</v>
      </c>
    </row>
    <row r="153" spans="1:14" ht="14.4" customHeight="1" x14ac:dyDescent="0.3">
      <c r="A153" s="634" t="s">
        <v>487</v>
      </c>
      <c r="B153" s="635" t="s">
        <v>489</v>
      </c>
      <c r="C153" s="636" t="s">
        <v>501</v>
      </c>
      <c r="D153" s="637" t="s">
        <v>502</v>
      </c>
      <c r="E153" s="636" t="s">
        <v>490</v>
      </c>
      <c r="F153" s="637" t="s">
        <v>491</v>
      </c>
      <c r="G153" s="636" t="s">
        <v>994</v>
      </c>
      <c r="H153" s="636" t="s">
        <v>1011</v>
      </c>
      <c r="I153" s="636" t="s">
        <v>1012</v>
      </c>
      <c r="J153" s="636" t="s">
        <v>1013</v>
      </c>
      <c r="K153" s="636" t="s">
        <v>1014</v>
      </c>
      <c r="L153" s="638">
        <v>62.05</v>
      </c>
      <c r="M153" s="638">
        <v>2</v>
      </c>
      <c r="N153" s="639">
        <v>124.1</v>
      </c>
    </row>
    <row r="154" spans="1:14" ht="14.4" customHeight="1" x14ac:dyDescent="0.3">
      <c r="A154" s="634" t="s">
        <v>487</v>
      </c>
      <c r="B154" s="635" t="s">
        <v>489</v>
      </c>
      <c r="C154" s="636" t="s">
        <v>501</v>
      </c>
      <c r="D154" s="637" t="s">
        <v>502</v>
      </c>
      <c r="E154" s="636" t="s">
        <v>490</v>
      </c>
      <c r="F154" s="637" t="s">
        <v>491</v>
      </c>
      <c r="G154" s="636" t="s">
        <v>994</v>
      </c>
      <c r="H154" s="636" t="s">
        <v>1015</v>
      </c>
      <c r="I154" s="636" t="s">
        <v>1016</v>
      </c>
      <c r="J154" s="636" t="s">
        <v>1017</v>
      </c>
      <c r="K154" s="636" t="s">
        <v>1018</v>
      </c>
      <c r="L154" s="638">
        <v>79.83</v>
      </c>
      <c r="M154" s="638">
        <v>1</v>
      </c>
      <c r="N154" s="639">
        <v>79.83</v>
      </c>
    </row>
    <row r="155" spans="1:14" ht="14.4" customHeight="1" x14ac:dyDescent="0.3">
      <c r="A155" s="634" t="s">
        <v>487</v>
      </c>
      <c r="B155" s="635" t="s">
        <v>489</v>
      </c>
      <c r="C155" s="636" t="s">
        <v>501</v>
      </c>
      <c r="D155" s="637" t="s">
        <v>502</v>
      </c>
      <c r="E155" s="636" t="s">
        <v>490</v>
      </c>
      <c r="F155" s="637" t="s">
        <v>491</v>
      </c>
      <c r="G155" s="636" t="s">
        <v>994</v>
      </c>
      <c r="H155" s="636" t="s">
        <v>1019</v>
      </c>
      <c r="I155" s="636" t="s">
        <v>1020</v>
      </c>
      <c r="J155" s="636" t="s">
        <v>1021</v>
      </c>
      <c r="K155" s="636" t="s">
        <v>1022</v>
      </c>
      <c r="L155" s="638">
        <v>3450</v>
      </c>
      <c r="M155" s="638">
        <v>6</v>
      </c>
      <c r="N155" s="639">
        <v>20700</v>
      </c>
    </row>
    <row r="156" spans="1:14" ht="14.4" customHeight="1" x14ac:dyDescent="0.3">
      <c r="A156" s="634" t="s">
        <v>487</v>
      </c>
      <c r="B156" s="635" t="s">
        <v>489</v>
      </c>
      <c r="C156" s="636" t="s">
        <v>501</v>
      </c>
      <c r="D156" s="637" t="s">
        <v>502</v>
      </c>
      <c r="E156" s="636" t="s">
        <v>490</v>
      </c>
      <c r="F156" s="637" t="s">
        <v>491</v>
      </c>
      <c r="G156" s="636" t="s">
        <v>994</v>
      </c>
      <c r="H156" s="636" t="s">
        <v>1023</v>
      </c>
      <c r="I156" s="636" t="s">
        <v>1024</v>
      </c>
      <c r="J156" s="636" t="s">
        <v>1025</v>
      </c>
      <c r="K156" s="636" t="s">
        <v>1026</v>
      </c>
      <c r="L156" s="638">
        <v>140.94</v>
      </c>
      <c r="M156" s="638">
        <v>1</v>
      </c>
      <c r="N156" s="639">
        <v>140.94</v>
      </c>
    </row>
    <row r="157" spans="1:14" ht="14.4" customHeight="1" x14ac:dyDescent="0.3">
      <c r="A157" s="634" t="s">
        <v>487</v>
      </c>
      <c r="B157" s="635" t="s">
        <v>489</v>
      </c>
      <c r="C157" s="636" t="s">
        <v>501</v>
      </c>
      <c r="D157" s="637" t="s">
        <v>502</v>
      </c>
      <c r="E157" s="636" t="s">
        <v>490</v>
      </c>
      <c r="F157" s="637" t="s">
        <v>491</v>
      </c>
      <c r="G157" s="636" t="s">
        <v>994</v>
      </c>
      <c r="H157" s="636" t="s">
        <v>1027</v>
      </c>
      <c r="I157" s="636" t="s">
        <v>1028</v>
      </c>
      <c r="J157" s="636" t="s">
        <v>1029</v>
      </c>
      <c r="K157" s="636" t="s">
        <v>1030</v>
      </c>
      <c r="L157" s="638">
        <v>85.479999999999976</v>
      </c>
      <c r="M157" s="638">
        <v>6</v>
      </c>
      <c r="N157" s="639">
        <v>512.87999999999988</v>
      </c>
    </row>
    <row r="158" spans="1:14" ht="14.4" customHeight="1" x14ac:dyDescent="0.3">
      <c r="A158" s="634" t="s">
        <v>487</v>
      </c>
      <c r="B158" s="635" t="s">
        <v>489</v>
      </c>
      <c r="C158" s="636" t="s">
        <v>501</v>
      </c>
      <c r="D158" s="637" t="s">
        <v>502</v>
      </c>
      <c r="E158" s="636" t="s">
        <v>490</v>
      </c>
      <c r="F158" s="637" t="s">
        <v>491</v>
      </c>
      <c r="G158" s="636" t="s">
        <v>994</v>
      </c>
      <c r="H158" s="636" t="s">
        <v>1031</v>
      </c>
      <c r="I158" s="636" t="s">
        <v>1032</v>
      </c>
      <c r="J158" s="636" t="s">
        <v>1033</v>
      </c>
      <c r="K158" s="636" t="s">
        <v>1034</v>
      </c>
      <c r="L158" s="638">
        <v>337.15</v>
      </c>
      <c r="M158" s="638">
        <v>1</v>
      </c>
      <c r="N158" s="639">
        <v>337.15</v>
      </c>
    </row>
    <row r="159" spans="1:14" ht="14.4" customHeight="1" x14ac:dyDescent="0.3">
      <c r="A159" s="634" t="s">
        <v>487</v>
      </c>
      <c r="B159" s="635" t="s">
        <v>489</v>
      </c>
      <c r="C159" s="636" t="s">
        <v>501</v>
      </c>
      <c r="D159" s="637" t="s">
        <v>502</v>
      </c>
      <c r="E159" s="636" t="s">
        <v>490</v>
      </c>
      <c r="F159" s="637" t="s">
        <v>491</v>
      </c>
      <c r="G159" s="636" t="s">
        <v>994</v>
      </c>
      <c r="H159" s="636" t="s">
        <v>1035</v>
      </c>
      <c r="I159" s="636" t="s">
        <v>1036</v>
      </c>
      <c r="J159" s="636" t="s">
        <v>1001</v>
      </c>
      <c r="K159" s="636" t="s">
        <v>1037</v>
      </c>
      <c r="L159" s="638">
        <v>135.36602277443342</v>
      </c>
      <c r="M159" s="638">
        <v>25</v>
      </c>
      <c r="N159" s="639">
        <v>3384.1505693608351</v>
      </c>
    </row>
    <row r="160" spans="1:14" ht="14.4" customHeight="1" x14ac:dyDescent="0.3">
      <c r="A160" s="634" t="s">
        <v>487</v>
      </c>
      <c r="B160" s="635" t="s">
        <v>489</v>
      </c>
      <c r="C160" s="636" t="s">
        <v>501</v>
      </c>
      <c r="D160" s="637" t="s">
        <v>502</v>
      </c>
      <c r="E160" s="636" t="s">
        <v>490</v>
      </c>
      <c r="F160" s="637" t="s">
        <v>491</v>
      </c>
      <c r="G160" s="636" t="s">
        <v>994</v>
      </c>
      <c r="H160" s="636" t="s">
        <v>1038</v>
      </c>
      <c r="I160" s="636" t="s">
        <v>1039</v>
      </c>
      <c r="J160" s="636" t="s">
        <v>1040</v>
      </c>
      <c r="K160" s="636" t="s">
        <v>1041</v>
      </c>
      <c r="L160" s="638">
        <v>151.12</v>
      </c>
      <c r="M160" s="638">
        <v>1</v>
      </c>
      <c r="N160" s="639">
        <v>151.12</v>
      </c>
    </row>
    <row r="161" spans="1:14" ht="14.4" customHeight="1" x14ac:dyDescent="0.3">
      <c r="A161" s="634" t="s">
        <v>487</v>
      </c>
      <c r="B161" s="635" t="s">
        <v>489</v>
      </c>
      <c r="C161" s="636" t="s">
        <v>501</v>
      </c>
      <c r="D161" s="637" t="s">
        <v>502</v>
      </c>
      <c r="E161" s="636" t="s">
        <v>490</v>
      </c>
      <c r="F161" s="637" t="s">
        <v>491</v>
      </c>
      <c r="G161" s="636" t="s">
        <v>994</v>
      </c>
      <c r="H161" s="636" t="s">
        <v>1042</v>
      </c>
      <c r="I161" s="636" t="s">
        <v>1043</v>
      </c>
      <c r="J161" s="636" t="s">
        <v>1044</v>
      </c>
      <c r="K161" s="636" t="s">
        <v>1045</v>
      </c>
      <c r="L161" s="638">
        <v>64.540000000000006</v>
      </c>
      <c r="M161" s="638">
        <v>1</v>
      </c>
      <c r="N161" s="639">
        <v>64.540000000000006</v>
      </c>
    </row>
    <row r="162" spans="1:14" ht="14.4" customHeight="1" x14ac:dyDescent="0.3">
      <c r="A162" s="634" t="s">
        <v>487</v>
      </c>
      <c r="B162" s="635" t="s">
        <v>489</v>
      </c>
      <c r="C162" s="636" t="s">
        <v>501</v>
      </c>
      <c r="D162" s="637" t="s">
        <v>502</v>
      </c>
      <c r="E162" s="636" t="s">
        <v>490</v>
      </c>
      <c r="F162" s="637" t="s">
        <v>491</v>
      </c>
      <c r="G162" s="636" t="s">
        <v>994</v>
      </c>
      <c r="H162" s="636" t="s">
        <v>1046</v>
      </c>
      <c r="I162" s="636" t="s">
        <v>1047</v>
      </c>
      <c r="J162" s="636" t="s">
        <v>1048</v>
      </c>
      <c r="K162" s="636" t="s">
        <v>1049</v>
      </c>
      <c r="L162" s="638">
        <v>473.03045146720495</v>
      </c>
      <c r="M162" s="638">
        <v>15</v>
      </c>
      <c r="N162" s="639">
        <v>7095.456772008074</v>
      </c>
    </row>
    <row r="163" spans="1:14" ht="14.4" customHeight="1" x14ac:dyDescent="0.3">
      <c r="A163" s="634" t="s">
        <v>487</v>
      </c>
      <c r="B163" s="635" t="s">
        <v>489</v>
      </c>
      <c r="C163" s="636" t="s">
        <v>501</v>
      </c>
      <c r="D163" s="637" t="s">
        <v>502</v>
      </c>
      <c r="E163" s="636" t="s">
        <v>490</v>
      </c>
      <c r="F163" s="637" t="s">
        <v>491</v>
      </c>
      <c r="G163" s="636" t="s">
        <v>994</v>
      </c>
      <c r="H163" s="636" t="s">
        <v>1050</v>
      </c>
      <c r="I163" s="636" t="s">
        <v>1051</v>
      </c>
      <c r="J163" s="636" t="s">
        <v>1009</v>
      </c>
      <c r="K163" s="636" t="s">
        <v>1052</v>
      </c>
      <c r="L163" s="638">
        <v>74.219964461980382</v>
      </c>
      <c r="M163" s="638">
        <v>2</v>
      </c>
      <c r="N163" s="639">
        <v>148.43992892396076</v>
      </c>
    </row>
    <row r="164" spans="1:14" ht="14.4" customHeight="1" x14ac:dyDescent="0.3">
      <c r="A164" s="634" t="s">
        <v>487</v>
      </c>
      <c r="B164" s="635" t="s">
        <v>489</v>
      </c>
      <c r="C164" s="636" t="s">
        <v>501</v>
      </c>
      <c r="D164" s="637" t="s">
        <v>502</v>
      </c>
      <c r="E164" s="636" t="s">
        <v>490</v>
      </c>
      <c r="F164" s="637" t="s">
        <v>491</v>
      </c>
      <c r="G164" s="636" t="s">
        <v>994</v>
      </c>
      <c r="H164" s="636" t="s">
        <v>1053</v>
      </c>
      <c r="I164" s="636" t="s">
        <v>1054</v>
      </c>
      <c r="J164" s="636" t="s">
        <v>1055</v>
      </c>
      <c r="K164" s="636" t="s">
        <v>1056</v>
      </c>
      <c r="L164" s="638">
        <v>70.963637700313271</v>
      </c>
      <c r="M164" s="638">
        <v>370</v>
      </c>
      <c r="N164" s="639">
        <v>26256.545949115909</v>
      </c>
    </row>
    <row r="165" spans="1:14" ht="14.4" customHeight="1" x14ac:dyDescent="0.3">
      <c r="A165" s="634" t="s">
        <v>487</v>
      </c>
      <c r="B165" s="635" t="s">
        <v>489</v>
      </c>
      <c r="C165" s="636" t="s">
        <v>501</v>
      </c>
      <c r="D165" s="637" t="s">
        <v>502</v>
      </c>
      <c r="E165" s="636" t="s">
        <v>490</v>
      </c>
      <c r="F165" s="637" t="s">
        <v>491</v>
      </c>
      <c r="G165" s="636" t="s">
        <v>994</v>
      </c>
      <c r="H165" s="636" t="s">
        <v>1057</v>
      </c>
      <c r="I165" s="636" t="s">
        <v>1058</v>
      </c>
      <c r="J165" s="636" t="s">
        <v>1059</v>
      </c>
      <c r="K165" s="636" t="s">
        <v>1060</v>
      </c>
      <c r="L165" s="638">
        <v>890.10000000000014</v>
      </c>
      <c r="M165" s="638">
        <v>7</v>
      </c>
      <c r="N165" s="639">
        <v>6230.7000000000007</v>
      </c>
    </row>
    <row r="166" spans="1:14" ht="14.4" customHeight="1" x14ac:dyDescent="0.3">
      <c r="A166" s="634" t="s">
        <v>487</v>
      </c>
      <c r="B166" s="635" t="s">
        <v>489</v>
      </c>
      <c r="C166" s="636" t="s">
        <v>501</v>
      </c>
      <c r="D166" s="637" t="s">
        <v>502</v>
      </c>
      <c r="E166" s="636" t="s">
        <v>490</v>
      </c>
      <c r="F166" s="637" t="s">
        <v>491</v>
      </c>
      <c r="G166" s="636" t="s">
        <v>994</v>
      </c>
      <c r="H166" s="636" t="s">
        <v>1061</v>
      </c>
      <c r="I166" s="636" t="s">
        <v>1062</v>
      </c>
      <c r="J166" s="636" t="s">
        <v>1063</v>
      </c>
      <c r="K166" s="636" t="s">
        <v>1064</v>
      </c>
      <c r="L166" s="638">
        <v>97.57</v>
      </c>
      <c r="M166" s="638">
        <v>1</v>
      </c>
      <c r="N166" s="639">
        <v>97.57</v>
      </c>
    </row>
    <row r="167" spans="1:14" ht="14.4" customHeight="1" x14ac:dyDescent="0.3">
      <c r="A167" s="634" t="s">
        <v>487</v>
      </c>
      <c r="B167" s="635" t="s">
        <v>489</v>
      </c>
      <c r="C167" s="636" t="s">
        <v>501</v>
      </c>
      <c r="D167" s="637" t="s">
        <v>502</v>
      </c>
      <c r="E167" s="636" t="s">
        <v>490</v>
      </c>
      <c r="F167" s="637" t="s">
        <v>491</v>
      </c>
      <c r="G167" s="636" t="s">
        <v>994</v>
      </c>
      <c r="H167" s="636" t="s">
        <v>1065</v>
      </c>
      <c r="I167" s="636" t="s">
        <v>1066</v>
      </c>
      <c r="J167" s="636" t="s">
        <v>1067</v>
      </c>
      <c r="K167" s="636" t="s">
        <v>1068</v>
      </c>
      <c r="L167" s="638">
        <v>162.36000000000004</v>
      </c>
      <c r="M167" s="638">
        <v>1</v>
      </c>
      <c r="N167" s="639">
        <v>162.36000000000004</v>
      </c>
    </row>
    <row r="168" spans="1:14" ht="14.4" customHeight="1" x14ac:dyDescent="0.3">
      <c r="A168" s="634" t="s">
        <v>487</v>
      </c>
      <c r="B168" s="635" t="s">
        <v>489</v>
      </c>
      <c r="C168" s="636" t="s">
        <v>501</v>
      </c>
      <c r="D168" s="637" t="s">
        <v>502</v>
      </c>
      <c r="E168" s="636" t="s">
        <v>490</v>
      </c>
      <c r="F168" s="637" t="s">
        <v>491</v>
      </c>
      <c r="G168" s="636" t="s">
        <v>994</v>
      </c>
      <c r="H168" s="636" t="s">
        <v>1069</v>
      </c>
      <c r="I168" s="636" t="s">
        <v>1070</v>
      </c>
      <c r="J168" s="636" t="s">
        <v>1071</v>
      </c>
      <c r="K168" s="636" t="s">
        <v>1072</v>
      </c>
      <c r="L168" s="638">
        <v>1467.6899999999998</v>
      </c>
      <c r="M168" s="638">
        <v>6</v>
      </c>
      <c r="N168" s="639">
        <v>8806.14</v>
      </c>
    </row>
    <row r="169" spans="1:14" ht="14.4" customHeight="1" x14ac:dyDescent="0.3">
      <c r="A169" s="634" t="s">
        <v>487</v>
      </c>
      <c r="B169" s="635" t="s">
        <v>489</v>
      </c>
      <c r="C169" s="636" t="s">
        <v>501</v>
      </c>
      <c r="D169" s="637" t="s">
        <v>502</v>
      </c>
      <c r="E169" s="636" t="s">
        <v>492</v>
      </c>
      <c r="F169" s="637" t="s">
        <v>493</v>
      </c>
      <c r="G169" s="636" t="s">
        <v>521</v>
      </c>
      <c r="H169" s="636" t="s">
        <v>1073</v>
      </c>
      <c r="I169" s="636" t="s">
        <v>1074</v>
      </c>
      <c r="J169" s="636" t="s">
        <v>1075</v>
      </c>
      <c r="K169" s="636" t="s">
        <v>1076</v>
      </c>
      <c r="L169" s="638">
        <v>2175.7999892415992</v>
      </c>
      <c r="M169" s="638">
        <v>14</v>
      </c>
      <c r="N169" s="639">
        <v>30461.199849382388</v>
      </c>
    </row>
    <row r="170" spans="1:14" ht="14.4" customHeight="1" x14ac:dyDescent="0.3">
      <c r="A170" s="634" t="s">
        <v>487</v>
      </c>
      <c r="B170" s="635" t="s">
        <v>489</v>
      </c>
      <c r="C170" s="636" t="s">
        <v>501</v>
      </c>
      <c r="D170" s="637" t="s">
        <v>502</v>
      </c>
      <c r="E170" s="636" t="s">
        <v>492</v>
      </c>
      <c r="F170" s="637" t="s">
        <v>493</v>
      </c>
      <c r="G170" s="636" t="s">
        <v>521</v>
      </c>
      <c r="H170" s="636" t="s">
        <v>1077</v>
      </c>
      <c r="I170" s="636" t="s">
        <v>1078</v>
      </c>
      <c r="J170" s="636" t="s">
        <v>1079</v>
      </c>
      <c r="K170" s="636" t="s">
        <v>983</v>
      </c>
      <c r="L170" s="638">
        <v>323.98</v>
      </c>
      <c r="M170" s="638">
        <v>10</v>
      </c>
      <c r="N170" s="639">
        <v>3239.8</v>
      </c>
    </row>
    <row r="171" spans="1:14" ht="14.4" customHeight="1" x14ac:dyDescent="0.3">
      <c r="A171" s="634" t="s">
        <v>487</v>
      </c>
      <c r="B171" s="635" t="s">
        <v>489</v>
      </c>
      <c r="C171" s="636" t="s">
        <v>501</v>
      </c>
      <c r="D171" s="637" t="s">
        <v>502</v>
      </c>
      <c r="E171" s="636" t="s">
        <v>492</v>
      </c>
      <c r="F171" s="637" t="s">
        <v>493</v>
      </c>
      <c r="G171" s="636" t="s">
        <v>521</v>
      </c>
      <c r="H171" s="636" t="s">
        <v>1080</v>
      </c>
      <c r="I171" s="636" t="s">
        <v>246</v>
      </c>
      <c r="J171" s="636" t="s">
        <v>1081</v>
      </c>
      <c r="K171" s="636"/>
      <c r="L171" s="638">
        <v>1161.165</v>
      </c>
      <c r="M171" s="638">
        <v>0.19989999999999999</v>
      </c>
      <c r="N171" s="639">
        <v>232.1168835</v>
      </c>
    </row>
    <row r="172" spans="1:14" ht="14.4" customHeight="1" x14ac:dyDescent="0.3">
      <c r="A172" s="634" t="s">
        <v>487</v>
      </c>
      <c r="B172" s="635" t="s">
        <v>489</v>
      </c>
      <c r="C172" s="636" t="s">
        <v>501</v>
      </c>
      <c r="D172" s="637" t="s">
        <v>502</v>
      </c>
      <c r="E172" s="636" t="s">
        <v>492</v>
      </c>
      <c r="F172" s="637" t="s">
        <v>493</v>
      </c>
      <c r="G172" s="636" t="s">
        <v>521</v>
      </c>
      <c r="H172" s="636" t="s">
        <v>1082</v>
      </c>
      <c r="I172" s="636" t="s">
        <v>1083</v>
      </c>
      <c r="J172" s="636" t="s">
        <v>1084</v>
      </c>
      <c r="K172" s="636" t="s">
        <v>1085</v>
      </c>
      <c r="L172" s="638">
        <v>2332.2900002211509</v>
      </c>
      <c r="M172" s="638">
        <v>34.400000000000006</v>
      </c>
      <c r="N172" s="639">
        <v>80230.776007607608</v>
      </c>
    </row>
    <row r="173" spans="1:14" ht="14.4" customHeight="1" x14ac:dyDescent="0.3">
      <c r="A173" s="634" t="s">
        <v>487</v>
      </c>
      <c r="B173" s="635" t="s">
        <v>489</v>
      </c>
      <c r="C173" s="636" t="s">
        <v>501</v>
      </c>
      <c r="D173" s="637" t="s">
        <v>502</v>
      </c>
      <c r="E173" s="636" t="s">
        <v>492</v>
      </c>
      <c r="F173" s="637" t="s">
        <v>493</v>
      </c>
      <c r="G173" s="636" t="s">
        <v>521</v>
      </c>
      <c r="H173" s="636" t="s">
        <v>1086</v>
      </c>
      <c r="I173" s="636" t="s">
        <v>1086</v>
      </c>
      <c r="J173" s="636" t="s">
        <v>1087</v>
      </c>
      <c r="K173" s="636" t="s">
        <v>1088</v>
      </c>
      <c r="L173" s="638">
        <v>3681.01</v>
      </c>
      <c r="M173" s="638">
        <v>3</v>
      </c>
      <c r="N173" s="639">
        <v>11043.03</v>
      </c>
    </row>
    <row r="174" spans="1:14" ht="14.4" customHeight="1" x14ac:dyDescent="0.3">
      <c r="A174" s="634" t="s">
        <v>487</v>
      </c>
      <c r="B174" s="635" t="s">
        <v>489</v>
      </c>
      <c r="C174" s="636" t="s">
        <v>501</v>
      </c>
      <c r="D174" s="637" t="s">
        <v>502</v>
      </c>
      <c r="E174" s="636" t="s">
        <v>492</v>
      </c>
      <c r="F174" s="637" t="s">
        <v>493</v>
      </c>
      <c r="G174" s="636" t="s">
        <v>521</v>
      </c>
      <c r="H174" s="636" t="s">
        <v>1089</v>
      </c>
      <c r="I174" s="636" t="s">
        <v>1090</v>
      </c>
      <c r="J174" s="636" t="s">
        <v>1091</v>
      </c>
      <c r="K174" s="636" t="s">
        <v>1092</v>
      </c>
      <c r="L174" s="638">
        <v>2156.2932656132457</v>
      </c>
      <c r="M174" s="638">
        <v>14</v>
      </c>
      <c r="N174" s="639">
        <v>30188.105718585441</v>
      </c>
    </row>
    <row r="175" spans="1:14" ht="14.4" customHeight="1" x14ac:dyDescent="0.3">
      <c r="A175" s="634" t="s">
        <v>487</v>
      </c>
      <c r="B175" s="635" t="s">
        <v>489</v>
      </c>
      <c r="C175" s="636" t="s">
        <v>501</v>
      </c>
      <c r="D175" s="637" t="s">
        <v>502</v>
      </c>
      <c r="E175" s="636" t="s">
        <v>492</v>
      </c>
      <c r="F175" s="637" t="s">
        <v>493</v>
      </c>
      <c r="G175" s="636" t="s">
        <v>521</v>
      </c>
      <c r="H175" s="636" t="s">
        <v>1093</v>
      </c>
      <c r="I175" s="636" t="s">
        <v>1094</v>
      </c>
      <c r="J175" s="636" t="s">
        <v>1095</v>
      </c>
      <c r="K175" s="636" t="s">
        <v>1096</v>
      </c>
      <c r="L175" s="638">
        <v>1938.4899999999996</v>
      </c>
      <c r="M175" s="638">
        <v>1</v>
      </c>
      <c r="N175" s="639">
        <v>1938.4899999999996</v>
      </c>
    </row>
    <row r="176" spans="1:14" ht="14.4" customHeight="1" x14ac:dyDescent="0.3">
      <c r="A176" s="634" t="s">
        <v>487</v>
      </c>
      <c r="B176" s="635" t="s">
        <v>489</v>
      </c>
      <c r="C176" s="636" t="s">
        <v>501</v>
      </c>
      <c r="D176" s="637" t="s">
        <v>502</v>
      </c>
      <c r="E176" s="636" t="s">
        <v>492</v>
      </c>
      <c r="F176" s="637" t="s">
        <v>493</v>
      </c>
      <c r="G176" s="636" t="s">
        <v>521</v>
      </c>
      <c r="H176" s="636" t="s">
        <v>1097</v>
      </c>
      <c r="I176" s="636" t="s">
        <v>246</v>
      </c>
      <c r="J176" s="636" t="s">
        <v>1098</v>
      </c>
      <c r="K176" s="636"/>
      <c r="L176" s="638">
        <v>252.96999978314966</v>
      </c>
      <c r="M176" s="638">
        <v>48</v>
      </c>
      <c r="N176" s="639">
        <v>12142.559989591184</v>
      </c>
    </row>
    <row r="177" spans="1:14" ht="14.4" customHeight="1" x14ac:dyDescent="0.3">
      <c r="A177" s="634" t="s">
        <v>487</v>
      </c>
      <c r="B177" s="635" t="s">
        <v>489</v>
      </c>
      <c r="C177" s="636" t="s">
        <v>501</v>
      </c>
      <c r="D177" s="637" t="s">
        <v>502</v>
      </c>
      <c r="E177" s="636" t="s">
        <v>492</v>
      </c>
      <c r="F177" s="637" t="s">
        <v>493</v>
      </c>
      <c r="G177" s="636" t="s">
        <v>521</v>
      </c>
      <c r="H177" s="636" t="s">
        <v>1099</v>
      </c>
      <c r="I177" s="636" t="s">
        <v>1100</v>
      </c>
      <c r="J177" s="636" t="s">
        <v>1091</v>
      </c>
      <c r="K177" s="636" t="s">
        <v>1101</v>
      </c>
      <c r="L177" s="638">
        <v>3379.39</v>
      </c>
      <c r="M177" s="638">
        <v>5.8</v>
      </c>
      <c r="N177" s="639">
        <v>19600.462</v>
      </c>
    </row>
    <row r="178" spans="1:14" ht="14.4" customHeight="1" x14ac:dyDescent="0.3">
      <c r="A178" s="634" t="s">
        <v>487</v>
      </c>
      <c r="B178" s="635" t="s">
        <v>489</v>
      </c>
      <c r="C178" s="636" t="s">
        <v>501</v>
      </c>
      <c r="D178" s="637" t="s">
        <v>502</v>
      </c>
      <c r="E178" s="636" t="s">
        <v>492</v>
      </c>
      <c r="F178" s="637" t="s">
        <v>493</v>
      </c>
      <c r="G178" s="636" t="s">
        <v>521</v>
      </c>
      <c r="H178" s="636" t="s">
        <v>1102</v>
      </c>
      <c r="I178" s="636" t="s">
        <v>1103</v>
      </c>
      <c r="J178" s="636" t="s">
        <v>1104</v>
      </c>
      <c r="K178" s="636" t="s">
        <v>969</v>
      </c>
      <c r="L178" s="638">
        <v>2322.3047685728002</v>
      </c>
      <c r="M178" s="638">
        <v>3</v>
      </c>
      <c r="N178" s="639">
        <v>6966.914305718401</v>
      </c>
    </row>
    <row r="179" spans="1:14" ht="14.4" customHeight="1" x14ac:dyDescent="0.3">
      <c r="A179" s="634" t="s">
        <v>487</v>
      </c>
      <c r="B179" s="635" t="s">
        <v>489</v>
      </c>
      <c r="C179" s="636" t="s">
        <v>501</v>
      </c>
      <c r="D179" s="637" t="s">
        <v>502</v>
      </c>
      <c r="E179" s="636" t="s">
        <v>492</v>
      </c>
      <c r="F179" s="637" t="s">
        <v>493</v>
      </c>
      <c r="G179" s="636" t="s">
        <v>994</v>
      </c>
      <c r="H179" s="636" t="s">
        <v>1105</v>
      </c>
      <c r="I179" s="636" t="s">
        <v>1106</v>
      </c>
      <c r="J179" s="636" t="s">
        <v>1107</v>
      </c>
      <c r="K179" s="636" t="s">
        <v>1006</v>
      </c>
      <c r="L179" s="638">
        <v>40.570003496815723</v>
      </c>
      <c r="M179" s="638">
        <v>14</v>
      </c>
      <c r="N179" s="639">
        <v>567.9800489554201</v>
      </c>
    </row>
    <row r="180" spans="1:14" ht="14.4" customHeight="1" x14ac:dyDescent="0.3">
      <c r="A180" s="634" t="s">
        <v>487</v>
      </c>
      <c r="B180" s="635" t="s">
        <v>489</v>
      </c>
      <c r="C180" s="636" t="s">
        <v>501</v>
      </c>
      <c r="D180" s="637" t="s">
        <v>502</v>
      </c>
      <c r="E180" s="636" t="s">
        <v>492</v>
      </c>
      <c r="F180" s="637" t="s">
        <v>493</v>
      </c>
      <c r="G180" s="636" t="s">
        <v>994</v>
      </c>
      <c r="H180" s="636" t="s">
        <v>1108</v>
      </c>
      <c r="I180" s="636" t="s">
        <v>1109</v>
      </c>
      <c r="J180" s="636" t="s">
        <v>1110</v>
      </c>
      <c r="K180" s="636" t="s">
        <v>1006</v>
      </c>
      <c r="L180" s="638">
        <v>54.11999999999999</v>
      </c>
      <c r="M180" s="638">
        <v>32</v>
      </c>
      <c r="N180" s="639">
        <v>1731.8399999999997</v>
      </c>
    </row>
    <row r="181" spans="1:14" ht="14.4" customHeight="1" x14ac:dyDescent="0.3">
      <c r="A181" s="634" t="s">
        <v>487</v>
      </c>
      <c r="B181" s="635" t="s">
        <v>489</v>
      </c>
      <c r="C181" s="636" t="s">
        <v>501</v>
      </c>
      <c r="D181" s="637" t="s">
        <v>502</v>
      </c>
      <c r="E181" s="636" t="s">
        <v>492</v>
      </c>
      <c r="F181" s="637" t="s">
        <v>493</v>
      </c>
      <c r="G181" s="636" t="s">
        <v>994</v>
      </c>
      <c r="H181" s="636" t="s">
        <v>1111</v>
      </c>
      <c r="I181" s="636" t="s">
        <v>1112</v>
      </c>
      <c r="J181" s="636" t="s">
        <v>1113</v>
      </c>
      <c r="K181" s="636" t="s">
        <v>1006</v>
      </c>
      <c r="L181" s="638">
        <v>54.119999999999983</v>
      </c>
      <c r="M181" s="638">
        <v>20</v>
      </c>
      <c r="N181" s="639">
        <v>1082.3999999999996</v>
      </c>
    </row>
    <row r="182" spans="1:14" ht="14.4" customHeight="1" x14ac:dyDescent="0.3">
      <c r="A182" s="634" t="s">
        <v>487</v>
      </c>
      <c r="B182" s="635" t="s">
        <v>489</v>
      </c>
      <c r="C182" s="636" t="s">
        <v>501</v>
      </c>
      <c r="D182" s="637" t="s">
        <v>502</v>
      </c>
      <c r="E182" s="636" t="s">
        <v>492</v>
      </c>
      <c r="F182" s="637" t="s">
        <v>493</v>
      </c>
      <c r="G182" s="636" t="s">
        <v>994</v>
      </c>
      <c r="H182" s="636" t="s">
        <v>1114</v>
      </c>
      <c r="I182" s="636" t="s">
        <v>1115</v>
      </c>
      <c r="J182" s="636" t="s">
        <v>1116</v>
      </c>
      <c r="K182" s="636" t="s">
        <v>1006</v>
      </c>
      <c r="L182" s="638">
        <v>42.760001228525503</v>
      </c>
      <c r="M182" s="638">
        <v>28</v>
      </c>
      <c r="N182" s="639">
        <v>1197.2800343987142</v>
      </c>
    </row>
    <row r="183" spans="1:14" ht="14.4" customHeight="1" x14ac:dyDescent="0.3">
      <c r="A183" s="634" t="s">
        <v>487</v>
      </c>
      <c r="B183" s="635" t="s">
        <v>489</v>
      </c>
      <c r="C183" s="636" t="s">
        <v>501</v>
      </c>
      <c r="D183" s="637" t="s">
        <v>502</v>
      </c>
      <c r="E183" s="636" t="s">
        <v>492</v>
      </c>
      <c r="F183" s="637" t="s">
        <v>493</v>
      </c>
      <c r="G183" s="636" t="s">
        <v>994</v>
      </c>
      <c r="H183" s="636" t="s">
        <v>1117</v>
      </c>
      <c r="I183" s="636" t="s">
        <v>1117</v>
      </c>
      <c r="J183" s="636" t="s">
        <v>1118</v>
      </c>
      <c r="K183" s="636" t="s">
        <v>1119</v>
      </c>
      <c r="L183" s="638">
        <v>424.98</v>
      </c>
      <c r="M183" s="638">
        <v>29</v>
      </c>
      <c r="N183" s="639">
        <v>12324.42</v>
      </c>
    </row>
    <row r="184" spans="1:14" ht="14.4" customHeight="1" x14ac:dyDescent="0.3">
      <c r="A184" s="634" t="s">
        <v>487</v>
      </c>
      <c r="B184" s="635" t="s">
        <v>489</v>
      </c>
      <c r="C184" s="636" t="s">
        <v>501</v>
      </c>
      <c r="D184" s="637" t="s">
        <v>502</v>
      </c>
      <c r="E184" s="636" t="s">
        <v>492</v>
      </c>
      <c r="F184" s="637" t="s">
        <v>493</v>
      </c>
      <c r="G184" s="636" t="s">
        <v>994</v>
      </c>
      <c r="H184" s="636" t="s">
        <v>1120</v>
      </c>
      <c r="I184" s="636" t="s">
        <v>1120</v>
      </c>
      <c r="J184" s="636" t="s">
        <v>1121</v>
      </c>
      <c r="K184" s="636" t="s">
        <v>1119</v>
      </c>
      <c r="L184" s="638">
        <v>183.36986909907279</v>
      </c>
      <c r="M184" s="638">
        <v>32</v>
      </c>
      <c r="N184" s="639">
        <v>5867.8358111703292</v>
      </c>
    </row>
    <row r="185" spans="1:14" ht="14.4" customHeight="1" x14ac:dyDescent="0.3">
      <c r="A185" s="634" t="s">
        <v>487</v>
      </c>
      <c r="B185" s="635" t="s">
        <v>489</v>
      </c>
      <c r="C185" s="636" t="s">
        <v>501</v>
      </c>
      <c r="D185" s="637" t="s">
        <v>502</v>
      </c>
      <c r="E185" s="636" t="s">
        <v>492</v>
      </c>
      <c r="F185" s="637" t="s">
        <v>493</v>
      </c>
      <c r="G185" s="636" t="s">
        <v>994</v>
      </c>
      <c r="H185" s="636" t="s">
        <v>1122</v>
      </c>
      <c r="I185" s="636" t="s">
        <v>1122</v>
      </c>
      <c r="J185" s="636" t="s">
        <v>1123</v>
      </c>
      <c r="K185" s="636" t="s">
        <v>1124</v>
      </c>
      <c r="L185" s="638">
        <v>148.07</v>
      </c>
      <c r="M185" s="638">
        <v>1</v>
      </c>
      <c r="N185" s="639">
        <v>148.07</v>
      </c>
    </row>
    <row r="186" spans="1:14" ht="14.4" customHeight="1" x14ac:dyDescent="0.3">
      <c r="A186" s="634" t="s">
        <v>487</v>
      </c>
      <c r="B186" s="635" t="s">
        <v>489</v>
      </c>
      <c r="C186" s="636" t="s">
        <v>501</v>
      </c>
      <c r="D186" s="637" t="s">
        <v>502</v>
      </c>
      <c r="E186" s="636" t="s">
        <v>492</v>
      </c>
      <c r="F186" s="637" t="s">
        <v>493</v>
      </c>
      <c r="G186" s="636" t="s">
        <v>994</v>
      </c>
      <c r="H186" s="636" t="s">
        <v>1125</v>
      </c>
      <c r="I186" s="636" t="s">
        <v>1126</v>
      </c>
      <c r="J186" s="636" t="s">
        <v>1127</v>
      </c>
      <c r="K186" s="636" t="s">
        <v>1006</v>
      </c>
      <c r="L186" s="638">
        <v>40.570001798939963</v>
      </c>
      <c r="M186" s="638">
        <v>105</v>
      </c>
      <c r="N186" s="639">
        <v>4259.8501888886958</v>
      </c>
    </row>
    <row r="187" spans="1:14" ht="14.4" customHeight="1" x14ac:dyDescent="0.3">
      <c r="A187" s="634" t="s">
        <v>487</v>
      </c>
      <c r="B187" s="635" t="s">
        <v>489</v>
      </c>
      <c r="C187" s="636" t="s">
        <v>501</v>
      </c>
      <c r="D187" s="637" t="s">
        <v>502</v>
      </c>
      <c r="E187" s="636" t="s">
        <v>492</v>
      </c>
      <c r="F187" s="637" t="s">
        <v>493</v>
      </c>
      <c r="G187" s="636" t="s">
        <v>994</v>
      </c>
      <c r="H187" s="636" t="s">
        <v>1128</v>
      </c>
      <c r="I187" s="636" t="s">
        <v>1129</v>
      </c>
      <c r="J187" s="636" t="s">
        <v>1130</v>
      </c>
      <c r="K187" s="636"/>
      <c r="L187" s="638">
        <v>40.569992467438979</v>
      </c>
      <c r="M187" s="638">
        <v>86</v>
      </c>
      <c r="N187" s="639">
        <v>3489.0193521997521</v>
      </c>
    </row>
    <row r="188" spans="1:14" ht="14.4" customHeight="1" x14ac:dyDescent="0.3">
      <c r="A188" s="634" t="s">
        <v>487</v>
      </c>
      <c r="B188" s="635" t="s">
        <v>489</v>
      </c>
      <c r="C188" s="636" t="s">
        <v>501</v>
      </c>
      <c r="D188" s="637" t="s">
        <v>502</v>
      </c>
      <c r="E188" s="636" t="s">
        <v>496</v>
      </c>
      <c r="F188" s="637" t="s">
        <v>497</v>
      </c>
      <c r="G188" s="636" t="s">
        <v>521</v>
      </c>
      <c r="H188" s="636" t="s">
        <v>1131</v>
      </c>
      <c r="I188" s="636" t="s">
        <v>1132</v>
      </c>
      <c r="J188" s="636" t="s">
        <v>1133</v>
      </c>
      <c r="K188" s="636" t="s">
        <v>1134</v>
      </c>
      <c r="L188" s="638">
        <v>35.26</v>
      </c>
      <c r="M188" s="638">
        <v>20</v>
      </c>
      <c r="N188" s="639">
        <v>705.19999999999993</v>
      </c>
    </row>
    <row r="189" spans="1:14" ht="14.4" customHeight="1" x14ac:dyDescent="0.3">
      <c r="A189" s="634" t="s">
        <v>487</v>
      </c>
      <c r="B189" s="635" t="s">
        <v>489</v>
      </c>
      <c r="C189" s="636" t="s">
        <v>501</v>
      </c>
      <c r="D189" s="637" t="s">
        <v>502</v>
      </c>
      <c r="E189" s="636" t="s">
        <v>496</v>
      </c>
      <c r="F189" s="637" t="s">
        <v>497</v>
      </c>
      <c r="G189" s="636" t="s">
        <v>521</v>
      </c>
      <c r="H189" s="636" t="s">
        <v>1135</v>
      </c>
      <c r="I189" s="636" t="s">
        <v>1135</v>
      </c>
      <c r="J189" s="636" t="s">
        <v>1136</v>
      </c>
      <c r="K189" s="636" t="s">
        <v>1137</v>
      </c>
      <c r="L189" s="638">
        <v>72.840450382526001</v>
      </c>
      <c r="M189" s="638">
        <v>3</v>
      </c>
      <c r="N189" s="639">
        <v>218.521351147578</v>
      </c>
    </row>
    <row r="190" spans="1:14" ht="14.4" customHeight="1" x14ac:dyDescent="0.3">
      <c r="A190" s="634" t="s">
        <v>487</v>
      </c>
      <c r="B190" s="635" t="s">
        <v>489</v>
      </c>
      <c r="C190" s="636" t="s">
        <v>501</v>
      </c>
      <c r="D190" s="637" t="s">
        <v>502</v>
      </c>
      <c r="E190" s="636" t="s">
        <v>496</v>
      </c>
      <c r="F190" s="637" t="s">
        <v>497</v>
      </c>
      <c r="G190" s="636" t="s">
        <v>521</v>
      </c>
      <c r="H190" s="636" t="s">
        <v>1138</v>
      </c>
      <c r="I190" s="636" t="s">
        <v>1139</v>
      </c>
      <c r="J190" s="636" t="s">
        <v>1140</v>
      </c>
      <c r="K190" s="636" t="s">
        <v>1141</v>
      </c>
      <c r="L190" s="638">
        <v>39.149844119518107</v>
      </c>
      <c r="M190" s="638">
        <v>4</v>
      </c>
      <c r="N190" s="639">
        <v>156.59937647807243</v>
      </c>
    </row>
    <row r="191" spans="1:14" ht="14.4" customHeight="1" x14ac:dyDescent="0.3">
      <c r="A191" s="634" t="s">
        <v>487</v>
      </c>
      <c r="B191" s="635" t="s">
        <v>489</v>
      </c>
      <c r="C191" s="636" t="s">
        <v>501</v>
      </c>
      <c r="D191" s="637" t="s">
        <v>502</v>
      </c>
      <c r="E191" s="636" t="s">
        <v>496</v>
      </c>
      <c r="F191" s="637" t="s">
        <v>497</v>
      </c>
      <c r="G191" s="636" t="s">
        <v>521</v>
      </c>
      <c r="H191" s="636" t="s">
        <v>1142</v>
      </c>
      <c r="I191" s="636" t="s">
        <v>1143</v>
      </c>
      <c r="J191" s="636" t="s">
        <v>1144</v>
      </c>
      <c r="K191" s="636" t="s">
        <v>1145</v>
      </c>
      <c r="L191" s="638">
        <v>33.409999999999997</v>
      </c>
      <c r="M191" s="638">
        <v>6</v>
      </c>
      <c r="N191" s="639">
        <v>200.45999999999998</v>
      </c>
    </row>
    <row r="192" spans="1:14" ht="14.4" customHeight="1" x14ac:dyDescent="0.3">
      <c r="A192" s="634" t="s">
        <v>487</v>
      </c>
      <c r="B192" s="635" t="s">
        <v>489</v>
      </c>
      <c r="C192" s="636" t="s">
        <v>501</v>
      </c>
      <c r="D192" s="637" t="s">
        <v>502</v>
      </c>
      <c r="E192" s="636" t="s">
        <v>496</v>
      </c>
      <c r="F192" s="637" t="s">
        <v>497</v>
      </c>
      <c r="G192" s="636" t="s">
        <v>521</v>
      </c>
      <c r="H192" s="636" t="s">
        <v>1146</v>
      </c>
      <c r="I192" s="636" t="s">
        <v>1147</v>
      </c>
      <c r="J192" s="636" t="s">
        <v>1148</v>
      </c>
      <c r="K192" s="636" t="s">
        <v>1149</v>
      </c>
      <c r="L192" s="638">
        <v>428.73128381883043</v>
      </c>
      <c r="M192" s="638">
        <v>14</v>
      </c>
      <c r="N192" s="639">
        <v>6002.2379734636261</v>
      </c>
    </row>
    <row r="193" spans="1:14" ht="14.4" customHeight="1" x14ac:dyDescent="0.3">
      <c r="A193" s="634" t="s">
        <v>487</v>
      </c>
      <c r="B193" s="635" t="s">
        <v>489</v>
      </c>
      <c r="C193" s="636" t="s">
        <v>501</v>
      </c>
      <c r="D193" s="637" t="s">
        <v>502</v>
      </c>
      <c r="E193" s="636" t="s">
        <v>496</v>
      </c>
      <c r="F193" s="637" t="s">
        <v>497</v>
      </c>
      <c r="G193" s="636" t="s">
        <v>521</v>
      </c>
      <c r="H193" s="636" t="s">
        <v>1150</v>
      </c>
      <c r="I193" s="636" t="s">
        <v>1151</v>
      </c>
      <c r="J193" s="636" t="s">
        <v>1152</v>
      </c>
      <c r="K193" s="636" t="s">
        <v>1153</v>
      </c>
      <c r="L193" s="638">
        <v>3275.1738503078091</v>
      </c>
      <c r="M193" s="638">
        <v>3.0863333333333332</v>
      </c>
      <c r="N193" s="639">
        <v>10108.278226666667</v>
      </c>
    </row>
    <row r="194" spans="1:14" ht="14.4" customHeight="1" x14ac:dyDescent="0.3">
      <c r="A194" s="634" t="s">
        <v>487</v>
      </c>
      <c r="B194" s="635" t="s">
        <v>489</v>
      </c>
      <c r="C194" s="636" t="s">
        <v>501</v>
      </c>
      <c r="D194" s="637" t="s">
        <v>502</v>
      </c>
      <c r="E194" s="636" t="s">
        <v>496</v>
      </c>
      <c r="F194" s="637" t="s">
        <v>497</v>
      </c>
      <c r="G194" s="636" t="s">
        <v>521</v>
      </c>
      <c r="H194" s="636" t="s">
        <v>1154</v>
      </c>
      <c r="I194" s="636" t="s">
        <v>1155</v>
      </c>
      <c r="J194" s="636" t="s">
        <v>1156</v>
      </c>
      <c r="K194" s="636" t="s">
        <v>1157</v>
      </c>
      <c r="L194" s="638">
        <v>641.98987273995158</v>
      </c>
      <c r="M194" s="638">
        <v>5</v>
      </c>
      <c r="N194" s="639">
        <v>3209.9493636997577</v>
      </c>
    </row>
    <row r="195" spans="1:14" ht="14.4" customHeight="1" x14ac:dyDescent="0.3">
      <c r="A195" s="634" t="s">
        <v>487</v>
      </c>
      <c r="B195" s="635" t="s">
        <v>489</v>
      </c>
      <c r="C195" s="636" t="s">
        <v>501</v>
      </c>
      <c r="D195" s="637" t="s">
        <v>502</v>
      </c>
      <c r="E195" s="636" t="s">
        <v>496</v>
      </c>
      <c r="F195" s="637" t="s">
        <v>497</v>
      </c>
      <c r="G195" s="636" t="s">
        <v>521</v>
      </c>
      <c r="H195" s="636" t="s">
        <v>1158</v>
      </c>
      <c r="I195" s="636" t="s">
        <v>1159</v>
      </c>
      <c r="J195" s="636" t="s">
        <v>1160</v>
      </c>
      <c r="K195" s="636" t="s">
        <v>1161</v>
      </c>
      <c r="L195" s="638">
        <v>2899.2097777777776</v>
      </c>
      <c r="M195" s="638">
        <v>9</v>
      </c>
      <c r="N195" s="639">
        <v>26092.887999999999</v>
      </c>
    </row>
    <row r="196" spans="1:14" ht="14.4" customHeight="1" x14ac:dyDescent="0.3">
      <c r="A196" s="634" t="s">
        <v>487</v>
      </c>
      <c r="B196" s="635" t="s">
        <v>489</v>
      </c>
      <c r="C196" s="636" t="s">
        <v>501</v>
      </c>
      <c r="D196" s="637" t="s">
        <v>502</v>
      </c>
      <c r="E196" s="636" t="s">
        <v>496</v>
      </c>
      <c r="F196" s="637" t="s">
        <v>497</v>
      </c>
      <c r="G196" s="636" t="s">
        <v>521</v>
      </c>
      <c r="H196" s="636" t="s">
        <v>1162</v>
      </c>
      <c r="I196" s="636" t="s">
        <v>1163</v>
      </c>
      <c r="J196" s="636" t="s">
        <v>1164</v>
      </c>
      <c r="K196" s="636" t="s">
        <v>1165</v>
      </c>
      <c r="L196" s="638">
        <v>105.68499999999999</v>
      </c>
      <c r="M196" s="638">
        <v>40</v>
      </c>
      <c r="N196" s="639">
        <v>4227.3999999999996</v>
      </c>
    </row>
    <row r="197" spans="1:14" ht="14.4" customHeight="1" x14ac:dyDescent="0.3">
      <c r="A197" s="634" t="s">
        <v>487</v>
      </c>
      <c r="B197" s="635" t="s">
        <v>489</v>
      </c>
      <c r="C197" s="636" t="s">
        <v>501</v>
      </c>
      <c r="D197" s="637" t="s">
        <v>502</v>
      </c>
      <c r="E197" s="636" t="s">
        <v>496</v>
      </c>
      <c r="F197" s="637" t="s">
        <v>497</v>
      </c>
      <c r="G197" s="636" t="s">
        <v>521</v>
      </c>
      <c r="H197" s="636" t="s">
        <v>1166</v>
      </c>
      <c r="I197" s="636" t="s">
        <v>1167</v>
      </c>
      <c r="J197" s="636" t="s">
        <v>1168</v>
      </c>
      <c r="K197" s="636" t="s">
        <v>1169</v>
      </c>
      <c r="L197" s="638">
        <v>263.17</v>
      </c>
      <c r="M197" s="638">
        <v>20</v>
      </c>
      <c r="N197" s="639">
        <v>5263.4000000000005</v>
      </c>
    </row>
    <row r="198" spans="1:14" ht="14.4" customHeight="1" x14ac:dyDescent="0.3">
      <c r="A198" s="634" t="s">
        <v>487</v>
      </c>
      <c r="B198" s="635" t="s">
        <v>489</v>
      </c>
      <c r="C198" s="636" t="s">
        <v>501</v>
      </c>
      <c r="D198" s="637" t="s">
        <v>502</v>
      </c>
      <c r="E198" s="636" t="s">
        <v>496</v>
      </c>
      <c r="F198" s="637" t="s">
        <v>497</v>
      </c>
      <c r="G198" s="636" t="s">
        <v>521</v>
      </c>
      <c r="H198" s="636" t="s">
        <v>1170</v>
      </c>
      <c r="I198" s="636" t="s">
        <v>1171</v>
      </c>
      <c r="J198" s="636" t="s">
        <v>1172</v>
      </c>
      <c r="K198" s="636" t="s">
        <v>1173</v>
      </c>
      <c r="L198" s="638">
        <v>678.12004287324942</v>
      </c>
      <c r="M198" s="638">
        <v>2.7</v>
      </c>
      <c r="N198" s="639">
        <v>1830.9241157577735</v>
      </c>
    </row>
    <row r="199" spans="1:14" ht="14.4" customHeight="1" x14ac:dyDescent="0.3">
      <c r="A199" s="634" t="s">
        <v>487</v>
      </c>
      <c r="B199" s="635" t="s">
        <v>489</v>
      </c>
      <c r="C199" s="636" t="s">
        <v>501</v>
      </c>
      <c r="D199" s="637" t="s">
        <v>502</v>
      </c>
      <c r="E199" s="636" t="s">
        <v>496</v>
      </c>
      <c r="F199" s="637" t="s">
        <v>497</v>
      </c>
      <c r="G199" s="636" t="s">
        <v>521</v>
      </c>
      <c r="H199" s="636" t="s">
        <v>1174</v>
      </c>
      <c r="I199" s="636" t="s">
        <v>1175</v>
      </c>
      <c r="J199" s="636" t="s">
        <v>1176</v>
      </c>
      <c r="K199" s="636" t="s">
        <v>1177</v>
      </c>
      <c r="L199" s="638">
        <v>605.26801153817064</v>
      </c>
      <c r="M199" s="638">
        <v>3.3</v>
      </c>
      <c r="N199" s="639">
        <v>1997.3844380759631</v>
      </c>
    </row>
    <row r="200" spans="1:14" ht="14.4" customHeight="1" x14ac:dyDescent="0.3">
      <c r="A200" s="634" t="s">
        <v>487</v>
      </c>
      <c r="B200" s="635" t="s">
        <v>489</v>
      </c>
      <c r="C200" s="636" t="s">
        <v>501</v>
      </c>
      <c r="D200" s="637" t="s">
        <v>502</v>
      </c>
      <c r="E200" s="636" t="s">
        <v>496</v>
      </c>
      <c r="F200" s="637" t="s">
        <v>497</v>
      </c>
      <c r="G200" s="636" t="s">
        <v>521</v>
      </c>
      <c r="H200" s="636" t="s">
        <v>1178</v>
      </c>
      <c r="I200" s="636" t="s">
        <v>1178</v>
      </c>
      <c r="J200" s="636" t="s">
        <v>1179</v>
      </c>
      <c r="K200" s="636" t="s">
        <v>1180</v>
      </c>
      <c r="L200" s="638">
        <v>814.63222915708172</v>
      </c>
      <c r="M200" s="638">
        <v>2</v>
      </c>
      <c r="N200" s="639">
        <v>1629.2644583141634</v>
      </c>
    </row>
    <row r="201" spans="1:14" ht="14.4" customHeight="1" x14ac:dyDescent="0.3">
      <c r="A201" s="634" t="s">
        <v>487</v>
      </c>
      <c r="B201" s="635" t="s">
        <v>489</v>
      </c>
      <c r="C201" s="636" t="s">
        <v>501</v>
      </c>
      <c r="D201" s="637" t="s">
        <v>502</v>
      </c>
      <c r="E201" s="636" t="s">
        <v>496</v>
      </c>
      <c r="F201" s="637" t="s">
        <v>497</v>
      </c>
      <c r="G201" s="636" t="s">
        <v>521</v>
      </c>
      <c r="H201" s="636" t="s">
        <v>1181</v>
      </c>
      <c r="I201" s="636" t="s">
        <v>1182</v>
      </c>
      <c r="J201" s="636" t="s">
        <v>1183</v>
      </c>
      <c r="K201" s="636" t="s">
        <v>1184</v>
      </c>
      <c r="L201" s="638">
        <v>82.829999999999984</v>
      </c>
      <c r="M201" s="638">
        <v>47</v>
      </c>
      <c r="N201" s="639">
        <v>3893.0099999999993</v>
      </c>
    </row>
    <row r="202" spans="1:14" ht="14.4" customHeight="1" x14ac:dyDescent="0.3">
      <c r="A202" s="634" t="s">
        <v>487</v>
      </c>
      <c r="B202" s="635" t="s">
        <v>489</v>
      </c>
      <c r="C202" s="636" t="s">
        <v>501</v>
      </c>
      <c r="D202" s="637" t="s">
        <v>502</v>
      </c>
      <c r="E202" s="636" t="s">
        <v>496</v>
      </c>
      <c r="F202" s="637" t="s">
        <v>497</v>
      </c>
      <c r="G202" s="636" t="s">
        <v>521</v>
      </c>
      <c r="H202" s="636" t="s">
        <v>1185</v>
      </c>
      <c r="I202" s="636" t="s">
        <v>1186</v>
      </c>
      <c r="J202" s="636" t="s">
        <v>1187</v>
      </c>
      <c r="K202" s="636" t="s">
        <v>1188</v>
      </c>
      <c r="L202" s="638">
        <v>226.55719011184692</v>
      </c>
      <c r="M202" s="638">
        <v>10</v>
      </c>
      <c r="N202" s="639">
        <v>2265.5719011184692</v>
      </c>
    </row>
    <row r="203" spans="1:14" ht="14.4" customHeight="1" x14ac:dyDescent="0.3">
      <c r="A203" s="634" t="s">
        <v>487</v>
      </c>
      <c r="B203" s="635" t="s">
        <v>489</v>
      </c>
      <c r="C203" s="636" t="s">
        <v>501</v>
      </c>
      <c r="D203" s="637" t="s">
        <v>502</v>
      </c>
      <c r="E203" s="636" t="s">
        <v>496</v>
      </c>
      <c r="F203" s="637" t="s">
        <v>497</v>
      </c>
      <c r="G203" s="636" t="s">
        <v>521</v>
      </c>
      <c r="H203" s="636" t="s">
        <v>1189</v>
      </c>
      <c r="I203" s="636" t="s">
        <v>1190</v>
      </c>
      <c r="J203" s="636" t="s">
        <v>1191</v>
      </c>
      <c r="K203" s="636" t="s">
        <v>558</v>
      </c>
      <c r="L203" s="638">
        <v>58.579874787798992</v>
      </c>
      <c r="M203" s="638">
        <v>1</v>
      </c>
      <c r="N203" s="639">
        <v>58.579874787798992</v>
      </c>
    </row>
    <row r="204" spans="1:14" ht="14.4" customHeight="1" x14ac:dyDescent="0.3">
      <c r="A204" s="634" t="s">
        <v>487</v>
      </c>
      <c r="B204" s="635" t="s">
        <v>489</v>
      </c>
      <c r="C204" s="636" t="s">
        <v>501</v>
      </c>
      <c r="D204" s="637" t="s">
        <v>502</v>
      </c>
      <c r="E204" s="636" t="s">
        <v>496</v>
      </c>
      <c r="F204" s="637" t="s">
        <v>497</v>
      </c>
      <c r="G204" s="636" t="s">
        <v>521</v>
      </c>
      <c r="H204" s="636" t="s">
        <v>1192</v>
      </c>
      <c r="I204" s="636" t="s">
        <v>1192</v>
      </c>
      <c r="J204" s="636" t="s">
        <v>1193</v>
      </c>
      <c r="K204" s="636" t="s">
        <v>1194</v>
      </c>
      <c r="L204" s="638">
        <v>1967.4696428571426</v>
      </c>
      <c r="M204" s="638">
        <v>11.2</v>
      </c>
      <c r="N204" s="639">
        <v>22035.659999999996</v>
      </c>
    </row>
    <row r="205" spans="1:14" ht="14.4" customHeight="1" x14ac:dyDescent="0.3">
      <c r="A205" s="634" t="s">
        <v>487</v>
      </c>
      <c r="B205" s="635" t="s">
        <v>489</v>
      </c>
      <c r="C205" s="636" t="s">
        <v>501</v>
      </c>
      <c r="D205" s="637" t="s">
        <v>502</v>
      </c>
      <c r="E205" s="636" t="s">
        <v>496</v>
      </c>
      <c r="F205" s="637" t="s">
        <v>497</v>
      </c>
      <c r="G205" s="636" t="s">
        <v>521</v>
      </c>
      <c r="H205" s="636" t="s">
        <v>1195</v>
      </c>
      <c r="I205" s="636" t="s">
        <v>1195</v>
      </c>
      <c r="J205" s="636" t="s">
        <v>1196</v>
      </c>
      <c r="K205" s="636" t="s">
        <v>1197</v>
      </c>
      <c r="L205" s="638">
        <v>920.00000000000023</v>
      </c>
      <c r="M205" s="638">
        <v>9</v>
      </c>
      <c r="N205" s="639">
        <v>8280.0000000000018</v>
      </c>
    </row>
    <row r="206" spans="1:14" ht="14.4" customHeight="1" x14ac:dyDescent="0.3">
      <c r="A206" s="634" t="s">
        <v>487</v>
      </c>
      <c r="B206" s="635" t="s">
        <v>489</v>
      </c>
      <c r="C206" s="636" t="s">
        <v>501</v>
      </c>
      <c r="D206" s="637" t="s">
        <v>502</v>
      </c>
      <c r="E206" s="636" t="s">
        <v>496</v>
      </c>
      <c r="F206" s="637" t="s">
        <v>497</v>
      </c>
      <c r="G206" s="636" t="s">
        <v>994</v>
      </c>
      <c r="H206" s="636" t="s">
        <v>1198</v>
      </c>
      <c r="I206" s="636" t="s">
        <v>1199</v>
      </c>
      <c r="J206" s="636" t="s">
        <v>1200</v>
      </c>
      <c r="K206" s="636" t="s">
        <v>1201</v>
      </c>
      <c r="L206" s="638">
        <v>88.600279770524097</v>
      </c>
      <c r="M206" s="638">
        <v>93</v>
      </c>
      <c r="N206" s="639">
        <v>8239.8260186587413</v>
      </c>
    </row>
    <row r="207" spans="1:14" ht="14.4" customHeight="1" x14ac:dyDescent="0.3">
      <c r="A207" s="634" t="s">
        <v>487</v>
      </c>
      <c r="B207" s="635" t="s">
        <v>489</v>
      </c>
      <c r="C207" s="636" t="s">
        <v>501</v>
      </c>
      <c r="D207" s="637" t="s">
        <v>502</v>
      </c>
      <c r="E207" s="636" t="s">
        <v>496</v>
      </c>
      <c r="F207" s="637" t="s">
        <v>497</v>
      </c>
      <c r="G207" s="636" t="s">
        <v>994</v>
      </c>
      <c r="H207" s="636" t="s">
        <v>1202</v>
      </c>
      <c r="I207" s="636" t="s">
        <v>1203</v>
      </c>
      <c r="J207" s="636" t="s">
        <v>1204</v>
      </c>
      <c r="K207" s="636" t="s">
        <v>1205</v>
      </c>
      <c r="L207" s="638">
        <v>45.850018089317075</v>
      </c>
      <c r="M207" s="638">
        <v>116</v>
      </c>
      <c r="N207" s="639">
        <v>5318.6020983607805</v>
      </c>
    </row>
    <row r="208" spans="1:14" ht="14.4" customHeight="1" x14ac:dyDescent="0.3">
      <c r="A208" s="634" t="s">
        <v>487</v>
      </c>
      <c r="B208" s="635" t="s">
        <v>489</v>
      </c>
      <c r="C208" s="636" t="s">
        <v>501</v>
      </c>
      <c r="D208" s="637" t="s">
        <v>502</v>
      </c>
      <c r="E208" s="636" t="s">
        <v>496</v>
      </c>
      <c r="F208" s="637" t="s">
        <v>497</v>
      </c>
      <c r="G208" s="636" t="s">
        <v>994</v>
      </c>
      <c r="H208" s="636" t="s">
        <v>1206</v>
      </c>
      <c r="I208" s="636" t="s">
        <v>1207</v>
      </c>
      <c r="J208" s="636" t="s">
        <v>1208</v>
      </c>
      <c r="K208" s="636" t="s">
        <v>1209</v>
      </c>
      <c r="L208" s="638">
        <v>74.700048982523171</v>
      </c>
      <c r="M208" s="638">
        <v>71</v>
      </c>
      <c r="N208" s="639">
        <v>5303.7034777591452</v>
      </c>
    </row>
    <row r="209" spans="1:14" ht="14.4" customHeight="1" x14ac:dyDescent="0.3">
      <c r="A209" s="634" t="s">
        <v>487</v>
      </c>
      <c r="B209" s="635" t="s">
        <v>489</v>
      </c>
      <c r="C209" s="636" t="s">
        <v>501</v>
      </c>
      <c r="D209" s="637" t="s">
        <v>502</v>
      </c>
      <c r="E209" s="636" t="s">
        <v>496</v>
      </c>
      <c r="F209" s="637" t="s">
        <v>497</v>
      </c>
      <c r="G209" s="636" t="s">
        <v>994</v>
      </c>
      <c r="H209" s="636" t="s">
        <v>1210</v>
      </c>
      <c r="I209" s="636" t="s">
        <v>1211</v>
      </c>
      <c r="J209" s="636" t="s">
        <v>1212</v>
      </c>
      <c r="K209" s="636" t="s">
        <v>1213</v>
      </c>
      <c r="L209" s="638">
        <v>262.24333333333334</v>
      </c>
      <c r="M209" s="638">
        <v>30</v>
      </c>
      <c r="N209" s="639">
        <v>7867.3</v>
      </c>
    </row>
    <row r="210" spans="1:14" ht="14.4" customHeight="1" x14ac:dyDescent="0.3">
      <c r="A210" s="634" t="s">
        <v>487</v>
      </c>
      <c r="B210" s="635" t="s">
        <v>489</v>
      </c>
      <c r="C210" s="636" t="s">
        <v>501</v>
      </c>
      <c r="D210" s="637" t="s">
        <v>502</v>
      </c>
      <c r="E210" s="636" t="s">
        <v>496</v>
      </c>
      <c r="F210" s="637" t="s">
        <v>497</v>
      </c>
      <c r="G210" s="636" t="s">
        <v>994</v>
      </c>
      <c r="H210" s="636" t="s">
        <v>1214</v>
      </c>
      <c r="I210" s="636" t="s">
        <v>1215</v>
      </c>
      <c r="J210" s="636" t="s">
        <v>1216</v>
      </c>
      <c r="K210" s="636" t="s">
        <v>1161</v>
      </c>
      <c r="L210" s="638">
        <v>207.00036865967843</v>
      </c>
      <c r="M210" s="638">
        <v>6.6999999999999993</v>
      </c>
      <c r="N210" s="639">
        <v>1386.9024700198454</v>
      </c>
    </row>
    <row r="211" spans="1:14" ht="14.4" customHeight="1" x14ac:dyDescent="0.3">
      <c r="A211" s="634" t="s">
        <v>487</v>
      </c>
      <c r="B211" s="635" t="s">
        <v>489</v>
      </c>
      <c r="C211" s="636" t="s">
        <v>501</v>
      </c>
      <c r="D211" s="637" t="s">
        <v>502</v>
      </c>
      <c r="E211" s="636" t="s">
        <v>496</v>
      </c>
      <c r="F211" s="637" t="s">
        <v>497</v>
      </c>
      <c r="G211" s="636" t="s">
        <v>994</v>
      </c>
      <c r="H211" s="636" t="s">
        <v>1217</v>
      </c>
      <c r="I211" s="636" t="s">
        <v>1218</v>
      </c>
      <c r="J211" s="636" t="s">
        <v>1219</v>
      </c>
      <c r="K211" s="636" t="s">
        <v>1220</v>
      </c>
      <c r="L211" s="638">
        <v>97.482109970651933</v>
      </c>
      <c r="M211" s="638">
        <v>74.200000000000102</v>
      </c>
      <c r="N211" s="639">
        <v>7233.1725598223829</v>
      </c>
    </row>
    <row r="212" spans="1:14" ht="14.4" customHeight="1" x14ac:dyDescent="0.3">
      <c r="A212" s="634" t="s">
        <v>487</v>
      </c>
      <c r="B212" s="635" t="s">
        <v>489</v>
      </c>
      <c r="C212" s="636" t="s">
        <v>501</v>
      </c>
      <c r="D212" s="637" t="s">
        <v>502</v>
      </c>
      <c r="E212" s="636" t="s">
        <v>496</v>
      </c>
      <c r="F212" s="637" t="s">
        <v>497</v>
      </c>
      <c r="G212" s="636" t="s">
        <v>994</v>
      </c>
      <c r="H212" s="636" t="s">
        <v>1221</v>
      </c>
      <c r="I212" s="636" t="s">
        <v>1222</v>
      </c>
      <c r="J212" s="636" t="s">
        <v>1223</v>
      </c>
      <c r="K212" s="636" t="s">
        <v>1224</v>
      </c>
      <c r="L212" s="638">
        <v>75.220214285714292</v>
      </c>
      <c r="M212" s="638">
        <v>42</v>
      </c>
      <c r="N212" s="639">
        <v>3159.2490000000003</v>
      </c>
    </row>
    <row r="213" spans="1:14" ht="14.4" customHeight="1" x14ac:dyDescent="0.3">
      <c r="A213" s="634" t="s">
        <v>487</v>
      </c>
      <c r="B213" s="635" t="s">
        <v>489</v>
      </c>
      <c r="C213" s="636" t="s">
        <v>501</v>
      </c>
      <c r="D213" s="637" t="s">
        <v>502</v>
      </c>
      <c r="E213" s="636" t="s">
        <v>496</v>
      </c>
      <c r="F213" s="637" t="s">
        <v>497</v>
      </c>
      <c r="G213" s="636" t="s">
        <v>994</v>
      </c>
      <c r="H213" s="636" t="s">
        <v>1225</v>
      </c>
      <c r="I213" s="636" t="s">
        <v>1226</v>
      </c>
      <c r="J213" s="636" t="s">
        <v>1227</v>
      </c>
      <c r="K213" s="636" t="s">
        <v>1228</v>
      </c>
      <c r="L213" s="638">
        <v>252.54120453477299</v>
      </c>
      <c r="M213" s="638">
        <v>1</v>
      </c>
      <c r="N213" s="639">
        <v>252.54120453477299</v>
      </c>
    </row>
    <row r="214" spans="1:14" ht="14.4" customHeight="1" x14ac:dyDescent="0.3">
      <c r="A214" s="634" t="s">
        <v>487</v>
      </c>
      <c r="B214" s="635" t="s">
        <v>489</v>
      </c>
      <c r="C214" s="636" t="s">
        <v>501</v>
      </c>
      <c r="D214" s="637" t="s">
        <v>502</v>
      </c>
      <c r="E214" s="636" t="s">
        <v>496</v>
      </c>
      <c r="F214" s="637" t="s">
        <v>497</v>
      </c>
      <c r="G214" s="636" t="s">
        <v>994</v>
      </c>
      <c r="H214" s="636" t="s">
        <v>1229</v>
      </c>
      <c r="I214" s="636" t="s">
        <v>1230</v>
      </c>
      <c r="J214" s="636" t="s">
        <v>1231</v>
      </c>
      <c r="K214" s="636" t="s">
        <v>1209</v>
      </c>
      <c r="L214" s="638">
        <v>54.43</v>
      </c>
      <c r="M214" s="638">
        <v>2</v>
      </c>
      <c r="N214" s="639">
        <v>108.86</v>
      </c>
    </row>
    <row r="215" spans="1:14" ht="14.4" customHeight="1" x14ac:dyDescent="0.3">
      <c r="A215" s="634" t="s">
        <v>487</v>
      </c>
      <c r="B215" s="635" t="s">
        <v>489</v>
      </c>
      <c r="C215" s="636" t="s">
        <v>501</v>
      </c>
      <c r="D215" s="637" t="s">
        <v>502</v>
      </c>
      <c r="E215" s="636" t="s">
        <v>496</v>
      </c>
      <c r="F215" s="637" t="s">
        <v>497</v>
      </c>
      <c r="G215" s="636" t="s">
        <v>994</v>
      </c>
      <c r="H215" s="636" t="s">
        <v>1232</v>
      </c>
      <c r="I215" s="636" t="s">
        <v>1233</v>
      </c>
      <c r="J215" s="636" t="s">
        <v>1200</v>
      </c>
      <c r="K215" s="636" t="s">
        <v>1234</v>
      </c>
      <c r="L215" s="638">
        <v>74</v>
      </c>
      <c r="M215" s="638">
        <v>2</v>
      </c>
      <c r="N215" s="639">
        <v>148</v>
      </c>
    </row>
    <row r="216" spans="1:14" ht="14.4" customHeight="1" x14ac:dyDescent="0.3">
      <c r="A216" s="634" t="s">
        <v>487</v>
      </c>
      <c r="B216" s="635" t="s">
        <v>489</v>
      </c>
      <c r="C216" s="636" t="s">
        <v>501</v>
      </c>
      <c r="D216" s="637" t="s">
        <v>502</v>
      </c>
      <c r="E216" s="636" t="s">
        <v>496</v>
      </c>
      <c r="F216" s="637" t="s">
        <v>497</v>
      </c>
      <c r="G216" s="636" t="s">
        <v>994</v>
      </c>
      <c r="H216" s="636" t="s">
        <v>1235</v>
      </c>
      <c r="I216" s="636" t="s">
        <v>1236</v>
      </c>
      <c r="J216" s="636" t="s">
        <v>1237</v>
      </c>
      <c r="K216" s="636" t="s">
        <v>1238</v>
      </c>
      <c r="L216" s="638">
        <v>59.789510203524372</v>
      </c>
      <c r="M216" s="638">
        <v>16</v>
      </c>
      <c r="N216" s="639">
        <v>956.63216325638996</v>
      </c>
    </row>
    <row r="217" spans="1:14" ht="14.4" customHeight="1" x14ac:dyDescent="0.3">
      <c r="A217" s="634" t="s">
        <v>487</v>
      </c>
      <c r="B217" s="635" t="s">
        <v>489</v>
      </c>
      <c r="C217" s="636" t="s">
        <v>501</v>
      </c>
      <c r="D217" s="637" t="s">
        <v>502</v>
      </c>
      <c r="E217" s="636" t="s">
        <v>496</v>
      </c>
      <c r="F217" s="637" t="s">
        <v>497</v>
      </c>
      <c r="G217" s="636" t="s">
        <v>994</v>
      </c>
      <c r="H217" s="636" t="s">
        <v>1239</v>
      </c>
      <c r="I217" s="636" t="s">
        <v>1240</v>
      </c>
      <c r="J217" s="636" t="s">
        <v>1241</v>
      </c>
      <c r="K217" s="636" t="s">
        <v>1242</v>
      </c>
      <c r="L217" s="638">
        <v>12565.567999999999</v>
      </c>
      <c r="M217" s="638">
        <v>4</v>
      </c>
      <c r="N217" s="639">
        <v>50262.271999999997</v>
      </c>
    </row>
    <row r="218" spans="1:14" ht="14.4" customHeight="1" x14ac:dyDescent="0.3">
      <c r="A218" s="634" t="s">
        <v>487</v>
      </c>
      <c r="B218" s="635" t="s">
        <v>489</v>
      </c>
      <c r="C218" s="636" t="s">
        <v>501</v>
      </c>
      <c r="D218" s="637" t="s">
        <v>502</v>
      </c>
      <c r="E218" s="636" t="s">
        <v>496</v>
      </c>
      <c r="F218" s="637" t="s">
        <v>497</v>
      </c>
      <c r="G218" s="636" t="s">
        <v>994</v>
      </c>
      <c r="H218" s="636" t="s">
        <v>1243</v>
      </c>
      <c r="I218" s="636" t="s">
        <v>1243</v>
      </c>
      <c r="J218" s="636" t="s">
        <v>1244</v>
      </c>
      <c r="K218" s="636" t="s">
        <v>1245</v>
      </c>
      <c r="L218" s="638">
        <v>1737.2827199284777</v>
      </c>
      <c r="M218" s="638">
        <v>7</v>
      </c>
      <c r="N218" s="639">
        <v>12160.979039499343</v>
      </c>
    </row>
    <row r="219" spans="1:14" ht="14.4" customHeight="1" x14ac:dyDescent="0.3">
      <c r="A219" s="634" t="s">
        <v>487</v>
      </c>
      <c r="B219" s="635" t="s">
        <v>489</v>
      </c>
      <c r="C219" s="636" t="s">
        <v>501</v>
      </c>
      <c r="D219" s="637" t="s">
        <v>502</v>
      </c>
      <c r="E219" s="636" t="s">
        <v>498</v>
      </c>
      <c r="F219" s="637" t="s">
        <v>499</v>
      </c>
      <c r="G219" s="636" t="s">
        <v>521</v>
      </c>
      <c r="H219" s="636" t="s">
        <v>1246</v>
      </c>
      <c r="I219" s="636" t="s">
        <v>1247</v>
      </c>
      <c r="J219" s="636" t="s">
        <v>1248</v>
      </c>
      <c r="K219" s="636" t="s">
        <v>1249</v>
      </c>
      <c r="L219" s="638">
        <v>89.029600425372394</v>
      </c>
      <c r="M219" s="638">
        <v>1</v>
      </c>
      <c r="N219" s="639">
        <v>89.029600425372394</v>
      </c>
    </row>
    <row r="220" spans="1:14" ht="14.4" customHeight="1" x14ac:dyDescent="0.3">
      <c r="A220" s="634" t="s">
        <v>487</v>
      </c>
      <c r="B220" s="635" t="s">
        <v>489</v>
      </c>
      <c r="C220" s="636" t="s">
        <v>501</v>
      </c>
      <c r="D220" s="637" t="s">
        <v>502</v>
      </c>
      <c r="E220" s="636" t="s">
        <v>498</v>
      </c>
      <c r="F220" s="637" t="s">
        <v>499</v>
      </c>
      <c r="G220" s="636" t="s">
        <v>994</v>
      </c>
      <c r="H220" s="636" t="s">
        <v>1250</v>
      </c>
      <c r="I220" s="636" t="s">
        <v>1251</v>
      </c>
      <c r="J220" s="636" t="s">
        <v>1252</v>
      </c>
      <c r="K220" s="636"/>
      <c r="L220" s="638">
        <v>58.644147067652675</v>
      </c>
      <c r="M220" s="638">
        <v>200</v>
      </c>
      <c r="N220" s="639">
        <v>11728.829413530535</v>
      </c>
    </row>
    <row r="221" spans="1:14" ht="14.4" customHeight="1" x14ac:dyDescent="0.3">
      <c r="A221" s="634" t="s">
        <v>487</v>
      </c>
      <c r="B221" s="635" t="s">
        <v>489</v>
      </c>
      <c r="C221" s="636" t="s">
        <v>501</v>
      </c>
      <c r="D221" s="637" t="s">
        <v>502</v>
      </c>
      <c r="E221" s="636" t="s">
        <v>498</v>
      </c>
      <c r="F221" s="637" t="s">
        <v>499</v>
      </c>
      <c r="G221" s="636" t="s">
        <v>994</v>
      </c>
      <c r="H221" s="636" t="s">
        <v>1253</v>
      </c>
      <c r="I221" s="636" t="s">
        <v>1254</v>
      </c>
      <c r="J221" s="636" t="s">
        <v>1255</v>
      </c>
      <c r="K221" s="636" t="s">
        <v>1256</v>
      </c>
      <c r="L221" s="638">
        <v>2983.3940000000002</v>
      </c>
      <c r="M221" s="638">
        <v>5</v>
      </c>
      <c r="N221" s="639">
        <v>14916.970000000001</v>
      </c>
    </row>
    <row r="222" spans="1:14" ht="14.4" customHeight="1" x14ac:dyDescent="0.3">
      <c r="A222" s="634" t="s">
        <v>487</v>
      </c>
      <c r="B222" s="635" t="s">
        <v>489</v>
      </c>
      <c r="C222" s="636" t="s">
        <v>501</v>
      </c>
      <c r="D222" s="637" t="s">
        <v>502</v>
      </c>
      <c r="E222" s="636" t="s">
        <v>494</v>
      </c>
      <c r="F222" s="637" t="s">
        <v>495</v>
      </c>
      <c r="G222" s="636"/>
      <c r="H222" s="636"/>
      <c r="I222" s="636" t="s">
        <v>1257</v>
      </c>
      <c r="J222" s="636" t="s">
        <v>1258</v>
      </c>
      <c r="K222" s="636"/>
      <c r="L222" s="638">
        <v>3842.04</v>
      </c>
      <c r="M222" s="638">
        <v>9</v>
      </c>
      <c r="N222" s="639">
        <v>34578.36</v>
      </c>
    </row>
    <row r="223" spans="1:14" ht="14.4" customHeight="1" x14ac:dyDescent="0.3">
      <c r="A223" s="634" t="s">
        <v>487</v>
      </c>
      <c r="B223" s="635" t="s">
        <v>489</v>
      </c>
      <c r="C223" s="636" t="s">
        <v>501</v>
      </c>
      <c r="D223" s="637" t="s">
        <v>502</v>
      </c>
      <c r="E223" s="636" t="s">
        <v>494</v>
      </c>
      <c r="F223" s="637" t="s">
        <v>495</v>
      </c>
      <c r="G223" s="636"/>
      <c r="H223" s="636"/>
      <c r="I223" s="636" t="s">
        <v>1259</v>
      </c>
      <c r="J223" s="636" t="s">
        <v>1260</v>
      </c>
      <c r="K223" s="636"/>
      <c r="L223" s="638">
        <v>1407.5400000000002</v>
      </c>
      <c r="M223" s="638">
        <v>22</v>
      </c>
      <c r="N223" s="639">
        <v>30965.880000000005</v>
      </c>
    </row>
    <row r="224" spans="1:14" ht="14.4" customHeight="1" x14ac:dyDescent="0.3">
      <c r="A224" s="634" t="s">
        <v>487</v>
      </c>
      <c r="B224" s="635" t="s">
        <v>489</v>
      </c>
      <c r="C224" s="636" t="s">
        <v>501</v>
      </c>
      <c r="D224" s="637" t="s">
        <v>502</v>
      </c>
      <c r="E224" s="636" t="s">
        <v>494</v>
      </c>
      <c r="F224" s="637" t="s">
        <v>495</v>
      </c>
      <c r="G224" s="636"/>
      <c r="H224" s="636"/>
      <c r="I224" s="636" t="s">
        <v>1261</v>
      </c>
      <c r="J224" s="636" t="s">
        <v>1262</v>
      </c>
      <c r="K224" s="636"/>
      <c r="L224" s="638">
        <v>937.41428571428571</v>
      </c>
      <c r="M224" s="638">
        <v>7</v>
      </c>
      <c r="N224" s="639">
        <v>6561.9</v>
      </c>
    </row>
    <row r="225" spans="1:14" ht="14.4" customHeight="1" thickBot="1" x14ac:dyDescent="0.35">
      <c r="A225" s="640" t="s">
        <v>487</v>
      </c>
      <c r="B225" s="641" t="s">
        <v>489</v>
      </c>
      <c r="C225" s="642" t="s">
        <v>501</v>
      </c>
      <c r="D225" s="643" t="s">
        <v>502</v>
      </c>
      <c r="E225" s="642" t="s">
        <v>494</v>
      </c>
      <c r="F225" s="643" t="s">
        <v>495</v>
      </c>
      <c r="G225" s="642"/>
      <c r="H225" s="642"/>
      <c r="I225" s="642" t="s">
        <v>1263</v>
      </c>
      <c r="J225" s="642" t="s">
        <v>1264</v>
      </c>
      <c r="K225" s="642"/>
      <c r="L225" s="644">
        <v>4304.4499999999989</v>
      </c>
      <c r="M225" s="644">
        <v>4</v>
      </c>
      <c r="N225" s="645">
        <v>17217.799999999996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16384" width="8.88671875" style="260"/>
  </cols>
  <sheetData>
    <row r="1" spans="1:6" ht="37.200000000000003" customHeight="1" thickBot="1" x14ac:dyDescent="0.4">
      <c r="A1" s="495" t="s">
        <v>214</v>
      </c>
      <c r="B1" s="496"/>
      <c r="C1" s="496"/>
      <c r="D1" s="496"/>
      <c r="E1" s="496"/>
      <c r="F1" s="496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7" t="s">
        <v>165</v>
      </c>
      <c r="C3" s="498"/>
      <c r="D3" s="499" t="s">
        <v>164</v>
      </c>
      <c r="E3" s="498"/>
      <c r="F3" s="105" t="s">
        <v>6</v>
      </c>
    </row>
    <row r="4" spans="1:6" ht="14.4" customHeight="1" thickBot="1" x14ac:dyDescent="0.35">
      <c r="A4" s="646" t="s">
        <v>190</v>
      </c>
      <c r="B4" s="647" t="s">
        <v>17</v>
      </c>
      <c r="C4" s="648" t="s">
        <v>5</v>
      </c>
      <c r="D4" s="647" t="s">
        <v>17</v>
      </c>
      <c r="E4" s="648" t="s">
        <v>5</v>
      </c>
      <c r="F4" s="649" t="s">
        <v>17</v>
      </c>
    </row>
    <row r="5" spans="1:6" ht="14.4" customHeight="1" thickBot="1" x14ac:dyDescent="0.35">
      <c r="A5" s="658" t="s">
        <v>1265</v>
      </c>
      <c r="B5" s="626">
        <v>13904.828196763185</v>
      </c>
      <c r="C5" s="650">
        <v>5.2964584317689321E-2</v>
      </c>
      <c r="D5" s="626">
        <v>248625.84915850483</v>
      </c>
      <c r="E5" s="650">
        <v>0.94703541568231064</v>
      </c>
      <c r="F5" s="627">
        <v>262530.67735526804</v>
      </c>
    </row>
    <row r="6" spans="1:6" ht="14.4" customHeight="1" thickBot="1" x14ac:dyDescent="0.35">
      <c r="A6" s="654" t="s">
        <v>6</v>
      </c>
      <c r="B6" s="655">
        <v>13904.828196763185</v>
      </c>
      <c r="C6" s="656">
        <v>5.2964584317689321E-2</v>
      </c>
      <c r="D6" s="655">
        <v>248625.84915850483</v>
      </c>
      <c r="E6" s="656">
        <v>0.94703541568231064</v>
      </c>
      <c r="F6" s="657">
        <v>262530.67735526804</v>
      </c>
    </row>
    <row r="7" spans="1:6" ht="14.4" customHeight="1" thickBot="1" x14ac:dyDescent="0.35"/>
    <row r="8" spans="1:6" ht="14.4" customHeight="1" x14ac:dyDescent="0.3">
      <c r="A8" s="664" t="s">
        <v>1266</v>
      </c>
      <c r="B8" s="632">
        <v>6591.8540000000048</v>
      </c>
      <c r="C8" s="651">
        <v>1</v>
      </c>
      <c r="D8" s="632"/>
      <c r="E8" s="651">
        <v>0</v>
      </c>
      <c r="F8" s="633">
        <v>6591.8540000000048</v>
      </c>
    </row>
    <row r="9" spans="1:6" ht="14.4" customHeight="1" x14ac:dyDescent="0.3">
      <c r="A9" s="665" t="s">
        <v>1267</v>
      </c>
      <c r="B9" s="638">
        <v>5214.5934947252754</v>
      </c>
      <c r="C9" s="660">
        <v>1</v>
      </c>
      <c r="D9" s="638"/>
      <c r="E9" s="660">
        <v>0</v>
      </c>
      <c r="F9" s="639">
        <v>5214.5934947252754</v>
      </c>
    </row>
    <row r="10" spans="1:6" ht="14.4" customHeight="1" x14ac:dyDescent="0.3">
      <c r="A10" s="665" t="s">
        <v>1268</v>
      </c>
      <c r="B10" s="638">
        <v>900.00070203790347</v>
      </c>
      <c r="C10" s="660">
        <v>0.12621490364624188</v>
      </c>
      <c r="D10" s="638">
        <v>6230.7000000000016</v>
      </c>
      <c r="E10" s="660">
        <v>0.87378509635375812</v>
      </c>
      <c r="F10" s="639">
        <v>7130.7007020379051</v>
      </c>
    </row>
    <row r="11" spans="1:6" ht="14.4" customHeight="1" x14ac:dyDescent="0.3">
      <c r="A11" s="665" t="s">
        <v>1269</v>
      </c>
      <c r="B11" s="638">
        <v>705.19999999999993</v>
      </c>
      <c r="C11" s="660">
        <v>1</v>
      </c>
      <c r="D11" s="638"/>
      <c r="E11" s="660">
        <v>0</v>
      </c>
      <c r="F11" s="639">
        <v>705.19999999999993</v>
      </c>
    </row>
    <row r="12" spans="1:6" ht="14.4" customHeight="1" x14ac:dyDescent="0.3">
      <c r="A12" s="665" t="s">
        <v>1270</v>
      </c>
      <c r="B12" s="638">
        <v>443.37999999999994</v>
      </c>
      <c r="C12" s="660">
        <v>1.3910172237470616E-2</v>
      </c>
      <c r="D12" s="638">
        <v>31431.135457518361</v>
      </c>
      <c r="E12" s="660">
        <v>0.9860898277625294</v>
      </c>
      <c r="F12" s="639">
        <v>31874.515457518362</v>
      </c>
    </row>
    <row r="13" spans="1:6" ht="14.4" customHeight="1" x14ac:dyDescent="0.3">
      <c r="A13" s="665" t="s">
        <v>1271</v>
      </c>
      <c r="B13" s="638">
        <v>49.8</v>
      </c>
      <c r="C13" s="660">
        <v>0.18344568460603383</v>
      </c>
      <c r="D13" s="638">
        <v>221.67</v>
      </c>
      <c r="E13" s="660">
        <v>0.81655431539396628</v>
      </c>
      <c r="F13" s="639">
        <v>271.46999999999997</v>
      </c>
    </row>
    <row r="14" spans="1:6" ht="14.4" customHeight="1" x14ac:dyDescent="0.3">
      <c r="A14" s="665" t="s">
        <v>1272</v>
      </c>
      <c r="B14" s="638"/>
      <c r="C14" s="660">
        <v>0</v>
      </c>
      <c r="D14" s="638">
        <v>9344.4581819151317</v>
      </c>
      <c r="E14" s="660">
        <v>1</v>
      </c>
      <c r="F14" s="639">
        <v>9344.4581819151317</v>
      </c>
    </row>
    <row r="15" spans="1:6" ht="14.4" customHeight="1" x14ac:dyDescent="0.3">
      <c r="A15" s="665" t="s">
        <v>1273</v>
      </c>
      <c r="B15" s="638"/>
      <c r="C15" s="660">
        <v>0</v>
      </c>
      <c r="D15" s="638">
        <v>3159.2490000000003</v>
      </c>
      <c r="E15" s="660">
        <v>1</v>
      </c>
      <c r="F15" s="639">
        <v>3159.2490000000003</v>
      </c>
    </row>
    <row r="16" spans="1:6" ht="14.4" customHeight="1" x14ac:dyDescent="0.3">
      <c r="A16" s="665" t="s">
        <v>1274</v>
      </c>
      <c r="B16" s="638"/>
      <c r="C16" s="660">
        <v>0</v>
      </c>
      <c r="D16" s="638">
        <v>162.36000000000004</v>
      </c>
      <c r="E16" s="660">
        <v>1</v>
      </c>
      <c r="F16" s="639">
        <v>162.36000000000004</v>
      </c>
    </row>
    <row r="17" spans="1:6" ht="14.4" customHeight="1" x14ac:dyDescent="0.3">
      <c r="A17" s="665" t="s">
        <v>1275</v>
      </c>
      <c r="B17" s="638"/>
      <c r="C17" s="660">
        <v>0</v>
      </c>
      <c r="D17" s="638">
        <v>215.66000000000003</v>
      </c>
      <c r="E17" s="660">
        <v>1</v>
      </c>
      <c r="F17" s="639">
        <v>215.66000000000003</v>
      </c>
    </row>
    <row r="18" spans="1:6" ht="14.4" customHeight="1" x14ac:dyDescent="0.3">
      <c r="A18" s="665" t="s">
        <v>1276</v>
      </c>
      <c r="B18" s="638"/>
      <c r="C18" s="660">
        <v>0</v>
      </c>
      <c r="D18" s="638">
        <v>12160.979039499343</v>
      </c>
      <c r="E18" s="660">
        <v>1</v>
      </c>
      <c r="F18" s="639">
        <v>12160.979039499343</v>
      </c>
    </row>
    <row r="19" spans="1:6" ht="14.4" customHeight="1" x14ac:dyDescent="0.3">
      <c r="A19" s="665" t="s">
        <v>1277</v>
      </c>
      <c r="B19" s="638"/>
      <c r="C19" s="660">
        <v>0</v>
      </c>
      <c r="D19" s="638">
        <v>159.87965826345686</v>
      </c>
      <c r="E19" s="660">
        <v>1</v>
      </c>
      <c r="F19" s="639">
        <v>159.87965826345686</v>
      </c>
    </row>
    <row r="20" spans="1:6" ht="14.4" customHeight="1" x14ac:dyDescent="0.3">
      <c r="A20" s="665" t="s">
        <v>1278</v>
      </c>
      <c r="B20" s="638"/>
      <c r="C20" s="660">
        <v>0</v>
      </c>
      <c r="D20" s="638">
        <v>5303.7034777591452</v>
      </c>
      <c r="E20" s="660">
        <v>1</v>
      </c>
      <c r="F20" s="639">
        <v>5303.7034777591452</v>
      </c>
    </row>
    <row r="21" spans="1:6" ht="14.4" customHeight="1" x14ac:dyDescent="0.3">
      <c r="A21" s="665" t="s">
        <v>1279</v>
      </c>
      <c r="B21" s="638"/>
      <c r="C21" s="660">
        <v>0</v>
      </c>
      <c r="D21" s="638">
        <v>140.94</v>
      </c>
      <c r="E21" s="660">
        <v>1</v>
      </c>
      <c r="F21" s="639">
        <v>140.94</v>
      </c>
    </row>
    <row r="22" spans="1:6" ht="14.4" customHeight="1" x14ac:dyDescent="0.3">
      <c r="A22" s="665" t="s">
        <v>1280</v>
      </c>
      <c r="B22" s="638"/>
      <c r="C22" s="660">
        <v>0</v>
      </c>
      <c r="D22" s="638">
        <v>20700</v>
      </c>
      <c r="E22" s="660">
        <v>1</v>
      </c>
      <c r="F22" s="639">
        <v>20700</v>
      </c>
    </row>
    <row r="23" spans="1:6" ht="14.4" customHeight="1" x14ac:dyDescent="0.3">
      <c r="A23" s="665" t="s">
        <v>1281</v>
      </c>
      <c r="B23" s="638"/>
      <c r="C23" s="660">
        <v>0</v>
      </c>
      <c r="D23" s="638">
        <v>8806.14</v>
      </c>
      <c r="E23" s="660">
        <v>1</v>
      </c>
      <c r="F23" s="639">
        <v>8806.14</v>
      </c>
    </row>
    <row r="24" spans="1:6" ht="14.4" customHeight="1" x14ac:dyDescent="0.3">
      <c r="A24" s="665" t="s">
        <v>1282</v>
      </c>
      <c r="B24" s="638"/>
      <c r="C24" s="660">
        <v>0</v>
      </c>
      <c r="D24" s="638">
        <v>3431.480569360835</v>
      </c>
      <c r="E24" s="660">
        <v>1</v>
      </c>
      <c r="F24" s="639">
        <v>3431.480569360835</v>
      </c>
    </row>
    <row r="25" spans="1:6" ht="14.4" customHeight="1" x14ac:dyDescent="0.3">
      <c r="A25" s="665" t="s">
        <v>1283</v>
      </c>
      <c r="B25" s="638"/>
      <c r="C25" s="660">
        <v>0</v>
      </c>
      <c r="D25" s="638">
        <v>145.32</v>
      </c>
      <c r="E25" s="660">
        <v>1</v>
      </c>
      <c r="F25" s="639">
        <v>145.32</v>
      </c>
    </row>
    <row r="26" spans="1:6" ht="14.4" customHeight="1" x14ac:dyDescent="0.3">
      <c r="A26" s="665" t="s">
        <v>1284</v>
      </c>
      <c r="B26" s="638"/>
      <c r="C26" s="660">
        <v>0</v>
      </c>
      <c r="D26" s="638">
        <v>7867.3</v>
      </c>
      <c r="E26" s="660">
        <v>1</v>
      </c>
      <c r="F26" s="639">
        <v>7867.3</v>
      </c>
    </row>
    <row r="27" spans="1:6" ht="14.4" customHeight="1" x14ac:dyDescent="0.3">
      <c r="A27" s="665" t="s">
        <v>1285</v>
      </c>
      <c r="B27" s="638"/>
      <c r="C27" s="660">
        <v>0</v>
      </c>
      <c r="D27" s="638">
        <v>9490.7999999999993</v>
      </c>
      <c r="E27" s="660">
        <v>1</v>
      </c>
      <c r="F27" s="639">
        <v>9490.7999999999993</v>
      </c>
    </row>
    <row r="28" spans="1:6" ht="14.4" customHeight="1" x14ac:dyDescent="0.3">
      <c r="A28" s="665" t="s">
        <v>1286</v>
      </c>
      <c r="B28" s="638"/>
      <c r="C28" s="660">
        <v>0</v>
      </c>
      <c r="D28" s="638">
        <v>108.86</v>
      </c>
      <c r="E28" s="660">
        <v>1</v>
      </c>
      <c r="F28" s="639">
        <v>108.86</v>
      </c>
    </row>
    <row r="29" spans="1:6" ht="14.4" customHeight="1" x14ac:dyDescent="0.3">
      <c r="A29" s="665" t="s">
        <v>1287</v>
      </c>
      <c r="B29" s="638"/>
      <c r="C29" s="660">
        <v>0</v>
      </c>
      <c r="D29" s="638">
        <v>11728.829413530535</v>
      </c>
      <c r="E29" s="660">
        <v>1</v>
      </c>
      <c r="F29" s="639">
        <v>11728.829413530535</v>
      </c>
    </row>
    <row r="30" spans="1:6" ht="14.4" customHeight="1" x14ac:dyDescent="0.3">
      <c r="A30" s="665" t="s">
        <v>1288</v>
      </c>
      <c r="B30" s="638"/>
      <c r="C30" s="660">
        <v>0</v>
      </c>
      <c r="D30" s="638">
        <v>79.83</v>
      </c>
      <c r="E30" s="660">
        <v>1</v>
      </c>
      <c r="F30" s="639">
        <v>79.83</v>
      </c>
    </row>
    <row r="31" spans="1:6" ht="14.4" customHeight="1" x14ac:dyDescent="0.3">
      <c r="A31" s="665" t="s">
        <v>1289</v>
      </c>
      <c r="B31" s="638"/>
      <c r="C31" s="660">
        <v>0</v>
      </c>
      <c r="D31" s="638">
        <v>3892.9013778723047</v>
      </c>
      <c r="E31" s="660">
        <v>1</v>
      </c>
      <c r="F31" s="639">
        <v>3892.9013778723047</v>
      </c>
    </row>
    <row r="32" spans="1:6" ht="14.4" customHeight="1" x14ac:dyDescent="0.3">
      <c r="A32" s="665" t="s">
        <v>1290</v>
      </c>
      <c r="B32" s="638"/>
      <c r="C32" s="660">
        <v>0</v>
      </c>
      <c r="D32" s="638">
        <v>7095.456772008074</v>
      </c>
      <c r="E32" s="660">
        <v>1</v>
      </c>
      <c r="F32" s="639">
        <v>7095.456772008074</v>
      </c>
    </row>
    <row r="33" spans="1:6" ht="14.4" customHeight="1" x14ac:dyDescent="0.3">
      <c r="A33" s="665" t="s">
        <v>1291</v>
      </c>
      <c r="B33" s="638"/>
      <c r="C33" s="660">
        <v>0</v>
      </c>
      <c r="D33" s="638">
        <v>14916.970000000001</v>
      </c>
      <c r="E33" s="660">
        <v>1</v>
      </c>
      <c r="F33" s="639">
        <v>14916.970000000001</v>
      </c>
    </row>
    <row r="34" spans="1:6" ht="14.4" customHeight="1" x14ac:dyDescent="0.3">
      <c r="A34" s="665" t="s">
        <v>1292</v>
      </c>
      <c r="B34" s="638"/>
      <c r="C34" s="660">
        <v>0</v>
      </c>
      <c r="D34" s="638">
        <v>50262.271999999997</v>
      </c>
      <c r="E34" s="660">
        <v>1</v>
      </c>
      <c r="F34" s="639">
        <v>50262.271999999997</v>
      </c>
    </row>
    <row r="35" spans="1:6" ht="14.4" customHeight="1" x14ac:dyDescent="0.3">
      <c r="A35" s="665" t="s">
        <v>1293</v>
      </c>
      <c r="B35" s="638"/>
      <c r="C35" s="660">
        <v>0</v>
      </c>
      <c r="D35" s="638">
        <v>271.15992892396076</v>
      </c>
      <c r="E35" s="660">
        <v>1</v>
      </c>
      <c r="F35" s="639">
        <v>271.15992892396076</v>
      </c>
    </row>
    <row r="36" spans="1:6" ht="14.4" customHeight="1" x14ac:dyDescent="0.3">
      <c r="A36" s="665" t="s">
        <v>1294</v>
      </c>
      <c r="B36" s="638"/>
      <c r="C36" s="660">
        <v>0</v>
      </c>
      <c r="D36" s="638">
        <v>337.15</v>
      </c>
      <c r="E36" s="660">
        <v>1</v>
      </c>
      <c r="F36" s="639">
        <v>337.15</v>
      </c>
    </row>
    <row r="37" spans="1:6" ht="14.4" customHeight="1" x14ac:dyDescent="0.3">
      <c r="A37" s="665" t="s">
        <v>1295</v>
      </c>
      <c r="B37" s="638"/>
      <c r="C37" s="660">
        <v>0</v>
      </c>
      <c r="D37" s="638">
        <v>5318.6020983607814</v>
      </c>
      <c r="E37" s="660">
        <v>1</v>
      </c>
      <c r="F37" s="639">
        <v>5318.6020983607814</v>
      </c>
    </row>
    <row r="38" spans="1:6" ht="14.4" customHeight="1" x14ac:dyDescent="0.3">
      <c r="A38" s="665" t="s">
        <v>1296</v>
      </c>
      <c r="B38" s="638"/>
      <c r="C38" s="660">
        <v>0</v>
      </c>
      <c r="D38" s="638">
        <v>512.87999999999988</v>
      </c>
      <c r="E38" s="660">
        <v>1</v>
      </c>
      <c r="F38" s="639">
        <v>512.87999999999988</v>
      </c>
    </row>
    <row r="39" spans="1:6" ht="14.4" customHeight="1" x14ac:dyDescent="0.3">
      <c r="A39" s="665" t="s">
        <v>1297</v>
      </c>
      <c r="B39" s="638"/>
      <c r="C39" s="660">
        <v>0</v>
      </c>
      <c r="D39" s="638">
        <v>7485.7137643571623</v>
      </c>
      <c r="E39" s="660">
        <v>1</v>
      </c>
      <c r="F39" s="639">
        <v>7485.7137643571623</v>
      </c>
    </row>
    <row r="40" spans="1:6" ht="14.4" customHeight="1" x14ac:dyDescent="0.3">
      <c r="A40" s="665" t="s">
        <v>1298</v>
      </c>
      <c r="B40" s="638"/>
      <c r="C40" s="660">
        <v>0</v>
      </c>
      <c r="D40" s="638">
        <v>26256.545949115909</v>
      </c>
      <c r="E40" s="660">
        <v>1</v>
      </c>
      <c r="F40" s="639">
        <v>26256.545949115909</v>
      </c>
    </row>
    <row r="41" spans="1:6" ht="14.4" customHeight="1" thickBot="1" x14ac:dyDescent="0.35">
      <c r="A41" s="666" t="s">
        <v>1299</v>
      </c>
      <c r="B41" s="661"/>
      <c r="C41" s="662">
        <v>0</v>
      </c>
      <c r="D41" s="661">
        <v>1386.9024700198454</v>
      </c>
      <c r="E41" s="662">
        <v>1</v>
      </c>
      <c r="F41" s="663">
        <v>1386.9024700198454</v>
      </c>
    </row>
    <row r="42" spans="1:6" ht="14.4" customHeight="1" thickBot="1" x14ac:dyDescent="0.35">
      <c r="A42" s="654" t="s">
        <v>6</v>
      </c>
      <c r="B42" s="655">
        <v>13904.828196763183</v>
      </c>
      <c r="C42" s="656">
        <v>5.2964584317689328E-2</v>
      </c>
      <c r="D42" s="655">
        <v>248625.84915850486</v>
      </c>
      <c r="E42" s="656">
        <v>0.94703541568231087</v>
      </c>
      <c r="F42" s="657">
        <v>262530.67735526798</v>
      </c>
    </row>
  </sheetData>
  <mergeCells count="3">
    <mergeCell ref="A1:F1"/>
    <mergeCell ref="B3:C3"/>
    <mergeCell ref="D3:E3"/>
  </mergeCells>
  <conditionalFormatting sqref="C5:C1048576">
    <cfRule type="cellIs" dxfId="5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2014-03-27T10:36:15Z</dcterms:modified>
</cp:coreProperties>
</file>