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éky Recepty" sheetId="346" r:id="rId11"/>
    <sheet name="LRp Lékaři" sheetId="415" r:id="rId12"/>
    <sheet name="LRp Detail" sheetId="347" r:id="rId13"/>
    <sheet name="LRp PL" sheetId="388" r:id="rId14"/>
    <sheet name="LRp PL Detail" sheetId="390" r:id="rId15"/>
    <sheet name="Materiál Žádanky" sheetId="420" r:id="rId16"/>
    <sheet name="MŽ Detail" sheetId="403" r:id="rId17"/>
    <sheet name="Osobní náklady" sheetId="419" r:id="rId18"/>
    <sheet name="ON Data" sheetId="418" state="hidden" r:id="rId19"/>
    <sheet name="ZV Vykáz.-A" sheetId="344" r:id="rId20"/>
    <sheet name="ZV Vykáz.-A Detail" sheetId="345" r:id="rId21"/>
    <sheet name="ZV Vykáz.-H" sheetId="410" r:id="rId22"/>
    <sheet name="ZV Vykáz.-H Detail" sheetId="377" r:id="rId23"/>
    <sheet name="CaseMix" sheetId="370" r:id="rId24"/>
    <sheet name="ALOS" sheetId="374" r:id="rId25"/>
    <sheet name="Total" sheetId="371" r:id="rId26"/>
    <sheet name="ZV Vyžád." sheetId="342" r:id="rId27"/>
    <sheet name="ZV Vyžád. Detail" sheetId="343" r:id="rId28"/>
    <sheet name="OD TISS" sheetId="372" r:id="rId29"/>
  </sheets>
  <definedNames>
    <definedName name="_xlnm._FilterDatabase" localSheetId="5" hidden="1">HV!$A$5:$A$5</definedName>
    <definedName name="_xlnm._FilterDatabase" localSheetId="10" hidden="1">'Léky Recepty'!$A$4:$M$4</definedName>
    <definedName name="_xlnm._FilterDatabase" localSheetId="6" hidden="1">'Léky Žádanky'!$A$4:$I$4</definedName>
    <definedName name="_xlnm._FilterDatabase" localSheetId="12" hidden="1">'LRp Detail'!$A$6:$U$6</definedName>
    <definedName name="_xlnm._FilterDatabase" localSheetId="11" hidden="1">'LRp Lékaři'!$A$4:$N$4</definedName>
    <definedName name="_xlnm._FilterDatabase" localSheetId="13" hidden="1">'LRp PL'!$A$3:$F$50</definedName>
    <definedName name="_xlnm._FilterDatabase" localSheetId="14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5" hidden="1">'Materiál Žádanky'!$A$4:$I$4</definedName>
    <definedName name="_xlnm._FilterDatabase" localSheetId="16" hidden="1">'MŽ Detail'!$A$4:$K$4</definedName>
    <definedName name="_xlnm._FilterDatabase" localSheetId="28" hidden="1">'OD TISS'!$A$5:$N$5</definedName>
    <definedName name="_xlnm._FilterDatabase" localSheetId="25" hidden="1">Total!$A$4:$W$4</definedName>
    <definedName name="_xlnm._FilterDatabase" localSheetId="20" hidden="1">'ZV Vykáz.-A Detail'!$A$5:$P$5</definedName>
    <definedName name="_xlnm._FilterDatabase" localSheetId="22" hidden="1">'ZV Vykáz.-H Detail'!$A$5:$Q$5</definedName>
    <definedName name="_xlnm._FilterDatabase" localSheetId="26" hidden="1">'ZV Vyžád.'!$A$5:$M$5</definedName>
    <definedName name="_xlnm._FilterDatabase" localSheetId="27" hidden="1">'ZV Vyžád. Detail'!$A$5:$Q$5</definedName>
    <definedName name="doměsíce">'HI Graf'!$C$11</definedName>
    <definedName name="_xlnm.Print_Area" localSheetId="24">ALOS!$A$1:$M$45</definedName>
    <definedName name="_xlnm.Print_Area" localSheetId="23">CaseMix!$A$1:$M$39</definedName>
  </definedNames>
  <calcPr calcId="145621"/>
</workbook>
</file>

<file path=xl/calcChain.xml><?xml version="1.0" encoding="utf-8"?>
<calcChain xmlns="http://schemas.openxmlformats.org/spreadsheetml/2006/main">
  <c r="V41" i="371" l="1"/>
  <c r="U41" i="371"/>
  <c r="T41" i="371"/>
  <c r="S41" i="371"/>
  <c r="R41" i="371"/>
  <c r="Q41" i="371"/>
  <c r="V40" i="371"/>
  <c r="T40" i="371"/>
  <c r="U40" i="371" s="1"/>
  <c r="S40" i="371"/>
  <c r="R40" i="371"/>
  <c r="Q40" i="371"/>
  <c r="T39" i="371"/>
  <c r="V39" i="371" s="1"/>
  <c r="S39" i="371"/>
  <c r="R39" i="371"/>
  <c r="Q39" i="371"/>
  <c r="V38" i="371"/>
  <c r="U38" i="371"/>
  <c r="T38" i="371"/>
  <c r="S38" i="371"/>
  <c r="R38" i="371"/>
  <c r="Q38" i="371"/>
  <c r="T37" i="371"/>
  <c r="V37" i="371" s="1"/>
  <c r="S37" i="371"/>
  <c r="R37" i="371"/>
  <c r="Q37" i="371"/>
  <c r="V36" i="371"/>
  <c r="U36" i="371"/>
  <c r="T36" i="371"/>
  <c r="S36" i="371"/>
  <c r="R36" i="371"/>
  <c r="Q36" i="371"/>
  <c r="V35" i="371"/>
  <c r="U35" i="371"/>
  <c r="T35" i="371"/>
  <c r="S35" i="371"/>
  <c r="R35" i="371"/>
  <c r="Q35" i="371"/>
  <c r="V34" i="371"/>
  <c r="T34" i="371"/>
  <c r="U34" i="371" s="1"/>
  <c r="S34" i="371"/>
  <c r="R34" i="371"/>
  <c r="Q34" i="371"/>
  <c r="V33" i="371"/>
  <c r="U33" i="371"/>
  <c r="T33" i="371"/>
  <c r="S33" i="371"/>
  <c r="R33" i="371"/>
  <c r="Q33" i="371"/>
  <c r="V32" i="371"/>
  <c r="T32" i="371"/>
  <c r="U32" i="371" s="1"/>
  <c r="S32" i="371"/>
  <c r="R32" i="371"/>
  <c r="Q32" i="371"/>
  <c r="T31" i="371"/>
  <c r="V31" i="371" s="1"/>
  <c r="S31" i="371"/>
  <c r="R31" i="371"/>
  <c r="Q31" i="371"/>
  <c r="V30" i="371"/>
  <c r="T30" i="371"/>
  <c r="U30" i="371" s="1"/>
  <c r="S30" i="371"/>
  <c r="R30" i="371"/>
  <c r="Q30" i="371"/>
  <c r="V29" i="371"/>
  <c r="U29" i="371"/>
  <c r="T29" i="371"/>
  <c r="S29" i="371"/>
  <c r="R29" i="371"/>
  <c r="Q29" i="371"/>
  <c r="V28" i="371"/>
  <c r="T28" i="371"/>
  <c r="U28" i="371" s="1"/>
  <c r="S28" i="371"/>
  <c r="R28" i="371"/>
  <c r="Q28" i="371"/>
  <c r="V27" i="371"/>
  <c r="U27" i="371"/>
  <c r="T27" i="371"/>
  <c r="S27" i="371"/>
  <c r="R27" i="371"/>
  <c r="Q27" i="371"/>
  <c r="V26" i="371"/>
  <c r="T26" i="371"/>
  <c r="U26" i="371" s="1"/>
  <c r="S26" i="371"/>
  <c r="R26" i="371"/>
  <c r="Q26" i="371"/>
  <c r="V25" i="371"/>
  <c r="U25" i="371"/>
  <c r="T25" i="371"/>
  <c r="S25" i="371"/>
  <c r="R25" i="371"/>
  <c r="Q25" i="371"/>
  <c r="V24" i="371"/>
  <c r="T24" i="371"/>
  <c r="U24" i="371" s="1"/>
  <c r="S24" i="371"/>
  <c r="R24" i="371"/>
  <c r="Q24" i="371"/>
  <c r="T23" i="371"/>
  <c r="V23" i="371" s="1"/>
  <c r="S23" i="371"/>
  <c r="R23" i="371"/>
  <c r="Q23" i="371"/>
  <c r="V22" i="371"/>
  <c r="U22" i="371"/>
  <c r="T22" i="371"/>
  <c r="S22" i="371"/>
  <c r="R22" i="371"/>
  <c r="Q22" i="371"/>
  <c r="T21" i="371"/>
  <c r="V21" i="371" s="1"/>
  <c r="S21" i="371"/>
  <c r="R21" i="371"/>
  <c r="Q21" i="371"/>
  <c r="V20" i="371"/>
  <c r="T20" i="371"/>
  <c r="U20" i="371" s="1"/>
  <c r="S20" i="371"/>
  <c r="R20" i="371"/>
  <c r="Q20" i="371"/>
  <c r="T19" i="371"/>
  <c r="V19" i="371" s="1"/>
  <c r="S19" i="371"/>
  <c r="R19" i="371"/>
  <c r="Q19" i="371"/>
  <c r="V18" i="371"/>
  <c r="T18" i="371"/>
  <c r="U18" i="371" s="1"/>
  <c r="S18" i="371"/>
  <c r="R18" i="371"/>
  <c r="Q18" i="371"/>
  <c r="V17" i="371"/>
  <c r="U17" i="371"/>
  <c r="T17" i="371"/>
  <c r="S17" i="371"/>
  <c r="R17" i="371"/>
  <c r="Q17" i="371"/>
  <c r="V16" i="371"/>
  <c r="T16" i="371"/>
  <c r="U16" i="371" s="1"/>
  <c r="S16" i="371"/>
  <c r="R16" i="371"/>
  <c r="Q16" i="371"/>
  <c r="T15" i="371"/>
  <c r="V15" i="371" s="1"/>
  <c r="S15" i="371"/>
  <c r="R15" i="371"/>
  <c r="Q15" i="371"/>
  <c r="V14" i="371"/>
  <c r="T14" i="371"/>
  <c r="U14" i="371" s="1"/>
  <c r="S14" i="371"/>
  <c r="R14" i="371"/>
  <c r="Q14" i="371"/>
  <c r="V13" i="371"/>
  <c r="U13" i="371"/>
  <c r="T13" i="371"/>
  <c r="S13" i="371"/>
  <c r="R13" i="371"/>
  <c r="Q13" i="371"/>
  <c r="V12" i="371"/>
  <c r="T12" i="371"/>
  <c r="U12" i="371" s="1"/>
  <c r="S12" i="371"/>
  <c r="R12" i="371"/>
  <c r="Q12" i="371"/>
  <c r="V11" i="371"/>
  <c r="U11" i="371"/>
  <c r="T11" i="371"/>
  <c r="S11" i="371"/>
  <c r="R11" i="371"/>
  <c r="Q11" i="371"/>
  <c r="V10" i="371"/>
  <c r="U10" i="371"/>
  <c r="T10" i="371"/>
  <c r="S10" i="371"/>
  <c r="R10" i="371"/>
  <c r="Q10" i="371"/>
  <c r="T9" i="371"/>
  <c r="U9" i="371" s="1"/>
  <c r="S9" i="371"/>
  <c r="R9" i="371"/>
  <c r="Q9" i="371"/>
  <c r="V8" i="371"/>
  <c r="T8" i="371"/>
  <c r="U8" i="371" s="1"/>
  <c r="S8" i="371"/>
  <c r="R8" i="371"/>
  <c r="Q8" i="371"/>
  <c r="V7" i="371"/>
  <c r="U7" i="371"/>
  <c r="T7" i="371"/>
  <c r="S7" i="371"/>
  <c r="R7" i="371"/>
  <c r="Q7" i="371"/>
  <c r="V6" i="371"/>
  <c r="U6" i="371"/>
  <c r="T6" i="371"/>
  <c r="S6" i="371"/>
  <c r="R6" i="371"/>
  <c r="Q6" i="371"/>
  <c r="V5" i="371"/>
  <c r="U5" i="371"/>
  <c r="T5" i="371"/>
  <c r="S5" i="371"/>
  <c r="R5" i="371"/>
  <c r="Q5" i="371"/>
  <c r="V9" i="371" l="1"/>
  <c r="U15" i="371"/>
  <c r="U19" i="371"/>
  <c r="U21" i="371"/>
  <c r="U23" i="371"/>
  <c r="U31" i="371"/>
  <c r="U37" i="371"/>
  <c r="U39" i="371"/>
  <c r="AG26" i="419"/>
  <c r="AG25" i="419"/>
  <c r="C11" i="340" l="1"/>
  <c r="A20" i="383" l="1"/>
  <c r="A11" i="383"/>
  <c r="C15" i="414"/>
  <c r="D15" i="414"/>
  <c r="AG20" i="419" l="1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AA18" i="419" s="1"/>
  <c r="Z16" i="419"/>
  <c r="Y16" i="419"/>
  <c r="X16" i="419"/>
  <c r="W16" i="419"/>
  <c r="W18" i="419" s="1"/>
  <c r="V16" i="419"/>
  <c r="U16" i="419"/>
  <c r="T16" i="419"/>
  <c r="S16" i="419"/>
  <c r="S18" i="419" s="1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G18" i="419" s="1"/>
  <c r="F16" i="419"/>
  <c r="E16" i="419"/>
  <c r="D16" i="419"/>
  <c r="D18" i="419" s="1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I18" i="419" l="1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J24" i="370" l="1"/>
  <c r="J23" i="370"/>
  <c r="J22" i="370"/>
  <c r="J21" i="370"/>
  <c r="J20" i="370"/>
  <c r="J19" i="370"/>
  <c r="J18" i="370"/>
  <c r="A27" i="414" l="1"/>
  <c r="A17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5" i="414" l="1"/>
  <c r="A24" i="414"/>
  <c r="A23" i="414"/>
  <c r="A22" i="414" l="1"/>
  <c r="A21" i="414"/>
  <c r="A18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7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9" i="414" s="1"/>
  <c r="C11" i="339"/>
  <c r="H11" i="339" l="1"/>
  <c r="G11" i="339"/>
  <c r="A26" i="414"/>
  <c r="A20" i="414"/>
  <c r="A19" i="414"/>
  <c r="A14" i="414"/>
  <c r="A11" i="414"/>
  <c r="A10" i="414"/>
  <c r="A8" i="414"/>
  <c r="A7" i="414"/>
  <c r="A15" i="414"/>
  <c r="A4" i="414"/>
  <c r="A6" i="339" l="1"/>
  <c r="A5" i="339"/>
  <c r="D18" i="414"/>
  <c r="D4" i="414"/>
  <c r="C18" i="414"/>
  <c r="D11" i="414" l="1"/>
  <c r="D8" i="414"/>
  <c r="C14" i="414" l="1"/>
  <c r="C7" i="414"/>
  <c r="D10" i="414" l="1"/>
  <c r="E10" i="414" s="1"/>
  <c r="E20" i="414"/>
  <c r="E19" i="414"/>
  <c r="E14" i="414"/>
  <c r="E7" i="414"/>
  <c r="E11" i="414"/>
  <c r="E8" i="414"/>
  <c r="A16" i="383" l="1"/>
  <c r="A19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4" i="414" s="1"/>
  <c r="E24" i="414" s="1"/>
  <c r="I39" i="370"/>
  <c r="I26" i="370"/>
  <c r="E12" i="339"/>
  <c r="M39" i="370"/>
  <c r="E26" i="370"/>
  <c r="D23" i="414" s="1"/>
  <c r="E23" i="414" s="1"/>
  <c r="L39" i="370"/>
  <c r="C12" i="339"/>
  <c r="E13" i="370"/>
  <c r="D22" i="414" s="1"/>
  <c r="E22" i="414" s="1"/>
  <c r="L13" i="370"/>
  <c r="B12" i="339"/>
  <c r="F12" i="339" s="1"/>
  <c r="I13" i="370"/>
  <c r="D25" i="414" s="1"/>
  <c r="E25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Q3" i="347" s="1"/>
  <c r="M3" i="387"/>
  <c r="K3" i="387" s="1"/>
  <c r="L3" i="387"/>
  <c r="J3" i="387"/>
  <c r="I3" i="387"/>
  <c r="G3" i="387"/>
  <c r="H3" i="387" s="1"/>
  <c r="F3" i="387"/>
  <c r="N3" i="220"/>
  <c r="L3" i="220" s="1"/>
  <c r="C21" i="414"/>
  <c r="D21" i="414"/>
  <c r="Q3" i="377" l="1"/>
  <c r="H3" i="390"/>
  <c r="S3" i="347"/>
  <c r="U3" i="347"/>
  <c r="F3" i="372"/>
  <c r="N3" i="372"/>
  <c r="C27" i="414"/>
  <c r="E27" i="414" s="1"/>
  <c r="F13" i="339"/>
  <c r="E13" i="339"/>
  <c r="E15" i="339" s="1"/>
  <c r="J3" i="372"/>
  <c r="H12" i="339"/>
  <c r="G12" i="339"/>
  <c r="K3" i="390"/>
  <c r="A4" i="383"/>
  <c r="A34" i="383"/>
  <c r="A33" i="383"/>
  <c r="A32" i="383"/>
  <c r="A31" i="383"/>
  <c r="A30" i="383"/>
  <c r="A29" i="383"/>
  <c r="A28" i="383"/>
  <c r="A27" i="383"/>
  <c r="A26" i="383"/>
  <c r="A25" i="383"/>
  <c r="A22" i="383"/>
  <c r="A21" i="383"/>
  <c r="A18" i="383"/>
  <c r="A17" i="383"/>
  <c r="A15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7" i="414"/>
  <c r="H13" i="339" l="1"/>
  <c r="F15" i="339"/>
  <c r="D26" i="414"/>
  <c r="E26" i="414" s="1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1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<sst xmlns="http://schemas.openxmlformats.org/spreadsheetml/2006/main" count="10214" uniqueCount="3220">
  <si>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</si>
  <si>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</si>
  <si>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</si>
  <si>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</si>
  <si>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</si>
  <si>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</si>
  <si>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</si>
  <si>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</si>
  <si>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</si>
  <si>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</si>
  <si>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</si>
  <si>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</si>
  <si>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</si>
  <si>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</si>
  <si>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</si>
  <si>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</si>
  <si>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</si>
  <si>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</si>
  <si>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</si>
  <si>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</si>
  <si>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</si>
  <si>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</si>
  <si>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</si>
  <si>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</si>
  <si>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</si>
  <si>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</si>
  <si>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</si>
  <si>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</si>
  <si>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</si>
  <si>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</si>
  <si>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</si>
  <si>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</si>
  <si>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</si>
  <si>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</si>
  <si>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</si>
  <si>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</si>
  <si>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</si>
  <si>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</si>
  <si>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</si>
  <si>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</si>
  <si>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</si>
  <si>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</si>
  <si>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</si>
  <si>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</si>
  <si>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</si>
  <si>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</si>
  <si>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</si>
  <si>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</si>
  <si>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</si>
  <si>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</si>
  <si>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</si>
  <si>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</si>
  <si>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</si>
  <si>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</si>
  <si>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</si>
  <si>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</si>
  <si>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</si>
  <si>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</si>
  <si>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</si>
  <si>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</si>
  <si>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</si>
  <si>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</si>
  <si>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</si>
  <si>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</si>
  <si>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</si>
  <si>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</si>
  <si>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</si>
  <si>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</si>
  <si>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</si>
  <si>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</si>
  <si>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</si>
  <si>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</si>
  <si>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</si>
  <si>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</si>
  <si>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</si>
  <si>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</si>
  <si>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</si>
  <si>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</si>
  <si>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</si>
  <si>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</si>
  <si>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</si>
  <si>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</si>
  <si>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</si>
  <si>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</si>
  <si>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</si>
  <si>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</si>
  <si>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</si>
  <si>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</si>
  <si>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</si>
  <si>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</si>
  <si>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</si>
  <si>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</si>
  <si>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</si>
  <si>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</si>
  <si>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</si>
  <si>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</si>
  <si>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</si>
  <si>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</si>
  <si>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</si>
  <si>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</si>
  <si>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</si>
  <si>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</si>
  <si>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</si>
  <si>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</si>
  <si>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</si>
  <si>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</si>
  <si>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</si>
  <si>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</si>
  <si>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</si>
  <si>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</si>
  <si>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</si>
  <si>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</si>
  <si>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</si>
  <si>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</si>
  <si>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</si>
  <si>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</si>
  <si>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</si>
  <si>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</si>
  <si>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</si>
  <si>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</si>
  <si>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</si>
  <si>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</si>
  <si>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</si>
  <si>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</si>
  <si>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</si>
  <si>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</si>
  <si>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</si>
  <si>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</si>
  <si>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</si>
  <si>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</si>
  <si>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</si>
  <si>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</si>
  <si>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</si>
  <si>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</si>
  <si>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</si>
  <si>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</si>
  <si>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</si>
  <si>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</si>
  <si>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</si>
  <si>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</si>
  <si>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</si>
  <si>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</si>
  <si>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</si>
  <si>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</si>
  <si>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</si>
  <si>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</si>
  <si>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</si>
  <si>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</si>
  <si>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</si>
  <si>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</si>
  <si>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</si>
  <si>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</si>
  <si>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</si>
  <si>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</si>
  <si>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</si>
  <si>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</si>
  <si>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</si>
  <si>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</si>
  <si>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</si>
  <si>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</si>
  <si>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</si>
  <si>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</si>
  <si>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</si>
  <si>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</si>
  <si>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</si>
  <si>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</si>
  <si>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</si>
  <si>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</si>
  <si>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</si>
  <si>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</si>
  <si>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</si>
  <si>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</si>
  <si>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</si>
  <si>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</si>
  <si>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</si>
  <si>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</si>
  <si>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</si>
  <si>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</si>
  <si>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</si>
  <si>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</si>
  <si>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</si>
  <si>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</si>
  <si>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</si>
  <si>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</si>
  <si>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</si>
  <si>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</si>
  <si>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</si>
  <si>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</si>
  <si>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</si>
  <si>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</si>
  <si>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</si>
  <si>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</si>
  <si>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</si>
  <si>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</si>
  <si>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</si>
  <si>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</si>
  <si>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</si>
  <si>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</si>
  <si>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</si>
  <si>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</si>
  <si>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</si>
  <si>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</si>
  <si>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</si>
  <si>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</si>
  <si>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</si>
  <si>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</si>
  <si>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</si>
  <si>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</si>
  <si>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</si>
  <si>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</si>
  <si>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</si>
  <si>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</si>
  <si>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</si>
  <si>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</si>
  <si>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</si>
  <si>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</si>
  <si>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</si>
  <si>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</si>
  <si>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</si>
  <si>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</si>
  <si>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</si>
  <si>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</si>
  <si>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</si>
  <si>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</si>
  <si>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</si>
  <si>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</si>
  <si>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</si>
  <si>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</si>
  <si>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</si>
  <si>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</si>
  <si>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DRG mimo vyjmenované baze</t>
  </si>
  <si>
    <t>Vyjmenované baze DRG</t>
  </si>
  <si>
    <t>optimum 100% *</t>
  </si>
  <si>
    <t>optimum 95% *</t>
  </si>
  <si>
    <t>333 - Cizinci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</si>
  <si>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</si>
  <si>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</si>
  <si>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</si>
  <si>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</si>
  <si>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</si>
  <si>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</si>
  <si>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</si>
  <si>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</si>
  <si>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</si>
  <si>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</si>
  <si>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</si>
  <si>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</si>
  <si>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</si>
  <si>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</si>
  <si>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</si>
  <si>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</si>
  <si>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</si>
  <si>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</si>
  <si>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</si>
  <si>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</si>
  <si>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</si>
  <si>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</si>
  <si>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</si>
  <si>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</si>
  <si>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</si>
  <si>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</si>
  <si>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</si>
  <si>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</si>
  <si>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</si>
  <si>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</si>
  <si>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</si>
  <si>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</si>
  <si>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</si>
  <si>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</si>
  <si>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</si>
  <si>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</si>
  <si>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</si>
  <si>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</si>
  <si>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</si>
  <si>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</si>
  <si>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</si>
  <si>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</si>
  <si>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</si>
  <si>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</si>
  <si>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</si>
  <si>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</si>
  <si>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</si>
  <si>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</si>
  <si>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</si>
  <si>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</si>
  <si>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</si>
  <si>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</si>
  <si>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</si>
  <si>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</si>
  <si>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</si>
  <si>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</si>
  <si>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</si>
  <si>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</si>
  <si>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</si>
  <si>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</si>
  <si>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</si>
  <si>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</si>
  <si>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</si>
  <si>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</si>
  <si>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</si>
  <si>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</si>
  <si>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</si>
  <si>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</si>
  <si>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</si>
  <si>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</si>
  <si>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</si>
  <si>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</si>
  <si>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</si>
  <si>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</si>
  <si>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</si>
  <si>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</si>
  <si>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</si>
  <si>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</si>
  <si>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</si>
  <si>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Případy hospitalizací se při výpočtu casemixu v letech 2012, 2013, 2014 rozumí případy hospitalizací přepočtené pomocí pravidel pro Klasifikaci a sestavování případů</t>
  </si>
  <si>
    <t>Počet případů hospitalizací</t>
  </si>
  <si>
    <t>Casemix v letech 2012, 2013, 2014 je počet případů hospitalizací ukončených ve sledovaném období, poskytovatelem vykázaných a zdravotní pojišťovnou uznaných,</t>
  </si>
  <si>
    <t>které jsou podle Klasifikace zařazeny do skupin vztažených k diagnóze, vynásobený indexy 2014 (viz příloha č. 10)</t>
  </si>
  <si>
    <t>* Legenda (viz Vyhláška MZ ČR Sbírka zákonů č. 428/2013)</t>
  </si>
  <si>
    <t>Dle vyhlášky FNOL musí dosáhnout casemixu 97% a počtu případů hospitalizací 93% u každé pojišťovny (se zohledněním přesunu pojištěnců)</t>
  </si>
  <si>
    <t>hospitalizací platných pro rok 2014 (grouper 010.006)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</si>
  <si>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Oddělení intenzivní péče chirurgických oborů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</si>
  <si>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</si>
  <si>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</si>
  <si>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</si>
  <si>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</si>
  <si>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</si>
  <si>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</si>
  <si>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</si>
  <si>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</si>
  <si>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</si>
  <si>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</si>
  <si>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</si>
  <si>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50113007     léky - krev.deriváty ZUL (LEK)</t>
  </si>
  <si>
    <t>50113008     léky - krev.deriváty ZUL (TO)</t>
  </si>
  <si>
    <t>50113011     léky - hemofilici ZUL (TO)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</si>
  <si>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</si>
  <si>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</si>
  <si>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</si>
  <si>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</si>
  <si>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</si>
  <si>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</si>
  <si>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</si>
  <si>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</si>
  <si>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</si>
  <si>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</si>
  <si>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</si>
  <si>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</si>
  <si>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</si>
  <si>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</si>
  <si>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</si>
  <si>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katetry, stenty, porty (sk.Z_513)</t>
  </si>
  <si>
    <t>50115090     ostatní ZPr - zubolékařský materiál (sk.Z_509)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</si>
  <si>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</si>
  <si>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</si>
  <si>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</si>
  <si>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</si>
  <si>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</si>
  <si>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</si>
  <si>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</si>
  <si>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</si>
  <si>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</si>
  <si>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</si>
  <si>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</si>
  <si>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</si>
  <si>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</si>
  <si>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</si>
  <si>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</si>
  <si>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</si>
  <si>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</si>
  <si>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</si>
  <si>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</si>
  <si>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</si>
  <si>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</si>
  <si>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</si>
  <si>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</si>
  <si>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</si>
  <si>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</si>
  <si>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</si>
  <si>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</si>
  <si>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</si>
  <si>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</si>
  <si>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</si>
  <si>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</si>
  <si>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</si>
  <si>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</si>
  <si>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</si>
  <si>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</si>
  <si>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</si>
  <si>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</si>
  <si>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</si>
  <si>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</si>
  <si>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</si>
  <si>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</si>
  <si>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</si>
  <si>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(pokl.)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</si>
  <si>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</si>
  <si>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</si>
  <si>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</si>
  <si>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</si>
  <si>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</si>
  <si>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</si>
  <si>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</si>
  <si>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</si>
  <si>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</si>
  <si>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</si>
  <si>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</si>
  <si>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</si>
  <si>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</si>
  <si>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</si>
  <si>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</si>
  <si>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</si>
  <si>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</si>
  <si>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</si>
  <si>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</si>
  <si>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</si>
  <si>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</si>
  <si>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</si>
  <si>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</si>
  <si>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</si>
  <si>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</si>
  <si>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</si>
  <si>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</si>
  <si>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</si>
  <si>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</si>
  <si>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</si>
  <si>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</si>
  <si>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</si>
  <si>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</si>
  <si>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</si>
  <si>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</si>
  <si>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</si>
  <si>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</si>
  <si>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</si>
  <si>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</si>
  <si>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</si>
  <si>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</si>
  <si>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54910010     školení - nezdrav.pracov.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</si>
  <si>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</si>
  <si>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</si>
  <si>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</si>
  <si>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</si>
  <si>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</si>
  <si>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</si>
  <si>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</si>
  <si>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</si>
  <si>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</si>
  <si>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</si>
  <si>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</si>
  <si>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</si>
  <si>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</si>
  <si>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</si>
  <si>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</si>
  <si>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</si>
  <si>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</si>
  <si>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</si>
  <si>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55801080     DDHM - zdravotnický a laboratorní (věcné dary)</t>
  </si>
  <si>
    <t>55802     DDHM - provozní</t>
  </si>
  <si>
    <t>55802080     DDHM - provozní (věcné dary)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</si>
  <si>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</si>
  <si>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</si>
  <si>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</si>
  <si>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</si>
  <si>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</si>
  <si>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</si>
  <si>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</si>
  <si>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</si>
  <si>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</si>
  <si>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</si>
  <si>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</si>
  <si>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</si>
  <si>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</si>
  <si>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</si>
  <si>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</si>
  <si>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</si>
  <si>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</si>
  <si>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</si>
  <si>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</si>
  <si>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</si>
  <si>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</si>
  <si>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</si>
  <si>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</si>
  <si>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</si>
  <si>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64804222     čerp. FRM - opravy VT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</si>
  <si>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</si>
  <si>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</si>
  <si>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</si>
  <si>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</si>
  <si>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</si>
  <si>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</si>
  <si>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</si>
  <si>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</si>
  <si>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</si>
  <si>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64980     Věcné dary</t>
  </si>
  <si>
    <t>64980001     věcné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</si>
  <si>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</si>
  <si>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</si>
  <si>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</si>
  <si>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</si>
  <si>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</si>
  <si>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</si>
  <si>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</si>
  <si>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</si>
  <si>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</si>
  <si>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</si>
  <si>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</si>
  <si>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</si>
  <si>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</si>
  <si>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</si>
  <si>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</si>
  <si>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</si>
  <si>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</si>
  <si>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59</t>
  </si>
  <si>
    <t>Oddělení intenzivní péče chirurgických oborů</t>
  </si>
  <si>
    <t/>
  </si>
  <si>
    <t>Oddělení intenzivní péče chirurgických oborů Celkem</t>
  </si>
  <si>
    <t>SumaKL</t>
  </si>
  <si>
    <t>5931</t>
  </si>
  <si>
    <t>JIP 51</t>
  </si>
  <si>
    <t>JIP 51 Celkem</t>
  </si>
  <si>
    <t>SumaNS</t>
  </si>
  <si>
    <t>mezeraNS</t>
  </si>
  <si>
    <t>50113001</t>
  </si>
  <si>
    <t>185526</t>
  </si>
  <si>
    <t>85526</t>
  </si>
  <si>
    <t>SUFENTA FORTE I.V.</t>
  </si>
  <si>
    <t>INJ 5X1ML/0.05MG</t>
  </si>
  <si>
    <t>33573</t>
  </si>
  <si>
    <t>NEPRO</t>
  </si>
  <si>
    <t>POR SOL 1X500ML</t>
  </si>
  <si>
    <t>129027</t>
  </si>
  <si>
    <t>PROPOFOL-LIPURO 1 % (10MG/ML)</t>
  </si>
  <si>
    <t>INJ+INF EML 10X100ML/1000MG</t>
  </si>
  <si>
    <t>187425</t>
  </si>
  <si>
    <t>LETROX 50</t>
  </si>
  <si>
    <t>POR TBL NOB 100X50RG II</t>
  </si>
  <si>
    <t>198757</t>
  </si>
  <si>
    <t>MIDAZOLAM B. BRAUN 1 MG/ML</t>
  </si>
  <si>
    <t>INJ+RCT SOL 10X50ML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</si>
  <si>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</si>
  <si>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</si>
  <si>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</si>
  <si>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</si>
  <si>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</si>
  <si>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</si>
  <si>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</si>
  <si>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</si>
  <si>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</si>
  <si>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47249</t>
  </si>
  <si>
    <t>INF SOL 10X250ML-PE</t>
  </si>
  <si>
    <t>51367</t>
  </si>
  <si>
    <t>INF SOL 10X250MLPELAH</t>
  </si>
  <si>
    <t>51383</t>
  </si>
  <si>
    <t>INF SOL 10X500MLPELAH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</si>
  <si>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</si>
  <si>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</si>
  <si>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</si>
  <si>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</si>
  <si>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</si>
  <si>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</si>
  <si>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</si>
  <si>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</si>
  <si>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</si>
  <si>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</si>
  <si>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</si>
  <si>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</si>
  <si>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</si>
  <si>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</si>
  <si>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</si>
  <si>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</si>
  <si>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</si>
  <si>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</si>
  <si>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</si>
  <si>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100835</t>
  </si>
  <si>
    <t>835</t>
  </si>
  <si>
    <t>CALCIUM PANTHOTEN. SLOVAKOFARMA</t>
  </si>
  <si>
    <t>UNG 1X30GM</t>
  </si>
  <si>
    <t>100876</t>
  </si>
  <si>
    <t>876</t>
  </si>
  <si>
    <t>OPHTHALMO-SEPTONEX</t>
  </si>
  <si>
    <t>UNG OPH 1X5GM</t>
  </si>
  <si>
    <t>101125</t>
  </si>
  <si>
    <t>1125</t>
  </si>
  <si>
    <t>MORPHIN BIOTIKA 1%</t>
  </si>
  <si>
    <t>INJ 10X1ML/10MG</t>
  </si>
  <si>
    <t>102133</t>
  </si>
  <si>
    <t>2133</t>
  </si>
  <si>
    <t>FUROSEMID BIOTIKA</t>
  </si>
  <si>
    <t>INJ 5X2ML/20MG</t>
  </si>
  <si>
    <t>102478</t>
  </si>
  <si>
    <t>2478</t>
  </si>
  <si>
    <t>DIAZEPAM SLOVAKOFARMA</t>
  </si>
  <si>
    <t>TBL 20X10MG</t>
  </si>
  <si>
    <t>102538</t>
  </si>
  <si>
    <t>2538</t>
  </si>
  <si>
    <t>HALOPERIDOL</t>
  </si>
  <si>
    <t>INJ 5X1ML/5MG</t>
  </si>
  <si>
    <t>103542</t>
  </si>
  <si>
    <t>3542</t>
  </si>
  <si>
    <t>DIGOXIN 0.250 LECIVA</t>
  </si>
  <si>
    <t>TBL 30X0.25MG</t>
  </si>
  <si>
    <t>103575</t>
  </si>
  <si>
    <t>3575</t>
  </si>
  <si>
    <t>HEPAROID LECIVA</t>
  </si>
  <si>
    <t>103688</t>
  </si>
  <si>
    <t>3688</t>
  </si>
  <si>
    <t>SUPPOSITORIA GLYCERINI LECIVA</t>
  </si>
  <si>
    <t>SUP 10X2.35GM</t>
  </si>
  <si>
    <t>104343</t>
  </si>
  <si>
    <t>4343</t>
  </si>
  <si>
    <t>PARALEN</t>
  </si>
  <si>
    <t>SUP 5X500MG</t>
  </si>
  <si>
    <t>107981</t>
  </si>
  <si>
    <t>7981</t>
  </si>
  <si>
    <t>NOVALGIN</t>
  </si>
  <si>
    <t>INJ 10X2ML/1000MG</t>
  </si>
  <si>
    <t>109159</t>
  </si>
  <si>
    <t>9159</t>
  </si>
  <si>
    <t>HYLAK FORTE</t>
  </si>
  <si>
    <t>GTT 1X100ML</t>
  </si>
  <si>
    <t>110151</t>
  </si>
  <si>
    <t>10151</t>
  </si>
  <si>
    <t>LOPERON CPS</t>
  </si>
  <si>
    <t>POR CPS DUR 10X2MG</t>
  </si>
  <si>
    <t>111671</t>
  </si>
  <si>
    <t>11671</t>
  </si>
  <si>
    <t>PLASMALYTE ROZTOK</t>
  </si>
  <si>
    <t>INF SOL 10X1000ML</t>
  </si>
  <si>
    <t>111696</t>
  </si>
  <si>
    <t>11696</t>
  </si>
  <si>
    <t>PLASMALYTE ROZTOK S GLUKOZOU 5%</t>
  </si>
  <si>
    <t>112770</t>
  </si>
  <si>
    <t>12770</t>
  </si>
  <si>
    <t>YAL</t>
  </si>
  <si>
    <t>SOL 2X67.5ML</t>
  </si>
  <si>
    <t>118304</t>
  </si>
  <si>
    <t>18304</t>
  </si>
  <si>
    <t>RINGERFUNDIN B.BRAUN</t>
  </si>
  <si>
    <t>INF SOL 10X500ML PE</t>
  </si>
  <si>
    <t>124067</t>
  </si>
  <si>
    <t>HYDROCORTISON VUAB 100 MG</t>
  </si>
  <si>
    <t>INJ PLV SOL 1X100MG</t>
  </si>
  <si>
    <t>125366</t>
  </si>
  <si>
    <t>25366</t>
  </si>
  <si>
    <t>HELICID 20 ZENTIVA</t>
  </si>
  <si>
    <t>POR CPS ETD 90X20MG</t>
  </si>
  <si>
    <t>126578</t>
  </si>
  <si>
    <t>26578</t>
  </si>
  <si>
    <t>MICARDISPLUS 80/12.5 MG</t>
  </si>
  <si>
    <t>POR TBL NOB 28</t>
  </si>
  <si>
    <t>144305</t>
  </si>
  <si>
    <t>44305</t>
  </si>
  <si>
    <t>EUPHYLLIN CR N 200</t>
  </si>
  <si>
    <t>CPS RET 50X200MG</t>
  </si>
  <si>
    <t>155823</t>
  </si>
  <si>
    <t>55823</t>
  </si>
  <si>
    <t>TBL OBD 20X500MG</t>
  </si>
  <si>
    <t>157483</t>
  </si>
  <si>
    <t>57483</t>
  </si>
  <si>
    <t>CALCIUM RESONIUM</t>
  </si>
  <si>
    <t>PLV 1X300GM</t>
  </si>
  <si>
    <t>158827</t>
  </si>
  <si>
    <t>58827</t>
  </si>
  <si>
    <t>FORTRANS</t>
  </si>
  <si>
    <t>PLV 1X4(SACKY)</t>
  </si>
  <si>
    <t>159941</t>
  </si>
  <si>
    <t>59941</t>
  </si>
  <si>
    <t>SMECTA</t>
  </si>
  <si>
    <t>PLV POR 1X30SACKU</t>
  </si>
  <si>
    <t>162320</t>
  </si>
  <si>
    <t>62320</t>
  </si>
  <si>
    <t>BETADINE</t>
  </si>
  <si>
    <t>UNG 1X20GM</t>
  </si>
  <si>
    <t>166555</t>
  </si>
  <si>
    <t>66555</t>
  </si>
  <si>
    <t>MAGNOSOLV</t>
  </si>
  <si>
    <t>GRA 30X6.1GM(SACKY)</t>
  </si>
  <si>
    <t>183974</t>
  </si>
  <si>
    <t>83974</t>
  </si>
  <si>
    <t>BETALOC</t>
  </si>
  <si>
    <t>INJ 5X5ML/5MG</t>
  </si>
  <si>
    <t>184090</t>
  </si>
  <si>
    <t>84090</t>
  </si>
  <si>
    <t>DEXAMED</t>
  </si>
  <si>
    <t>INJ 10X2ML/8MG</t>
  </si>
  <si>
    <t>188217</t>
  </si>
  <si>
    <t>88217</t>
  </si>
  <si>
    <t>LEXAURIN</t>
  </si>
  <si>
    <t>TBL 30X1.5MG</t>
  </si>
  <si>
    <t>188630</t>
  </si>
  <si>
    <t>88630</t>
  </si>
  <si>
    <t>TBL.MAGNESII LACTICI 0.5 GLO</t>
  </si>
  <si>
    <t>TBL 100X500MG</t>
  </si>
  <si>
    <t>191836</t>
  </si>
  <si>
    <t>91836</t>
  </si>
  <si>
    <t>TORECAN</t>
  </si>
  <si>
    <t>INJ 5X1ML/6.5MG</t>
  </si>
  <si>
    <t>192351</t>
  </si>
  <si>
    <t>92351</t>
  </si>
  <si>
    <t>ATROVENT 0.025%</t>
  </si>
  <si>
    <t>INH SOL 1X20ML</t>
  </si>
  <si>
    <t>192729</t>
  </si>
  <si>
    <t>92729</t>
  </si>
  <si>
    <t>ACIDUM ASCORBICUM</t>
  </si>
  <si>
    <t>INJ 5X5ML</t>
  </si>
  <si>
    <t>192853</t>
  </si>
  <si>
    <t>POR CPS DUR 20X2MG</t>
  </si>
  <si>
    <t>193105</t>
  </si>
  <si>
    <t>93105</t>
  </si>
  <si>
    <t>DEGAN</t>
  </si>
  <si>
    <t>INJ 50X2ML/10MG</t>
  </si>
  <si>
    <t>193582</t>
  </si>
  <si>
    <t>93582</t>
  </si>
  <si>
    <t>ANACID 5ML</t>
  </si>
  <si>
    <t>SUS 30X5ML</t>
  </si>
  <si>
    <t>193746</t>
  </si>
  <si>
    <t>93746</t>
  </si>
  <si>
    <t>HEPARIN LECIVA</t>
  </si>
  <si>
    <t>INJ 1X10ML/50KU</t>
  </si>
  <si>
    <t>194248</t>
  </si>
  <si>
    <t>94248</t>
  </si>
  <si>
    <t>ZOLPIDEM-RATIOPHARM 10 MG</t>
  </si>
  <si>
    <t>POR TBL FLM 10X10MG</t>
  </si>
  <si>
    <t>196190</t>
  </si>
  <si>
    <t>96190</t>
  </si>
  <si>
    <t>MONOSAN 20MG</t>
  </si>
  <si>
    <t>TBL 30X20MG</t>
  </si>
  <si>
    <t>199333</t>
  </si>
  <si>
    <t>99333</t>
  </si>
  <si>
    <t>FUROSEMID BIOTIKA FORTE</t>
  </si>
  <si>
    <t>INJ 10X10ML/125MG</t>
  </si>
  <si>
    <t>395997</t>
  </si>
  <si>
    <t>DZ SOFTASEPT N BEZBARVÝ 250 ml</t>
  </si>
  <si>
    <t>840220</t>
  </si>
  <si>
    <t>Lactobacillus acidophil.cps.75 bez laktózy</t>
  </si>
  <si>
    <t>841535</t>
  </si>
  <si>
    <t>MENALIND Kožní ochranný krém 200 ml</t>
  </si>
  <si>
    <t>841572</t>
  </si>
  <si>
    <t>MENALIND Ubrousky 50ks náhradní náplň</t>
  </si>
  <si>
    <t>843905</t>
  </si>
  <si>
    <t>103391</t>
  </si>
  <si>
    <t>MUCOSOLVAN</t>
  </si>
  <si>
    <t>POR GTT SOL+INH SOL 60ML</t>
  </si>
  <si>
    <t>844831</t>
  </si>
  <si>
    <t>DIGOXIN ORION INJ</t>
  </si>
  <si>
    <t>INJ SOL 25X1ML/0.25MG</t>
  </si>
  <si>
    <t>846629</t>
  </si>
  <si>
    <t>100013</t>
  </si>
  <si>
    <t>IBALGIN 400 TBL 24</t>
  </si>
  <si>
    <t xml:space="preserve">POR TBL FLM 24X400MG </t>
  </si>
  <si>
    <t>846758</t>
  </si>
  <si>
    <t>103387</t>
  </si>
  <si>
    <t>ACC INJEKT</t>
  </si>
  <si>
    <t>INJ SOL 5X3ML/300MG</t>
  </si>
  <si>
    <t>847713</t>
  </si>
  <si>
    <t>125526</t>
  </si>
  <si>
    <t>APO-IBUPROFEN 400 MG</t>
  </si>
  <si>
    <t>POR TBL FLM 100X400MG</t>
  </si>
  <si>
    <t>847974</t>
  </si>
  <si>
    <t>125525</t>
  </si>
  <si>
    <t>POR TBL FLM 30X400MG</t>
  </si>
  <si>
    <t>849941</t>
  </si>
  <si>
    <t>162142</t>
  </si>
  <si>
    <t>PARALEN 500</t>
  </si>
  <si>
    <t>POR TBL NOB 24X500MG</t>
  </si>
  <si>
    <t>850552</t>
  </si>
  <si>
    <t>167852</t>
  </si>
  <si>
    <t>TWYNSTA 80 MG/5 MG</t>
  </si>
  <si>
    <t>905098</t>
  </si>
  <si>
    <t>23989</t>
  </si>
  <si>
    <t>DZ OCTENISEPT 1 l</t>
  </si>
  <si>
    <t>DPH 15 %</t>
  </si>
  <si>
    <t>930065</t>
  </si>
  <si>
    <t>DZ PRONTOSAN ROZTOK 350ml</t>
  </si>
  <si>
    <t>987464</t>
  </si>
  <si>
    <t>Menalind Professional čistící pěna 400ml</t>
  </si>
  <si>
    <t>51384</t>
  </si>
  <si>
    <t>INF SOL 10X1000MLPLAH</t>
  </si>
  <si>
    <t>100489</t>
  </si>
  <si>
    <t>489</t>
  </si>
  <si>
    <t>KANAVIT</t>
  </si>
  <si>
    <t>INJ 5X1ML/10MG</t>
  </si>
  <si>
    <t>100513</t>
  </si>
  <si>
    <t>513</t>
  </si>
  <si>
    <t>NATRIUM CHLORATUM BIOTIKA 10%</t>
  </si>
  <si>
    <t>100536</t>
  </si>
  <si>
    <t>536</t>
  </si>
  <si>
    <t>NORADRENALIN LECIVA</t>
  </si>
  <si>
    <t>100612</t>
  </si>
  <si>
    <t>612</t>
  </si>
  <si>
    <t>SYNTOSTIGMIN</t>
  </si>
  <si>
    <t>INJ 10X1ML/0.5MG</t>
  </si>
  <si>
    <t>110086</t>
  </si>
  <si>
    <t>10086</t>
  </si>
  <si>
    <t>NEODOLPASSE</t>
  </si>
  <si>
    <t>INF 10X250ML</t>
  </si>
  <si>
    <t>111242</t>
  </si>
  <si>
    <t>11242</t>
  </si>
  <si>
    <t>GERATAM 1200</t>
  </si>
  <si>
    <t>TBL OBD 60X1200MG</t>
  </si>
  <si>
    <t>111337</t>
  </si>
  <si>
    <t>11337</t>
  </si>
  <si>
    <t>GERATAM 3G</t>
  </si>
  <si>
    <t>INJ 4X15ML/3GM</t>
  </si>
  <si>
    <t>118305</t>
  </si>
  <si>
    <t>18305</t>
  </si>
  <si>
    <t>INF SOL10X1000ML PE</t>
  </si>
  <si>
    <t>125362</t>
  </si>
  <si>
    <t>25362</t>
  </si>
  <si>
    <t>HELICID 10 ZENTIVA</t>
  </si>
  <si>
    <t>POR CPS ETD 28X10MG</t>
  </si>
  <si>
    <t>145981</t>
  </si>
  <si>
    <t>45981</t>
  </si>
  <si>
    <t>CERNEVIT</t>
  </si>
  <si>
    <t>INJ PLV SOL10X750MG</t>
  </si>
  <si>
    <t>158287</t>
  </si>
  <si>
    <t>58287</t>
  </si>
  <si>
    <t>ADDAMEL N</t>
  </si>
  <si>
    <t>INF CNC 20X10ML</t>
  </si>
  <si>
    <t>159357</t>
  </si>
  <si>
    <t>59357</t>
  </si>
  <si>
    <t>RINGERUV ROZTOK BRAUN</t>
  </si>
  <si>
    <t>INF 10X500ML(LDPE)</t>
  </si>
  <si>
    <t>172564</t>
  </si>
  <si>
    <t>72564</t>
  </si>
  <si>
    <t>SEROPRAM</t>
  </si>
  <si>
    <t>INF 5X0.5ML/20MG</t>
  </si>
  <si>
    <t>189244</t>
  </si>
  <si>
    <t>89244</t>
  </si>
  <si>
    <t>AQUA PRO INJECTIONE ARDEAPHARMA</t>
  </si>
  <si>
    <t>INF 1X250ML</t>
  </si>
  <si>
    <t>194919</t>
  </si>
  <si>
    <t>94919</t>
  </si>
  <si>
    <t>AMBROBENE 7.5MG/ML</t>
  </si>
  <si>
    <t>SOL 1X40ML</t>
  </si>
  <si>
    <t>194920</t>
  </si>
  <si>
    <t>94920</t>
  </si>
  <si>
    <t>SOL 1X100ML</t>
  </si>
  <si>
    <t>196610</t>
  </si>
  <si>
    <t>96610</t>
  </si>
  <si>
    <t>APAURIN</t>
  </si>
  <si>
    <t>INJ 10X2ML/10MG</t>
  </si>
  <si>
    <t>841541</t>
  </si>
  <si>
    <t>MENALIND Mycí emulze 500ml</t>
  </si>
  <si>
    <t>848802</t>
  </si>
  <si>
    <t>163138</t>
  </si>
  <si>
    <t>FLAVOBION</t>
  </si>
  <si>
    <t>POR TBL FLM 50X70MG</t>
  </si>
  <si>
    <t>849034</t>
  </si>
  <si>
    <t>Emspoma M 200ml/chladivá tuba</t>
  </si>
  <si>
    <t>849276</t>
  </si>
  <si>
    <t>155875</t>
  </si>
  <si>
    <t>TRENTAL</t>
  </si>
  <si>
    <t>INF SOL 5X5ML/100MG</t>
  </si>
  <si>
    <t>102684</t>
  </si>
  <si>
    <t>2684</t>
  </si>
  <si>
    <t>GEL 1X20GM</t>
  </si>
  <si>
    <t>104071</t>
  </si>
  <si>
    <t>4071</t>
  </si>
  <si>
    <t>DITHIADEN</t>
  </si>
  <si>
    <t>INJ 10X2ML</t>
  </si>
  <si>
    <t>146125</t>
  </si>
  <si>
    <t>46125</t>
  </si>
  <si>
    <t>LIDOCAIN 10%</t>
  </si>
  <si>
    <t>SPR 1X38GM</t>
  </si>
  <si>
    <t>165633</t>
  </si>
  <si>
    <t>165751</t>
  </si>
  <si>
    <t>GELASPAN 4% EBI20x500 ml</t>
  </si>
  <si>
    <t>INF SOL20X500ML VAK</t>
  </si>
  <si>
    <t>47706</t>
  </si>
  <si>
    <t>GLUKÓZA 20 BRAUN</t>
  </si>
  <si>
    <t>100409</t>
  </si>
  <si>
    <t>409</t>
  </si>
  <si>
    <t>CALCIUM CHLORATUM BIOTIKA</t>
  </si>
  <si>
    <t>100874</t>
  </si>
  <si>
    <t>874</t>
  </si>
  <si>
    <t>OPHTHALMO-AZULEN</t>
  </si>
  <si>
    <t>104344</t>
  </si>
  <si>
    <t>4344</t>
  </si>
  <si>
    <t>HYPNOMIDATE</t>
  </si>
  <si>
    <t>INJ 5X10ML/20MG</t>
  </si>
  <si>
    <t>112319</t>
  </si>
  <si>
    <t>12319</t>
  </si>
  <si>
    <t>TRANSMETIL 500MG INJEKCE</t>
  </si>
  <si>
    <t>INJ SIC 5X500MG+5ML</t>
  </si>
  <si>
    <t>142595</t>
  </si>
  <si>
    <t>42595</t>
  </si>
  <si>
    <t>VITALIPID N ADULT</t>
  </si>
  <si>
    <t>INF CNC SOL 10X10ML</t>
  </si>
  <si>
    <t>159398</t>
  </si>
  <si>
    <t>59398</t>
  </si>
  <si>
    <t>TRACUTIL</t>
  </si>
  <si>
    <t>INF 5X10ML</t>
  </si>
  <si>
    <t>162597</t>
  </si>
  <si>
    <t>62597</t>
  </si>
  <si>
    <t>ENAP I.V.</t>
  </si>
  <si>
    <t>INJ 5X1ML/1.25MG</t>
  </si>
  <si>
    <t>190763</t>
  </si>
  <si>
    <t>90763</t>
  </si>
  <si>
    <t>EBRANTIL I.V.25</t>
  </si>
  <si>
    <t>INJ 5X5ML/25MG</t>
  </si>
  <si>
    <t>194852</t>
  </si>
  <si>
    <t>94852</t>
  </si>
  <si>
    <t>SOLUVIT N PRO INFUS.</t>
  </si>
  <si>
    <t>INJ SIC 10</t>
  </si>
  <si>
    <t>843740</t>
  </si>
  <si>
    <t>AVIRIL Dětský zásyp s azulenem sypačka</t>
  </si>
  <si>
    <t>844078</t>
  </si>
  <si>
    <t>Lacrisyn gtt.ophth.10ml</t>
  </si>
  <si>
    <t>921458</t>
  </si>
  <si>
    <t>KL ETHER 200G</t>
  </si>
  <si>
    <t>113373</t>
  </si>
  <si>
    <t>154858</t>
  </si>
  <si>
    <t xml:space="preserve">PROTAMIN MEDA AMPULLEN </t>
  </si>
  <si>
    <t>INJ 5X5ML/5KU</t>
  </si>
  <si>
    <t>850095</t>
  </si>
  <si>
    <t>120406</t>
  </si>
  <si>
    <t>THIOPENTAL VUAB INJ. PLV. SOL. 0,5 G</t>
  </si>
  <si>
    <t>INJ PLV SOL 1X0.5GM</t>
  </si>
  <si>
    <t>100407</t>
  </si>
  <si>
    <t>407</t>
  </si>
  <si>
    <t>CALCIUM BIOTIKA</t>
  </si>
  <si>
    <t>INJ 10X10ML/1GM</t>
  </si>
  <si>
    <t>102963</t>
  </si>
  <si>
    <t>2963</t>
  </si>
  <si>
    <t>PREDNISON 20 LECIVA</t>
  </si>
  <si>
    <t>TBL 20X20MG(BLISTR)</t>
  </si>
  <si>
    <t>148673</t>
  </si>
  <si>
    <t>XADOS 20 MG TABLETY</t>
  </si>
  <si>
    <t>POR TBL NOB 30X20MG</t>
  </si>
  <si>
    <t>900321</t>
  </si>
  <si>
    <t>KL PRIPRAVEK</t>
  </si>
  <si>
    <t>100512</t>
  </si>
  <si>
    <t>512</t>
  </si>
  <si>
    <t>INJ 10X5ML 10%</t>
  </si>
  <si>
    <t>101127</t>
  </si>
  <si>
    <t>1127</t>
  </si>
  <si>
    <t>INJ 10X2ML/20MG</t>
  </si>
  <si>
    <t>117011</t>
  </si>
  <si>
    <t>17011</t>
  </si>
  <si>
    <t>DICYNONE 250</t>
  </si>
  <si>
    <t>INJ SOL 4X2ML/250MG</t>
  </si>
  <si>
    <t>144357</t>
  </si>
  <si>
    <t>44357</t>
  </si>
  <si>
    <t>REMESTYP 1.0</t>
  </si>
  <si>
    <t>INJ 5X10ML/1MG</t>
  </si>
  <si>
    <t>152334</t>
  </si>
  <si>
    <t>52334</t>
  </si>
  <si>
    <t>FORTECORTIN 4</t>
  </si>
  <si>
    <t>POR TBL NOB 20X4MG</t>
  </si>
  <si>
    <t>167547</t>
  </si>
  <si>
    <t>67547</t>
  </si>
  <si>
    <t>ALMIRAL</t>
  </si>
  <si>
    <t>INJ 10X3ML/75MG</t>
  </si>
  <si>
    <t>703722</t>
  </si>
  <si>
    <t>MENALIND Olejový spray na ochranu kůže</t>
  </si>
  <si>
    <t>790011</t>
  </si>
  <si>
    <t>Emspoma M 500g/chladivá</t>
  </si>
  <si>
    <t>841577</t>
  </si>
  <si>
    <t>MENALIND Professional olej.přís. 500ml</t>
  </si>
  <si>
    <t>846873</t>
  </si>
  <si>
    <t>DZ PRONTODERM ROZTOK 500 ml</t>
  </si>
  <si>
    <t>16321</t>
  </si>
  <si>
    <t>BRAUNOVIDON MAST</t>
  </si>
  <si>
    <t>DRM UNG 1X250GM</t>
  </si>
  <si>
    <t>104178</t>
  </si>
  <si>
    <t>4178</t>
  </si>
  <si>
    <t>TRIAMCINOLON E LECIVA</t>
  </si>
  <si>
    <t>108499</t>
  </si>
  <si>
    <t>8499</t>
  </si>
  <si>
    <t>DIPIDOLOR</t>
  </si>
  <si>
    <t>INJ 5X2ML 7.5MG/ML</t>
  </si>
  <si>
    <t>159358</t>
  </si>
  <si>
    <t>59358</t>
  </si>
  <si>
    <t>INF 10X1000ML(LDPE)</t>
  </si>
  <si>
    <t>187299</t>
  </si>
  <si>
    <t>87299</t>
  </si>
  <si>
    <t>IMUNOR</t>
  </si>
  <si>
    <t>LYO 4X10MG</t>
  </si>
  <si>
    <t>199466</t>
  </si>
  <si>
    <t>BURONIL 25 MG</t>
  </si>
  <si>
    <t>POR TBL OBD 50X25MG</t>
  </si>
  <si>
    <t>844591</t>
  </si>
  <si>
    <t>107161</t>
  </si>
  <si>
    <t>DIPEPTIVEN</t>
  </si>
  <si>
    <t>INF CNC SOL 1X100ML</t>
  </si>
  <si>
    <t>844764</t>
  </si>
  <si>
    <t>105943</t>
  </si>
  <si>
    <t>TETRASPAN 10%</t>
  </si>
  <si>
    <t>INF SOL 20X500ML</t>
  </si>
  <si>
    <t>848725</t>
  </si>
  <si>
    <t>107677</t>
  </si>
  <si>
    <t>KALIUMCHLORID 7.45% BRAUN</t>
  </si>
  <si>
    <t>INF CNC SOL 20X100ML</t>
  </si>
  <si>
    <t>501065</t>
  </si>
  <si>
    <t>KL SIGNATURY</t>
  </si>
  <si>
    <t>189869</t>
  </si>
  <si>
    <t>89869</t>
  </si>
  <si>
    <t>DIPROPHOS</t>
  </si>
  <si>
    <t>INJ 5X1ML</t>
  </si>
  <si>
    <t>192730</t>
  </si>
  <si>
    <t>92730</t>
  </si>
  <si>
    <t>INJ 50X5ML</t>
  </si>
  <si>
    <t>845813</t>
  </si>
  <si>
    <t>DECA DURABOLIN  50</t>
  </si>
  <si>
    <t xml:space="preserve">INJ SOL 1X1ML/50MG </t>
  </si>
  <si>
    <t>106091</t>
  </si>
  <si>
    <t>6091</t>
  </si>
  <si>
    <t>GUTRON 2.5MG</t>
  </si>
  <si>
    <t>TBL 20X2.5MG</t>
  </si>
  <si>
    <t>841314</t>
  </si>
  <si>
    <t>MENALIND Ochranná pěna 100ml</t>
  </si>
  <si>
    <t>169667</t>
  </si>
  <si>
    <t>69667</t>
  </si>
  <si>
    <t>ARDEAELYTOSOL NA.HYDR.FOSF.8.7%</t>
  </si>
  <si>
    <t>INF 1X200ML</t>
  </si>
  <si>
    <t>181425</t>
  </si>
  <si>
    <t>81425</t>
  </si>
  <si>
    <t>XALACOM</t>
  </si>
  <si>
    <t>OPH GTT SOL 1X2.5ML</t>
  </si>
  <si>
    <t>850729</t>
  </si>
  <si>
    <t>157875</t>
  </si>
  <si>
    <t>PARACETAMOL KABI 10MG/ML</t>
  </si>
  <si>
    <t>INF SOL 10X100ML/1000MG</t>
  </si>
  <si>
    <t>850675</t>
  </si>
  <si>
    <t>Menalind professional tělové mléko 500ml</t>
  </si>
  <si>
    <t>920060</t>
  </si>
  <si>
    <t>KL SOL.ARG.NITR.20% 10G</t>
  </si>
  <si>
    <t>119188</t>
  </si>
  <si>
    <t>19188</t>
  </si>
  <si>
    <t>SUBCUVIA</t>
  </si>
  <si>
    <t>INJ SOL 1X10ML</t>
  </si>
  <si>
    <t>121393</t>
  </si>
  <si>
    <t>21393</t>
  </si>
  <si>
    <t>PATENTBLAU V</t>
  </si>
  <si>
    <t>INJ 5X2ML/50MG</t>
  </si>
  <si>
    <t>2584</t>
  </si>
  <si>
    <t>GLUKÓZA 40 BRAUN</t>
  </si>
  <si>
    <t>844242</t>
  </si>
  <si>
    <t>105937</t>
  </si>
  <si>
    <t>TETRASPAN 6%</t>
  </si>
  <si>
    <t>843996</t>
  </si>
  <si>
    <t>100191</t>
  </si>
  <si>
    <t>VOLUVEN  6%</t>
  </si>
  <si>
    <t>INF SOL 20X500MLVAK+P</t>
  </si>
  <si>
    <t>900012</t>
  </si>
  <si>
    <t>KL SOL.HYD.PEROX.3% 200G</t>
  </si>
  <si>
    <t>187000</t>
  </si>
  <si>
    <t>87000</t>
  </si>
  <si>
    <t>ARDEAOSMOSOL MA 20 (Mannitol)</t>
  </si>
  <si>
    <t>118566</t>
  </si>
  <si>
    <t>18566</t>
  </si>
  <si>
    <t>MINIRIN MELT 120 MCG</t>
  </si>
  <si>
    <t>POR LYO 30X120RG</t>
  </si>
  <si>
    <t>131345</t>
  </si>
  <si>
    <t>31345</t>
  </si>
  <si>
    <t>PK-MERZ INFUSION</t>
  </si>
  <si>
    <t>INF 10X500ML</t>
  </si>
  <si>
    <t>103761</t>
  </si>
  <si>
    <t>3761</t>
  </si>
  <si>
    <t>CHIROCAINE 5 MG/ML</t>
  </si>
  <si>
    <t>INJ CNC SOL 10X10ML</t>
  </si>
  <si>
    <t>50440</t>
  </si>
  <si>
    <t>ACCUSOL 35, ROZTOK PRO HEMOFILTRACI, HEMODIALÝZU A</t>
  </si>
  <si>
    <t>DLP HFL SOL 2X5000ML</t>
  </si>
  <si>
    <t>149990</t>
  </si>
  <si>
    <t>49990</t>
  </si>
  <si>
    <t>EXACYL</t>
  </si>
  <si>
    <t>INJ 5X5ML/500MG</t>
  </si>
  <si>
    <t>190484</t>
  </si>
  <si>
    <t>NEPRESOL 25 MG</t>
  </si>
  <si>
    <t>INJ SIC 5X25MG+SOLV</t>
  </si>
  <si>
    <t>169726</t>
  </si>
  <si>
    <t>69726</t>
  </si>
  <si>
    <t>ARDEAELYTOSOL NATRIUMCHLOR.5.85</t>
  </si>
  <si>
    <t>INF 1X80ML</t>
  </si>
  <si>
    <t>394942</t>
  </si>
  <si>
    <t>93527</t>
  </si>
  <si>
    <t>ARDEAELYTOSOL R1/1</t>
  </si>
  <si>
    <t>INF 1X500ML</t>
  </si>
  <si>
    <t>153507</t>
  </si>
  <si>
    <t>53507</t>
  </si>
  <si>
    <t>MEDOSTATIN 20MG</t>
  </si>
  <si>
    <t>TBL 100X20MG</t>
  </si>
  <si>
    <t>1673</t>
  </si>
  <si>
    <t>INJ SOL 100X2ML/8MG</t>
  </si>
  <si>
    <t>164865</t>
  </si>
  <si>
    <t>64865</t>
  </si>
  <si>
    <t>PIRACETAM AL 1200</t>
  </si>
  <si>
    <t>POR TBLFLM60X1200MG</t>
  </si>
  <si>
    <t>200863</t>
  </si>
  <si>
    <t>OPH GTT SOL 1X10ML PLAST</t>
  </si>
  <si>
    <t>989038</t>
  </si>
  <si>
    <t>Menalind Profess.kož.ochr.krém 200ml+čist.ubrousky</t>
  </si>
  <si>
    <t>989039</t>
  </si>
  <si>
    <t>Menalind Profess.čist.pěna 400ml+čist.těl.ml.500ml</t>
  </si>
  <si>
    <t>394153</t>
  </si>
  <si>
    <t>Calcium Pantotenicum 30g Generica</t>
  </si>
  <si>
    <t>841318</t>
  </si>
  <si>
    <t>HBF Calcium panthotenát mast 100ml</t>
  </si>
  <si>
    <t>845714</t>
  </si>
  <si>
    <t>120369</t>
  </si>
  <si>
    <t>VELAXIN 75 MG</t>
  </si>
  <si>
    <t>POR CPS PRO 2X14X75MG</t>
  </si>
  <si>
    <t>P</t>
  </si>
  <si>
    <t>109709</t>
  </si>
  <si>
    <t>9709</t>
  </si>
  <si>
    <t>SOLU-MEDROL</t>
  </si>
  <si>
    <t>INJ SIC 1X40MG+1ML</t>
  </si>
  <si>
    <t>113767</t>
  </si>
  <si>
    <t>13767</t>
  </si>
  <si>
    <t>CORDARONE</t>
  </si>
  <si>
    <t>POR TBL NOB30X200MG</t>
  </si>
  <si>
    <t>133343</t>
  </si>
  <si>
    <t>33343</t>
  </si>
  <si>
    <t>CUBITAN S PŘÍCHUTÍ JAHODOVOU (SOL)</t>
  </si>
  <si>
    <t>POR SOL 1X200ML</t>
  </si>
  <si>
    <t>142547</t>
  </si>
  <si>
    <t>42547</t>
  </si>
  <si>
    <t>LACTULOSE AL SIRUP</t>
  </si>
  <si>
    <t>POR SIR 1X500ML</t>
  </si>
  <si>
    <t>147144</t>
  </si>
  <si>
    <t>47144</t>
  </si>
  <si>
    <t>LETROX 100</t>
  </si>
  <si>
    <t>TBL 100X100RG</t>
  </si>
  <si>
    <t>149909</t>
  </si>
  <si>
    <t>49909</t>
  </si>
  <si>
    <t>LOKREN 20 MG</t>
  </si>
  <si>
    <t>POR TBL FLM 28X20MG</t>
  </si>
  <si>
    <t>154316</t>
  </si>
  <si>
    <t>54316</t>
  </si>
  <si>
    <t>FRAXIPARIN MULTI</t>
  </si>
  <si>
    <t>INJ 10X5ML/47.5KU</t>
  </si>
  <si>
    <t>158271</t>
  </si>
  <si>
    <t>58271</t>
  </si>
  <si>
    <t>LIPANTHYL 267 M</t>
  </si>
  <si>
    <t>CPS 30X267MG</t>
  </si>
  <si>
    <t>158380</t>
  </si>
  <si>
    <t>58380</t>
  </si>
  <si>
    <t>VENTOLIN ROZTOK K INHALACI</t>
  </si>
  <si>
    <t>INH SOL1X20ML/120MG</t>
  </si>
  <si>
    <t>184399</t>
  </si>
  <si>
    <t>84399</t>
  </si>
  <si>
    <t>NEURONTIN 300MG</t>
  </si>
  <si>
    <t>CPS 50X300MG</t>
  </si>
  <si>
    <t>846446</t>
  </si>
  <si>
    <t>124343</t>
  </si>
  <si>
    <t>CEZERA 5 MG</t>
  </si>
  <si>
    <t>POR TBL FLM 30X5MG</t>
  </si>
  <si>
    <t>848765</t>
  </si>
  <si>
    <t>107938</t>
  </si>
  <si>
    <t>INJ SOL 6X3ML/150MG</t>
  </si>
  <si>
    <t>849559</t>
  </si>
  <si>
    <t>125066</t>
  </si>
  <si>
    <t>APO-AMLO 5</t>
  </si>
  <si>
    <t>POR TBL NOB 100X5MG</t>
  </si>
  <si>
    <t>849713</t>
  </si>
  <si>
    <t>125046</t>
  </si>
  <si>
    <t>APO-AMLO 10</t>
  </si>
  <si>
    <t>POR TBL NOB 30X10MG</t>
  </si>
  <si>
    <t>126786</t>
  </si>
  <si>
    <t>26786</t>
  </si>
  <si>
    <t>NOVORAPID 100 U/ML</t>
  </si>
  <si>
    <t>142546</t>
  </si>
  <si>
    <t>42546</t>
  </si>
  <si>
    <t>POR SIR 1X200ML</t>
  </si>
  <si>
    <t>149531</t>
  </si>
  <si>
    <t>49531</t>
  </si>
  <si>
    <t>CONTROLOC I.V.</t>
  </si>
  <si>
    <t>INJ PLV SOL 1X40MG</t>
  </si>
  <si>
    <t>118175</t>
  </si>
  <si>
    <t>18175</t>
  </si>
  <si>
    <t>PROPOFOL 1% MCT/LCT FRESENIUS</t>
  </si>
  <si>
    <t>INJ EML 10X100ML</t>
  </si>
  <si>
    <t>125744</t>
  </si>
  <si>
    <t>25744</t>
  </si>
  <si>
    <t>INTEGRILIN 0.75MG/ML</t>
  </si>
  <si>
    <t>INF SOL1X100ML/75MG</t>
  </si>
  <si>
    <t>122678</t>
  </si>
  <si>
    <t>QUETIAPIN SANDOZ 25 MG</t>
  </si>
  <si>
    <t>POR TBL FLM 30X25MG</t>
  </si>
  <si>
    <t>147133</t>
  </si>
  <si>
    <t>47133</t>
  </si>
  <si>
    <t>LETROX 150</t>
  </si>
  <si>
    <t>TBL 100X150RG</t>
  </si>
  <si>
    <t>117431</t>
  </si>
  <si>
    <t>17431</t>
  </si>
  <si>
    <t>CITALEC 20 ZENTIVA</t>
  </si>
  <si>
    <t>POR TBL FLM30X20MG</t>
  </si>
  <si>
    <t>119220</t>
  </si>
  <si>
    <t>MONTELUKAST TEVA 10 MG</t>
  </si>
  <si>
    <t>POR TBL FLM 28X10MG</t>
  </si>
  <si>
    <t>130164</t>
  </si>
  <si>
    <t>30164</t>
  </si>
  <si>
    <t>MIDAZOLAM TORREX 1MG/ML</t>
  </si>
  <si>
    <t>INJ 10X5ML/5MG</t>
  </si>
  <si>
    <t>115245</t>
  </si>
  <si>
    <t>15245</t>
  </si>
  <si>
    <t>SANDOSTATIN 0.1 MG/ML</t>
  </si>
  <si>
    <t>INJ SOL 5X1ML/0.1MG</t>
  </si>
  <si>
    <t>50113006</t>
  </si>
  <si>
    <t>33785</t>
  </si>
  <si>
    <t>FORTICARE S PŘÍCHUTÍ POMERANČ A CITRÓN</t>
  </si>
  <si>
    <t>POR SOL 4X125ML</t>
  </si>
  <si>
    <t>33786</t>
  </si>
  <si>
    <t>FORTICARE S PŘÍCHUTÍ BROSKEV A ZÁZVOR</t>
  </si>
  <si>
    <t>33787</t>
  </si>
  <si>
    <t>FORTICARE S PŘÍCHUTÍ CAPPUCCINO</t>
  </si>
  <si>
    <t>195947</t>
  </si>
  <si>
    <t>95947</t>
  </si>
  <si>
    <t>AMINOMIX 2 NOVUM</t>
  </si>
  <si>
    <t>INF SOL4X2000ML</t>
  </si>
  <si>
    <t>158628</t>
  </si>
  <si>
    <t>58628</t>
  </si>
  <si>
    <t>NUTRAMIN VLI</t>
  </si>
  <si>
    <t>111453</t>
  </si>
  <si>
    <t>11453</t>
  </si>
  <si>
    <t>OLICLINOMEL N8-800</t>
  </si>
  <si>
    <t>INF EML4X2000ML</t>
  </si>
  <si>
    <t>841569</t>
  </si>
  <si>
    <t>Fresubin hepa 15x500ml</t>
  </si>
  <si>
    <t>103414</t>
  </si>
  <si>
    <t>3414</t>
  </si>
  <si>
    <t>NUTRIFLEX PERI</t>
  </si>
  <si>
    <t>INF 5X2000ML</t>
  </si>
  <si>
    <t>142003</t>
  </si>
  <si>
    <t>NEPHROTECT</t>
  </si>
  <si>
    <t>INF SOL 10X500ML</t>
  </si>
  <si>
    <t>149415</t>
  </si>
  <si>
    <t>49415</t>
  </si>
  <si>
    <t>AMINOPLASMAL B.BRAUN 10%</t>
  </si>
  <si>
    <t>116337</t>
  </si>
  <si>
    <t>16337</t>
  </si>
  <si>
    <t>LIPOPLUS 20%</t>
  </si>
  <si>
    <t>INFEML10X250ML-SKLO</t>
  </si>
  <si>
    <t>195939</t>
  </si>
  <si>
    <t>95939</t>
  </si>
  <si>
    <t>AMINOMIX 1 NOVUM</t>
  </si>
  <si>
    <t>INFSOL4X1500ML</t>
  </si>
  <si>
    <t>988740</t>
  </si>
  <si>
    <t>Nutrison Advanced Diason 1000ml</t>
  </si>
  <si>
    <t>116338</t>
  </si>
  <si>
    <t>16338</t>
  </si>
  <si>
    <t>INFEML10X500ML-SKLO</t>
  </si>
  <si>
    <t>396914</t>
  </si>
  <si>
    <t>52301</t>
  </si>
  <si>
    <t>AMINOPLASMAL HEPA-10%</t>
  </si>
  <si>
    <t>397059</t>
  </si>
  <si>
    <t>31987</t>
  </si>
  <si>
    <t>CLINIMIX N17G20E 4x2000 ml</t>
  </si>
  <si>
    <t>4x2000 ml</t>
  </si>
  <si>
    <t>133328</t>
  </si>
  <si>
    <t>33328</t>
  </si>
  <si>
    <t>NUTRIDRINK S PŘÍCH. TROP. OVOCE</t>
  </si>
  <si>
    <t>133339</t>
  </si>
  <si>
    <t>33339</t>
  </si>
  <si>
    <t>DIASIP S PŘÍCHUTÍ JAHODOVOU (SOL)</t>
  </si>
  <si>
    <t>133340</t>
  </si>
  <si>
    <t>33340</t>
  </si>
  <si>
    <t>DIASIP S PŘÍCHUTÍ VANILKOVOU (SOL)</t>
  </si>
  <si>
    <t>133341</t>
  </si>
  <si>
    <t>33341</t>
  </si>
  <si>
    <t>CUBITAN S PŘÍCHUTÍ VANILKOVOU (SOL)</t>
  </si>
  <si>
    <t>133474</t>
  </si>
  <si>
    <t>33474</t>
  </si>
  <si>
    <t>NUTRIDRINK JUICE STYLE S PŘÍCHUTÍ JABLEČNOU</t>
  </si>
  <si>
    <t>33424</t>
  </si>
  <si>
    <t>NUTRISON ADVANCED CUBISON</t>
  </si>
  <si>
    <t>POR SOL 1X1000ML</t>
  </si>
  <si>
    <t>33526</t>
  </si>
  <si>
    <t>NUTRISON</t>
  </si>
  <si>
    <t>33750</t>
  </si>
  <si>
    <t>NUTRIDRINK CREME S PŘÍCHUTÍ VANILKOVOU</t>
  </si>
  <si>
    <t>POR SOL 4X125GM</t>
  </si>
  <si>
    <t>33751</t>
  </si>
  <si>
    <t>NUTRIDRINK CREME S PŘÍCHUTÍ ČOKOLÁDOVOU</t>
  </si>
  <si>
    <t>133322</t>
  </si>
  <si>
    <t>33322</t>
  </si>
  <si>
    <t>NUTRIDRINK S ČOKOL. PŘÍCHUTÍ</t>
  </si>
  <si>
    <t>395579</t>
  </si>
  <si>
    <t>33752</t>
  </si>
  <si>
    <t>NUTRIDRINK  CREME S PŘÍCHUTÍ LES.OVOCE</t>
  </si>
  <si>
    <t>4x125ml</t>
  </si>
  <si>
    <t>847098</t>
  </si>
  <si>
    <t>33705</t>
  </si>
  <si>
    <t>NUTRIDRINK S PŘÍCH. VANILKOVOU 200ml</t>
  </si>
  <si>
    <t>50113013</t>
  </si>
  <si>
    <t>83050</t>
  </si>
  <si>
    <t>198192</t>
  </si>
  <si>
    <t>SEFOTAK 1 G</t>
  </si>
  <si>
    <t>INJ PLV SOL 1X1GM</t>
  </si>
  <si>
    <t>96414</t>
  </si>
  <si>
    <t>GENTAMICIN LEK 80 MG/2 ML</t>
  </si>
  <si>
    <t>INJ SOL 10X2ML/80MG</t>
  </si>
  <si>
    <t>101066</t>
  </si>
  <si>
    <t>1066</t>
  </si>
  <si>
    <t>FRAMYKOIN</t>
  </si>
  <si>
    <t>UNG 1X10GM</t>
  </si>
  <si>
    <t>101076</t>
  </si>
  <si>
    <t>1076</t>
  </si>
  <si>
    <t>OPHTHALMO-FRAMYKOIN</t>
  </si>
  <si>
    <t>106264</t>
  </si>
  <si>
    <t>6264</t>
  </si>
  <si>
    <t>SUMETROLIM</t>
  </si>
  <si>
    <t>TBL 20X480MG</t>
  </si>
  <si>
    <t>111592</t>
  </si>
  <si>
    <t>11592</t>
  </si>
  <si>
    <t>METRONIDAZOL 500MG BRAUN</t>
  </si>
  <si>
    <t>INJ 10X100ML(LDPE)</t>
  </si>
  <si>
    <t>117810</t>
  </si>
  <si>
    <t>17810</t>
  </si>
  <si>
    <t>TAZOCIN 4.5 G</t>
  </si>
  <si>
    <t>INJ PLV SOL12X4.5GM</t>
  </si>
  <si>
    <t>120605</t>
  </si>
  <si>
    <t>20605</t>
  </si>
  <si>
    <t>COLOMYCIN INJEKCE 1000000 IU</t>
  </si>
  <si>
    <t>INJ PLV SOL 10X1MU</t>
  </si>
  <si>
    <t>168998</t>
  </si>
  <si>
    <t>68998</t>
  </si>
  <si>
    <t>AMPICILIN BIOTIKA</t>
  </si>
  <si>
    <t>INJ 10X1000MG</t>
  </si>
  <si>
    <t>183417</t>
  </si>
  <si>
    <t>83417</t>
  </si>
  <si>
    <t>MERONEM</t>
  </si>
  <si>
    <t>INJ SIC 10X1GM</t>
  </si>
  <si>
    <t>190778</t>
  </si>
  <si>
    <t>90778</t>
  </si>
  <si>
    <t>BACTROBAN</t>
  </si>
  <si>
    <t>DRM UNG 1X15GM</t>
  </si>
  <si>
    <t>192289</t>
  </si>
  <si>
    <t>92289</t>
  </si>
  <si>
    <t>EDICIN 0,5GM</t>
  </si>
  <si>
    <t>INJ.SICC.1X500MG</t>
  </si>
  <si>
    <t>192290</t>
  </si>
  <si>
    <t>92290</t>
  </si>
  <si>
    <t>EDICIN 1GM</t>
  </si>
  <si>
    <t>INJ.SICC.1X1GM</t>
  </si>
  <si>
    <t>194155</t>
  </si>
  <si>
    <t>94155</t>
  </si>
  <si>
    <t>ABAKTAL</t>
  </si>
  <si>
    <t>INJ 10X5ML/400MG</t>
  </si>
  <si>
    <t>847476</t>
  </si>
  <si>
    <t>112782</t>
  </si>
  <si>
    <t xml:space="preserve">GENTAMICIN B.BRAUN 3 MG/ML INFUZNÍ ROZTOK </t>
  </si>
  <si>
    <t>INF SOL 20X80ML</t>
  </si>
  <si>
    <t>131656</t>
  </si>
  <si>
    <t>CEFTAZIDIM KABI 2 GM</t>
  </si>
  <si>
    <t>INJ+INF PLV SOL 10X2GM</t>
  </si>
  <si>
    <t>103952</t>
  </si>
  <si>
    <t>3952</t>
  </si>
  <si>
    <t>AMIKIN</t>
  </si>
  <si>
    <t>INJ 1X2ML/500MG</t>
  </si>
  <si>
    <t>111706</t>
  </si>
  <si>
    <t>11706</t>
  </si>
  <si>
    <t>BISEPTOL 480</t>
  </si>
  <si>
    <t>INJ 10X5ML</t>
  </si>
  <si>
    <t>101077</t>
  </si>
  <si>
    <t>1077</t>
  </si>
  <si>
    <t>OPHTHALMO-FRAMYKOIN COMPOSITUM</t>
  </si>
  <si>
    <t>162496</t>
  </si>
  <si>
    <t>TAZIP 4 G/0,5 G</t>
  </si>
  <si>
    <t>INJ+INF PLV SOL 10X4,5GM</t>
  </si>
  <si>
    <t>113453</t>
  </si>
  <si>
    <t>PIPERACILLIN/TAZOBACTAM KABI 4 G/0,5 G</t>
  </si>
  <si>
    <t>INF PLV SOL 10X4.5GM</t>
  </si>
  <si>
    <t>160041</t>
  </si>
  <si>
    <t>LINEZOLID TEVA 2 MG/ML</t>
  </si>
  <si>
    <t>INF SOL 10X300ML/600MG II</t>
  </si>
  <si>
    <t>108807</t>
  </si>
  <si>
    <t>8807</t>
  </si>
  <si>
    <t>DALACIN C PHOSPHATE</t>
  </si>
  <si>
    <t>INJ 1X4ML 600MG</t>
  </si>
  <si>
    <t>116600</t>
  </si>
  <si>
    <t>16600</t>
  </si>
  <si>
    <t>UNASYN</t>
  </si>
  <si>
    <t>INJ PLV SOL 1X1.5GM</t>
  </si>
  <si>
    <t>153922</t>
  </si>
  <si>
    <t>53922</t>
  </si>
  <si>
    <t>CIPHIN PRO INFUSION.200MG/100ML</t>
  </si>
  <si>
    <t>INF 1X100ML/200MG</t>
  </si>
  <si>
    <t>156801</t>
  </si>
  <si>
    <t>56801</t>
  </si>
  <si>
    <t>KLACID I.V.</t>
  </si>
  <si>
    <t>PLV INF 1X500MG</t>
  </si>
  <si>
    <t>158092</t>
  </si>
  <si>
    <t>58092</t>
  </si>
  <si>
    <t>CEFAZOLIN SANDOZ 1 G</t>
  </si>
  <si>
    <t>172972</t>
  </si>
  <si>
    <t>72972</t>
  </si>
  <si>
    <t>AMOKSIKLAV 1.2GM</t>
  </si>
  <si>
    <t>INJ SIC 5X1.2GM</t>
  </si>
  <si>
    <t>176360</t>
  </si>
  <si>
    <t>76360</t>
  </si>
  <si>
    <t>ZINACEF AD INJ.</t>
  </si>
  <si>
    <t>INJ SIC 1X1.5GM</t>
  </si>
  <si>
    <t>185525</t>
  </si>
  <si>
    <t>85525</t>
  </si>
  <si>
    <t>AMOKSIKLAV</t>
  </si>
  <si>
    <t>TBL OBD 21X625MG</t>
  </si>
  <si>
    <t>166137</t>
  </si>
  <si>
    <t>66137</t>
  </si>
  <si>
    <t>OFLOXIN INF</t>
  </si>
  <si>
    <t>104234</t>
  </si>
  <si>
    <t>4234</t>
  </si>
  <si>
    <t>INJ 1X2ML 300MG</t>
  </si>
  <si>
    <t>108808</t>
  </si>
  <si>
    <t>8808</t>
  </si>
  <si>
    <t>DALACIN C</t>
  </si>
  <si>
    <t>INJ SOL 1X6ML/900MG</t>
  </si>
  <si>
    <t>126127</t>
  </si>
  <si>
    <t>26127</t>
  </si>
  <si>
    <t>TYGACIL 50 MG</t>
  </si>
  <si>
    <t>INF PLV SOL 10X50MG/5ML</t>
  </si>
  <si>
    <t>129767</t>
  </si>
  <si>
    <t>IMIPENEM/CILASTATIN KABI 500 MG/500 MG</t>
  </si>
  <si>
    <t>INF PLV SOL 10LAH/20ML</t>
  </si>
  <si>
    <t>50113014</t>
  </si>
  <si>
    <t>161980</t>
  </si>
  <si>
    <t>61980</t>
  </si>
  <si>
    <t>PIMAFUCORT</t>
  </si>
  <si>
    <t>UNG 1X15GM</t>
  </si>
  <si>
    <t>116895</t>
  </si>
  <si>
    <t>16895</t>
  </si>
  <si>
    <t>IMAZOL KRÉMPASTA</t>
  </si>
  <si>
    <t>DRM PST 1X30GM</t>
  </si>
  <si>
    <t>127429</t>
  </si>
  <si>
    <t>27429</t>
  </si>
  <si>
    <t>CANCIDAS 50 MG</t>
  </si>
  <si>
    <t>INF PLV SOL 1X50MG</t>
  </si>
  <si>
    <t>129428</t>
  </si>
  <si>
    <t>500720</t>
  </si>
  <si>
    <t>MYCAMINE 100 MG</t>
  </si>
  <si>
    <t>INF PLV SOL 1X100MG</t>
  </si>
  <si>
    <t>27431</t>
  </si>
  <si>
    <t>CANCIDAS 70 MG</t>
  </si>
  <si>
    <t>INF PLV CSL 1X70MG</t>
  </si>
  <si>
    <t>165989</t>
  </si>
  <si>
    <t>65989</t>
  </si>
  <si>
    <t>MYCOMAX « INF. INFUZ</t>
  </si>
  <si>
    <t>126902</t>
  </si>
  <si>
    <t>26902</t>
  </si>
  <si>
    <t>VFEND 200 MG</t>
  </si>
  <si>
    <t>INF PLV SOL 1X200MG</t>
  </si>
  <si>
    <t>850734</t>
  </si>
  <si>
    <t>149384</t>
  </si>
  <si>
    <t>ECALTA 100 MG</t>
  </si>
  <si>
    <t>INF PLV CSL 100MG+30ML</t>
  </si>
  <si>
    <t>50113008</t>
  </si>
  <si>
    <t>6480</t>
  </si>
  <si>
    <t>Ocplex 20ml 500 I.U. Phoenix</t>
  </si>
  <si>
    <t>97910</t>
  </si>
  <si>
    <t>Human Albumin 20% 100 ml GRIFOLS</t>
  </si>
  <si>
    <t>0129056</t>
  </si>
  <si>
    <t>ATENATIV 500 I.U. Phoenix</t>
  </si>
  <si>
    <t>0062464</t>
  </si>
  <si>
    <t>Haemocomplettan P 1000mg</t>
  </si>
  <si>
    <t>0129057</t>
  </si>
  <si>
    <t>ATENATIV</t>
  </si>
  <si>
    <t>INF PSO LQF 1X1000UT</t>
  </si>
  <si>
    <t>Oddělení int. péče chirurg. oborů</t>
  </si>
  <si>
    <t>Oddělení int. péče chirurg. oborů, JIP 51</t>
  </si>
  <si>
    <t>Lékárna - léčiva</t>
  </si>
  <si>
    <t>Lékárna - enterární výživa</t>
  </si>
  <si>
    <t>Lékárna - antibiotika</t>
  </si>
  <si>
    <t>Lékárna - antimykotika</t>
  </si>
  <si>
    <t>393 TO krevní deriváty IVLP (112 01 003)</t>
  </si>
  <si>
    <t>5931 - Oddělení int. péče chirurg. oborů, JIP 51</t>
  </si>
  <si>
    <t>N05CD08 - Midazolam</t>
  </si>
  <si>
    <t>N01AH03 - Sufentanyl</t>
  </si>
  <si>
    <t>V06XX - Potraviny pro zvláštní lékařské účely (PZLÚ)</t>
  </si>
  <si>
    <t>N01AX10 - Propofol</t>
  </si>
  <si>
    <t>J01DD01 - Cefotaxim</t>
  </si>
  <si>
    <t>H03AA01 - Levothyroxin, sodná sůl</t>
  </si>
  <si>
    <t>B01AB06 - Nadroparin</t>
  </si>
  <si>
    <t>A10AB05 - Inzulin aspart</t>
  </si>
  <si>
    <t>J02AC01 - Flukonazol</t>
  </si>
  <si>
    <t>C07AB05 - Betaxolol</t>
  </si>
  <si>
    <t>N06AB04 - Citalopram</t>
  </si>
  <si>
    <t>C08CA01 - Amlodipin</t>
  </si>
  <si>
    <t>C01BD01 - Amiodaron</t>
  </si>
  <si>
    <t>C09AA02 - Enalapril</t>
  </si>
  <si>
    <t>J02AX06 - Anidulafungin</t>
  </si>
  <si>
    <t>C10AB05 - Fenofibrát</t>
  </si>
  <si>
    <t>N05AH04 - Kvetiapin</t>
  </si>
  <si>
    <t>H01CB02 - Oktreotid</t>
  </si>
  <si>
    <t>R03DC03 - Montelukast</t>
  </si>
  <si>
    <t>H02AB04 - Methylprednisolon</t>
  </si>
  <si>
    <t>J01FF01 - Klindamycin</t>
  </si>
  <si>
    <t>J01MA01 - Ofloxacin</t>
  </si>
  <si>
    <t>J01MA02 - Ciprofloxacin</t>
  </si>
  <si>
    <t>J01XA01 - Vankomycin</t>
  </si>
  <si>
    <t>J01AA12 - Tigecyklin</t>
  </si>
  <si>
    <t>J02AC03 - Vorikonazol</t>
  </si>
  <si>
    <t>J01CR01 - Ampicilin a enzymový inhibitor</t>
  </si>
  <si>
    <t>A06AD11 - Laktulóza</t>
  </si>
  <si>
    <t>J01CR02 - Amoxicilin a enzymový inhibitor</t>
  </si>
  <si>
    <t>N03AX12 - Gabapentin</t>
  </si>
  <si>
    <t>J01DB04 - Cefazolin</t>
  </si>
  <si>
    <t>A16AA02 - Ademethionin</t>
  </si>
  <si>
    <t>J01DC02 - Cefuroxim</t>
  </si>
  <si>
    <t>R03AC02 - Salbutamol</t>
  </si>
  <si>
    <t>A02BC02 - Pantoprazol</t>
  </si>
  <si>
    <t>R06AE09 - Levocetirizin</t>
  </si>
  <si>
    <t>J01DH51 - Imipenem a enzymový inhibitor</t>
  </si>
  <si>
    <t>B01AC16 - Eptifibatid</t>
  </si>
  <si>
    <t>J01FA09 - Klarithromycin</t>
  </si>
  <si>
    <t>A02BC02</t>
  </si>
  <si>
    <t>A06AD11</t>
  </si>
  <si>
    <t>A10AB05</t>
  </si>
  <si>
    <t>A16AA02</t>
  </si>
  <si>
    <t>TRANSMETIL 500 MG INJEKCE</t>
  </si>
  <si>
    <t>INJ PSO LQF 5X500MG</t>
  </si>
  <si>
    <t>B01AB06</t>
  </si>
  <si>
    <t>INJ SOL 10X5ML/47.5KU</t>
  </si>
  <si>
    <t>B01AC16</t>
  </si>
  <si>
    <t>INTEGRILIN 0,75 MG/ML</t>
  </si>
  <si>
    <t>INF SOL 1X100ML/75MG</t>
  </si>
  <si>
    <t>C01BD01</t>
  </si>
  <si>
    <t>POR TBL NOB 30X200MG</t>
  </si>
  <si>
    <t>C07AB05</t>
  </si>
  <si>
    <t>C08CA01</t>
  </si>
  <si>
    <t>C09AA02</t>
  </si>
  <si>
    <t>INJ SOL 5X1ML/1.25MG</t>
  </si>
  <si>
    <t>C10AB05</t>
  </si>
  <si>
    <t>POR CPS DUR 30X267MG</t>
  </si>
  <si>
    <t>H01CB02</t>
  </si>
  <si>
    <t>SANDOSTATIN 0,1 MG/ML</t>
  </si>
  <si>
    <t>INJ SOL+INF CNC SOL5X1ML/0.1MG</t>
  </si>
  <si>
    <t>H02AB04</t>
  </si>
  <si>
    <t>SOLU-MEDROL 40 MG/ML</t>
  </si>
  <si>
    <t>INJ PSO LQF 40MG+1ML</t>
  </si>
  <si>
    <t>H03AA01</t>
  </si>
  <si>
    <t>POR TBL NOB 100X150RG</t>
  </si>
  <si>
    <t>POR TBL NOB 100X100RG I</t>
  </si>
  <si>
    <t>J01AA12</t>
  </si>
  <si>
    <t>J01CR01</t>
  </si>
  <si>
    <t>J01CR02</t>
  </si>
  <si>
    <t>AMOKSIKLAV 1,2 G</t>
  </si>
  <si>
    <t>INJ PLV SOL 5X1.2GM</t>
  </si>
  <si>
    <t>AMOKSIKLAV 625 MG</t>
  </si>
  <si>
    <t>POR TBL FLM 21X625MG</t>
  </si>
  <si>
    <t>J01DB04</t>
  </si>
  <si>
    <t>INJ PLV SOL 10X1GM</t>
  </si>
  <si>
    <t>J01DC02</t>
  </si>
  <si>
    <t>ZINACEF 1,5 G</t>
  </si>
  <si>
    <t>J01DD01</t>
  </si>
  <si>
    <t>J01DH51</t>
  </si>
  <si>
    <t>J01FA09</t>
  </si>
  <si>
    <t>INF PLV SOL 1X500MG</t>
  </si>
  <si>
    <t>J01FF01</t>
  </si>
  <si>
    <t>INJ SOL 1X2ML/300MG</t>
  </si>
  <si>
    <t>INJ SOL 1X4ML/600MG</t>
  </si>
  <si>
    <t>J01MA01</t>
  </si>
  <si>
    <t>INF SOL 1X100ML/200MG</t>
  </si>
  <si>
    <t>J01MA02</t>
  </si>
  <si>
    <t>CIPHIN PRO INFUSIONE 200 MG/100 ML</t>
  </si>
  <si>
    <t>J01XA01</t>
  </si>
  <si>
    <t>EDICIN 0,5 G</t>
  </si>
  <si>
    <t>INJ PLV SOL 1X500MG</t>
  </si>
  <si>
    <t>EDICIN 1 G</t>
  </si>
  <si>
    <t>J02AC01</t>
  </si>
  <si>
    <t>MYCOMAX INF</t>
  </si>
  <si>
    <t>INF SOL 100ML/200MG</t>
  </si>
  <si>
    <t>J02AC03</t>
  </si>
  <si>
    <t>J02AX06</t>
  </si>
  <si>
    <t>N01AH03</t>
  </si>
  <si>
    <t>SUFENTA FORTE</t>
  </si>
  <si>
    <t>INJ SOL 5X1ML/50RG</t>
  </si>
  <si>
    <t>N01AX10</t>
  </si>
  <si>
    <t>N03AX12</t>
  </si>
  <si>
    <t>NEURONTIN 300 MG</t>
  </si>
  <si>
    <t>POR CPS DUR 50X300MG</t>
  </si>
  <si>
    <t>N05AH04</t>
  </si>
  <si>
    <t>N05CD08</t>
  </si>
  <si>
    <t>MIDAZOLAM TORREX 1 MG/ML</t>
  </si>
  <si>
    <t>INJ SOL 10X5ML/5MG</t>
  </si>
  <si>
    <t>N06AB04</t>
  </si>
  <si>
    <t>POR TBL FLM 30X20 MG</t>
  </si>
  <si>
    <t>R03AC02</t>
  </si>
  <si>
    <t>R03DC03</t>
  </si>
  <si>
    <t>R06AE09</t>
  </si>
  <si>
    <t>V06XX</t>
  </si>
  <si>
    <t>NUTRIDRINK S PŘÍCHUTÍ ČOKOLÁDOVOU</t>
  </si>
  <si>
    <t>NUTRIDRINK S PŘÍCHUTÍ TROPICKÉHO OVOCE</t>
  </si>
  <si>
    <t>DIASIP S PŘÍCHUTÍ JAHODOVOU</t>
  </si>
  <si>
    <t>DIASIP S PŘÍCHUTÍ VANILKOVOU</t>
  </si>
  <si>
    <t>CUBITAN S PŘÍCHUTÍ VANILKOVOU</t>
  </si>
  <si>
    <t>CUBITAN S PŘÍCHUTÍ JAHODOVOU</t>
  </si>
  <si>
    <t>NUTRIDRINK S PŘÍCHUTÍ VANILKOVOU</t>
  </si>
  <si>
    <t>NUTRIDRINK CREME S PŘÍCHUTÍ LESNÍHO OVOCE</t>
  </si>
  <si>
    <t>Přehled plnění pozitivního listu - spotřeba léčivých přípravků - orientační přehled</t>
  </si>
  <si>
    <t>HVLP</t>
  </si>
  <si>
    <t>IPLP</t>
  </si>
  <si>
    <t>89301594</t>
  </si>
  <si>
    <t>Nutriční ambulance Celkem</t>
  </si>
  <si>
    <t>Oddělení int. péče chirurg. oborů Celkem</t>
  </si>
  <si>
    <t>Hrabalová Monika</t>
  </si>
  <si>
    <t>Karásková Eva</t>
  </si>
  <si>
    <t>Vrzalová Drahomíra</t>
  </si>
  <si>
    <t>Jiná</t>
  </si>
  <si>
    <t>999999</t>
  </si>
  <si>
    <t>Jiný</t>
  </si>
  <si>
    <t>Potraviny pro zvláštní lékařské účely (PZLÚ)</t>
  </si>
  <si>
    <t>33331</t>
  </si>
  <si>
    <t>NUTRIDRINK BALÍČEK 5+1</t>
  </si>
  <si>
    <t>POR SOL 6X200ML</t>
  </si>
  <si>
    <t>33530</t>
  </si>
  <si>
    <t>NUTRISON MULTI FIBRE</t>
  </si>
  <si>
    <t>33704</t>
  </si>
  <si>
    <t>DIASIP S PŘÍCHUTÍ CAPPUCCINO</t>
  </si>
  <si>
    <t>33677</t>
  </si>
  <si>
    <t>NUTRISON ENERGY MULTI FIBRE</t>
  </si>
  <si>
    <t>POR SOL 1X1500ML</t>
  </si>
  <si>
    <t>33488</t>
  </si>
  <si>
    <t>NUTRIDRINK PROTEIN S PŘÍCHUTÍ VANILKOVOU</t>
  </si>
  <si>
    <t>33489</t>
  </si>
  <si>
    <t>NUTRIDRINK PROTEIN S PŘÍCHUTÍ ČOKOLÁDOVOU</t>
  </si>
  <si>
    <t>33490</t>
  </si>
  <si>
    <t>NUTRIDRINK PROTEIN S PŘÍCHUTÍ LESNÍHO OVOCE</t>
  </si>
  <si>
    <t>1401013</t>
  </si>
  <si>
    <t>1401014</t>
  </si>
  <si>
    <t>1402001</t>
  </si>
  <si>
    <t>Alopurinol</t>
  </si>
  <si>
    <t>1711</t>
  </si>
  <si>
    <t>MILURIT 300</t>
  </si>
  <si>
    <t>POR TBL NOB 100X300MG</t>
  </si>
  <si>
    <t>Aminokyseliny včetně kombinací s polypeptidy</t>
  </si>
  <si>
    <t>88115</t>
  </si>
  <si>
    <t>KETOSTERIL</t>
  </si>
  <si>
    <t>POR TBL FLM 100</t>
  </si>
  <si>
    <t>Klindamycin</t>
  </si>
  <si>
    <t>83459</t>
  </si>
  <si>
    <t>DALACIN C 300 MG</t>
  </si>
  <si>
    <t>POR CPS DUR 100X300MG</t>
  </si>
  <si>
    <t>Léčiva k terapii onemocnění jater</t>
  </si>
  <si>
    <t>125753</t>
  </si>
  <si>
    <t>ESSENTIALE FORTE N</t>
  </si>
  <si>
    <t>POR CPS DUR 100</t>
  </si>
  <si>
    <t>Magnesium-laktát</t>
  </si>
  <si>
    <t>17992</t>
  </si>
  <si>
    <t>MAGNESII LACTICI 0,5 TBL. MEDICAMENTA</t>
  </si>
  <si>
    <t>POR TBL NOB 100X0.5GM</t>
  </si>
  <si>
    <t>Multienzymové přípravky (lipáza, proteáza apod.)</t>
  </si>
  <si>
    <t>14814</t>
  </si>
  <si>
    <t>KREON 10 000</t>
  </si>
  <si>
    <t>POR CPS ETD 50</t>
  </si>
  <si>
    <t>Omeprazol</t>
  </si>
  <si>
    <t>132531</t>
  </si>
  <si>
    <t>HELICID 20</t>
  </si>
  <si>
    <t>Organismy produkující kyselinu mléčnou</t>
  </si>
  <si>
    <t>POR SOL 1X100ML</t>
  </si>
  <si>
    <t>33327</t>
  </si>
  <si>
    <t>NUTRIDRINK NEUTRAL</t>
  </si>
  <si>
    <t>33329</t>
  </si>
  <si>
    <t>NUTRIDRINK YOGHURT S PŘÍCHUTÍ MALINA</t>
  </si>
  <si>
    <t>33342</t>
  </si>
  <si>
    <t>CUBITAN S PŘÍCHUTÍ ČOKOLÁDOVOU</t>
  </si>
  <si>
    <t>33527</t>
  </si>
  <si>
    <t>33740</t>
  </si>
  <si>
    <t>NUTRIDRINK COMPACT PROTEIN S PŘÍCHUTÍ KÁVY</t>
  </si>
  <si>
    <t>33578</t>
  </si>
  <si>
    <t>FRESUBIN 2 KCAL DRINK NEUTRAL</t>
  </si>
  <si>
    <t>POR SOL 4X200ML</t>
  </si>
  <si>
    <t>Prokinetika</t>
  </si>
  <si>
    <t>166760</t>
  </si>
  <si>
    <t>KINITO 50 MG, POTAHOVANÉ TABLETY</t>
  </si>
  <si>
    <t>POR TBL FLM 100X50MG</t>
  </si>
  <si>
    <t>*4033</t>
  </si>
  <si>
    <t>Nutriční ambulance</t>
  </si>
  <si>
    <t>Preskripce a záchyt receptů a poukazů - orientační přehled</t>
  </si>
  <si>
    <t>Přehled plnění pozitivního listu (PL) - 
   preskripce léčivých přípravků dle objemu Kč mimo PL</t>
  </si>
  <si>
    <t>A03FA - Prokinetika</t>
  </si>
  <si>
    <t>A03FA</t>
  </si>
  <si>
    <t>Přehled plnění PL - Preskripce léčivých přípravků - orientační přehled</t>
  </si>
  <si>
    <t>5921</t>
  </si>
  <si>
    <t>(prázdné)</t>
  </si>
  <si>
    <t>(prázdné) Celkem</t>
  </si>
  <si>
    <t>ZA314</t>
  </si>
  <si>
    <t>Obinadlo idealast-haft 8 cm x   4 m 9311113</t>
  </si>
  <si>
    <t>ZA593</t>
  </si>
  <si>
    <t>Tampon stáčený sterilní 20 x 20 cm / 5 ks 28003</t>
  </si>
  <si>
    <t>ZC702</t>
  </si>
  <si>
    <t>Náplast tegaderm 6,0 cm x 7,0 cm bal. á 100 ks 1624W</t>
  </si>
  <si>
    <t>ZC854</t>
  </si>
  <si>
    <t xml:space="preserve">Kompresa NT 7,5 x 7,5 cm / 2 ks sterilní 26510 </t>
  </si>
  <si>
    <t>ZI558</t>
  </si>
  <si>
    <t>Náplast curapor   7 x   5 cm 22 120 ( náhrada za cosmopor )</t>
  </si>
  <si>
    <t>ZI599</t>
  </si>
  <si>
    <t>Náplast curapor 10 x   8 cm 22121 ( náhrada za cosmopor )</t>
  </si>
  <si>
    <t>ZK760</t>
  </si>
  <si>
    <t>Krytí tegaderm + PAD na i. v. vstupy 9 x 10 cm bal. á 25 ks 3586</t>
  </si>
  <si>
    <t>ZA727</t>
  </si>
  <si>
    <t>Kontejner 30 ml sterilní 331690251750</t>
  </si>
  <si>
    <t>ZA787</t>
  </si>
  <si>
    <t>Stříkačka injekční 10 ml 4606108V</t>
  </si>
  <si>
    <t>ZA788</t>
  </si>
  <si>
    <t>Stříkačka injekční 20 ml 4606205V</t>
  </si>
  <si>
    <t>ZC769</t>
  </si>
  <si>
    <t>Hadička spojovací HS 1,8 x 450LL 606301</t>
  </si>
  <si>
    <t>ZC863</t>
  </si>
  <si>
    <t>Hadička spojovací HS 1,8 x 1800LL 606304</t>
  </si>
  <si>
    <t>ZH168</t>
  </si>
  <si>
    <t>Stříkačka tuberkulin 1 ml KD-JECT III 831786</t>
  </si>
  <si>
    <t>ZH546</t>
  </si>
  <si>
    <t>Flocare infinity pack set mobile 2778307</t>
  </si>
  <si>
    <t>ZK798</t>
  </si>
  <si>
    <t xml:space="preserve">Zátka combi modrá 4495152 </t>
  </si>
  <si>
    <t>ZA715</t>
  </si>
  <si>
    <t>Set infuzní intrafix 4062957</t>
  </si>
  <si>
    <t>ZB729</t>
  </si>
  <si>
    <t>Jehla surecan 90°G20 žlutá zahnutá bal. á 50 ks 4439937</t>
  </si>
  <si>
    <t>ZK475</t>
  </si>
  <si>
    <t>Rukavice operační latexové s pudrem ansell medigrip plus vel. 7,0 302924</t>
  </si>
  <si>
    <t>ZK476</t>
  </si>
  <si>
    <t>Rukavice operační latexové s pudrem ansell medigrip plus vel. 7,5 302925</t>
  </si>
  <si>
    <t>ZK478</t>
  </si>
  <si>
    <t>Rukavice operační latexové s pudrem ansell medigrip plus vel. 8,5 302927</t>
  </si>
  <si>
    <t>ZA318</t>
  </si>
  <si>
    <t>Náplast transpore 1,25 cm x 9,14 m 1527-0</t>
  </si>
  <si>
    <t>ZA324</t>
  </si>
  <si>
    <t>Náplast tegaderm 10,0 cm x 12,0 cm bal. á 50 ks 1626W</t>
  </si>
  <si>
    <t>ZA325</t>
  </si>
  <si>
    <t>Krytí hypro-sorb R 65 x 55 mm 002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</si>
  <si>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</si>
  <si>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</si>
  <si>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</si>
  <si>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</si>
  <si>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</si>
  <si>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</si>
  <si>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ZA418</t>
  </si>
  <si>
    <t>Náplast metaline pod TS 8 x 9 cm 23094</t>
  </si>
  <si>
    <t>ZA419</t>
  </si>
  <si>
    <t>Náplast betaplast bílá 10 cm x 5 m 510W</t>
  </si>
  <si>
    <t>ZA421</t>
  </si>
  <si>
    <t>Obinadlo elastické idealtex 10 cm x 5 m 931062</t>
  </si>
  <si>
    <t>ZA423</t>
  </si>
  <si>
    <t>Obinadlo elastické idealtex 12 cm x 5 m 9310633</t>
  </si>
  <si>
    <t>ZA444</t>
  </si>
  <si>
    <t>Tampon nesterilní stáčený 20 x 19 cm 1320300404</t>
  </si>
  <si>
    <t>ZA446</t>
  </si>
  <si>
    <t>Vata buničitá přířezy 20 x 30 cm 1230200129</t>
  </si>
  <si>
    <t>ZA451</t>
  </si>
  <si>
    <t>Náplast omniplast 5 cm x 9,2 m 9004540 (900429)</t>
  </si>
  <si>
    <t>ZA454</t>
  </si>
  <si>
    <t>Kompresa AB 10 x 10 cm / 1 ks sterilní NT savá 1230114011</t>
  </si>
  <si>
    <t>ZA459</t>
  </si>
  <si>
    <t>Kompresa AB 10 x 20 cm / 1 ks sterilní NT savá 1230114021</t>
  </si>
  <si>
    <t>ZA466</t>
  </si>
  <si>
    <t>Tyčinka vatová sterilní 14 cm 9679501</t>
  </si>
  <si>
    <t>ZA478</t>
  </si>
  <si>
    <t>Krytí actisorb plus 10,5 x 10,5 cm bal. á 10 ks SYSMAP105_1/5</t>
  </si>
  <si>
    <t>ZA505</t>
  </si>
  <si>
    <t>Krytí mepore film 15 x 20 cm bal. á 10 ks 273000-02</t>
  </si>
  <si>
    <t>ZA518</t>
  </si>
  <si>
    <t>Kompresa NT 7,5 x 7,5 cm nesterilní 06102</t>
  </si>
  <si>
    <t>ZA530</t>
  </si>
  <si>
    <t>Vložky hygienické samu 7162212</t>
  </si>
  <si>
    <t>ZA544</t>
  </si>
  <si>
    <t>Krytí inadine nepřilnavé 5,0 x 5,0 cm 1/10 SYS01481EE</t>
  </si>
  <si>
    <t>ZA547</t>
  </si>
  <si>
    <t>Krytí inadine nepřilnavé 9,5 x 9,5 cm 1/10 SYS01512EE</t>
  </si>
  <si>
    <t>ZA550</t>
  </si>
  <si>
    <t xml:space="preserve">Krytí nu-gel 25 g bal. á 6 ks MNG425 </t>
  </si>
  <si>
    <t>ZA558</t>
  </si>
  <si>
    <t>Tampon-gazin sterilní bal. á 125 ks 14962</t>
  </si>
  <si>
    <t>ZA561</t>
  </si>
  <si>
    <t>Kompresa AB 20 x 40 cm / 1 ks sterilní NT savá 1230114051</t>
  </si>
  <si>
    <t>ZA562</t>
  </si>
  <si>
    <t>Náplast cosmopor i. v. 6 x 8 cm 9008054</t>
  </si>
  <si>
    <t>ZA617</t>
  </si>
  <si>
    <t>Tampon TC-OC k ošetření dutiny ústní á 250 ks 12240</t>
  </si>
  <si>
    <t>ZA643</t>
  </si>
  <si>
    <t>Kompresa vliwasoft 10 x 20 nesterilní á 100 ks 12070</t>
  </si>
  <si>
    <t>ZA664</t>
  </si>
  <si>
    <t>Flamigel 250 ml FLAM250</t>
  </si>
  <si>
    <t>ZB084</t>
  </si>
  <si>
    <t>Náplast transpore 2,50 cm x 9,14 m 1527-1</t>
  </si>
  <si>
    <t>ZB404</t>
  </si>
  <si>
    <t>Náplast cosmos 8 cm x 1m 5403353</t>
  </si>
  <si>
    <t>ZC100</t>
  </si>
  <si>
    <t>Vata buničitá dělená 2 role / 500 ks 40 x 50 mm 1230200310</t>
  </si>
  <si>
    <t>ZC845</t>
  </si>
  <si>
    <t>Kompresa NT 10 x 20 cm / 5 ks sterilní 26621</t>
  </si>
  <si>
    <t>ZC857</t>
  </si>
  <si>
    <t>Krytí mastný tyl grassolind 10 x 20 cm bal. á 30 ks 4993368</t>
  </si>
  <si>
    <t>ZC885</t>
  </si>
  <si>
    <t>Náplast omnifix E 10 cm x 10 m 900650</t>
  </si>
  <si>
    <t>ZD482</t>
  </si>
  <si>
    <t>Sprej Opsite 240 ml,á 12 ks 66004980</t>
  </si>
  <si>
    <t>ZD631</t>
  </si>
  <si>
    <t>Krytí pharmafoam-trach. s výřezem 8 x 8 cm bal. á 10 ks P-Tracheo 808</t>
  </si>
  <si>
    <t>ZE748</t>
  </si>
  <si>
    <t>Krytí melgisorb Ag alginátové absorpční 10 x 10 cm bal. á 10 ks 256100-00</t>
  </si>
  <si>
    <t>ZH012</t>
  </si>
  <si>
    <t>Náplast micropore 2,50 cm x 5,00 m 840W</t>
  </si>
  <si>
    <t>ZI600</t>
  </si>
  <si>
    <t>Náplast curapor 10 x 15 cm 22122 ( náhrada za cosmopor )</t>
  </si>
  <si>
    <t>ZI601</t>
  </si>
  <si>
    <t>Náplast curapor 10 x 20 cm 22123 ( náhrada za cosmopor )</t>
  </si>
  <si>
    <t>ZI974</t>
  </si>
  <si>
    <t>Pěna střední V.A.C M8275052</t>
  </si>
  <si>
    <t>ZA437</t>
  </si>
  <si>
    <t>Obinadlo pruban č.14 427314</t>
  </si>
  <si>
    <t>ZA442</t>
  </si>
  <si>
    <t>Steh náplasťový Steri-strip 6 x 75 mm bal. á 50 ks R1541</t>
  </si>
  <si>
    <t>ZA622</t>
  </si>
  <si>
    <t>Kompresa NT   5 x  5 cm nesterilní 06101</t>
  </si>
  <si>
    <t>ZK087</t>
  </si>
  <si>
    <t>Krém cavilon ochranný bariérový á 28 g bal. á 12 ks 3391E</t>
  </si>
  <si>
    <t>ZA472</t>
  </si>
  <si>
    <t>Krytí melgisorb alginátové 10 x 10 cm bal. á 10 ks 251100</t>
  </si>
  <si>
    <t>ZF042</t>
  </si>
  <si>
    <t>Krytí mastný tyl jelonet 10 x 10 cm á 10 ks 7404</t>
  </si>
  <si>
    <t>ZA005</t>
  </si>
  <si>
    <t>Obinadlo pruban č.  7 427307</t>
  </si>
  <si>
    <t>ZD819</t>
  </si>
  <si>
    <t xml:space="preserve">Krytí debrisoft 10 x 10 cm bal. á 5 ks 31222   </t>
  </si>
  <si>
    <t>ZA688</t>
  </si>
  <si>
    <t>Sáček močový curity s hod.diurézou 400 ml hadička 150 cm 8150</t>
  </si>
  <si>
    <t>ZA691</t>
  </si>
  <si>
    <t>Rampa 3 kohouty discofix 16600C/4085434/</t>
  </si>
  <si>
    <t>ZA705</t>
  </si>
  <si>
    <t>Hadička spojovací HS 1,8 x 450UNIV</t>
  </si>
  <si>
    <t>ZA713</t>
  </si>
  <si>
    <t>Měřič žilního tlaku 01 646992</t>
  </si>
  <si>
    <t>ZA728</t>
  </si>
  <si>
    <t>Lopatka lékařská nesterilní 1320100655</t>
  </si>
  <si>
    <t>ZA738</t>
  </si>
  <si>
    <t>Filtr mini spike zelený 4550242</t>
  </si>
  <si>
    <t>ZA762</t>
  </si>
  <si>
    <t>Pohár na moč 100 ml UH 712252</t>
  </si>
  <si>
    <t>ZA763</t>
  </si>
  <si>
    <t>Pohár na moč 250 ml UH 712253</t>
  </si>
  <si>
    <t>ZA789</t>
  </si>
  <si>
    <t>Stříkačka injekční   2 ml 4606027V</t>
  </si>
  <si>
    <t>ZA790</t>
  </si>
  <si>
    <t>Stříkačka injekční   5 ml 4606051V</t>
  </si>
  <si>
    <t>ZA812</t>
  </si>
  <si>
    <t>Uzávěr do katetrů 4435001</t>
  </si>
  <si>
    <t>ZA831</t>
  </si>
  <si>
    <t>Rourka rektální CH20 délka 40 cm 19-20.100</t>
  </si>
  <si>
    <t>ZA860</t>
  </si>
  <si>
    <t>Spojka dvojitá otočná čistá á 20 ks 23412</t>
  </si>
  <si>
    <t>ZA883</t>
  </si>
  <si>
    <t>Rourka rektální CH18 délka 40 cm 19-18.100</t>
  </si>
  <si>
    <t>ZA884</t>
  </si>
  <si>
    <t>Rourka rektální CH22 délka 40 cm 19-22.100</t>
  </si>
  <si>
    <t>ZA964</t>
  </si>
  <si>
    <t>Stříkačka janett 60 ml vyplachovací MRG564</t>
  </si>
  <si>
    <t>ZA967</t>
  </si>
  <si>
    <t>Flocare set 800 pump pro enter.vaky-569886  A4323102</t>
  </si>
  <si>
    <t>ZB103</t>
  </si>
  <si>
    <t>Láhev k odsávačce flovac 2l hadice 1,8 m 000-036-021</t>
  </si>
  <si>
    <t>ZB249</t>
  </si>
  <si>
    <t>Sáček močový s křížovou výpustí sterilní 2000 ml ZAR-TNU201601</t>
  </si>
  <si>
    <t>ZB361</t>
  </si>
  <si>
    <t>Láhev respiflo 1000 ml 21000</t>
  </si>
  <si>
    <t>ZB477</t>
  </si>
  <si>
    <t>Kohout trojcestný lopez valve AA-011-M9000 S</t>
  </si>
  <si>
    <t>ZB487</t>
  </si>
  <si>
    <t>Peán rovný Rochester 16 cm P00662</t>
  </si>
  <si>
    <t>ZB488</t>
  </si>
  <si>
    <t>Sprej cavilon 28 ml bal. á 12 ks 3346E</t>
  </si>
  <si>
    <t>ZB543</t>
  </si>
  <si>
    <t>Souprava odběrová tracheální G05206</t>
  </si>
  <si>
    <t>ZB598</t>
  </si>
  <si>
    <t>Spojka přímá symetrická 7 x 7 mm 120 430</t>
  </si>
  <si>
    <t>ZB724</t>
  </si>
  <si>
    <t>Kapilára sedimentační kalibrovaná 727111</t>
  </si>
  <si>
    <t>ZB751</t>
  </si>
  <si>
    <t>Hadice PVC 8/12 á 30 m P00468</t>
  </si>
  <si>
    <t>ZB754</t>
  </si>
  <si>
    <t>Zkumavka černá 2 ml 454073</t>
  </si>
  <si>
    <t>ZB756</t>
  </si>
  <si>
    <t>Zkumavka 3 ml K3 edta fialová 454086</t>
  </si>
  <si>
    <t>ZB757</t>
  </si>
  <si>
    <t>Zkumavka 6 ml K3 edta fialová 456036</t>
  </si>
  <si>
    <t>ZB759</t>
  </si>
  <si>
    <t>Zkumavka červená 8 ml gel 455071</t>
  </si>
  <si>
    <t>ZB762</t>
  </si>
  <si>
    <t>Zkumavka červená 6 ml 456092</t>
  </si>
  <si>
    <t>ZB764</t>
  </si>
  <si>
    <t>Zkumavka zelená 4 ml 454051</t>
  </si>
  <si>
    <t>ZB767</t>
  </si>
  <si>
    <t>Jehla vakuová 226/38 mm černá 450075</t>
  </si>
  <si>
    <t>ZB770</t>
  </si>
  <si>
    <t>Držák jehly excentrický Holdex 450263</t>
  </si>
  <si>
    <t>ZB771</t>
  </si>
  <si>
    <t>Držák jehly základní 450201</t>
  </si>
  <si>
    <t>ZB773</t>
  </si>
  <si>
    <t>Zkumavka šedá-glykemie 454085</t>
  </si>
  <si>
    <t>ZB774</t>
  </si>
  <si>
    <t>Zkumavka červená 5 ml gel 456071</t>
  </si>
  <si>
    <t>ZB775</t>
  </si>
  <si>
    <t>Zkumavka koagulace 4 ml modrá 454328</t>
  </si>
  <si>
    <t>ZB780</t>
  </si>
  <si>
    <t>Kontejner 120 ml sterilní 331690250350</t>
  </si>
  <si>
    <t>ZB804</t>
  </si>
  <si>
    <t>Regulátor průtoku infúze dosicair DF 100</t>
  </si>
  <si>
    <t>ZB893</t>
  </si>
  <si>
    <t>Stříkačka inzulinová omnican 0,5 ml 100j s jehlou 30 G 9151125S</t>
  </si>
  <si>
    <t>ZB948</t>
  </si>
  <si>
    <t>Mikronebulizér MicroMist bal. á 50 ks 41891</t>
  </si>
  <si>
    <t>ZC059</t>
  </si>
  <si>
    <t>Láhev redon drenofast 400 ml-kompletní bal. á 40 ks 28 400</t>
  </si>
  <si>
    <t>ZC074</t>
  </si>
  <si>
    <t>Nebulizátor Typ 753 pro dospělé 01.000.08.753</t>
  </si>
  <si>
    <t>ZC366</t>
  </si>
  <si>
    <t>Převodník tlakový PX260 bal. 150 cm bal. á 20 ks T100209A</t>
  </si>
  <si>
    <t>ZC506</t>
  </si>
  <si>
    <t>Kompresa NT 10 x 10 cm / 5 ks sterilní 1325020275</t>
  </si>
  <si>
    <t>ZC648</t>
  </si>
  <si>
    <t>Elektroda EKG s gelem ovál 51 x 33 mm pro dospělé H-108006</t>
  </si>
  <si>
    <t>ZC738</t>
  </si>
  <si>
    <t>Husí krk Expandi-flex 22362</t>
  </si>
  <si>
    <t>ZC743</t>
  </si>
  <si>
    <t>Katetr močový tiemann CH14 s balonkem bal. á 12 ks K02-9814-02</t>
  </si>
  <si>
    <t>ZC755</t>
  </si>
  <si>
    <t>Čepelka skalpelová 22 BB522</t>
  </si>
  <si>
    <t>ZD650</t>
  </si>
  <si>
    <t>Aquapak - sterilní voda  340 ml s adaptérem bal. á 20 ks 400340</t>
  </si>
  <si>
    <t>ZD808</t>
  </si>
  <si>
    <t>Kanyla vasofix 22G modrá safety 4269098S-01</t>
  </si>
  <si>
    <t>ZD809</t>
  </si>
  <si>
    <t>Kanyla vasofix 20G růžová safety 4269110S-01</t>
  </si>
  <si>
    <t>ZD979</t>
  </si>
  <si>
    <t>Kanyla vasofix 17G bílá safety 4269152S-01</t>
  </si>
  <si>
    <t>ZE159</t>
  </si>
  <si>
    <t>Nádoba na kontaminovaný odpad 2 l 15-0003</t>
  </si>
  <si>
    <t>ZF018</t>
  </si>
  <si>
    <t>Kanyla vasofix 16G šedá safety 4269179S-01</t>
  </si>
  <si>
    <t>ZF233</t>
  </si>
  <si>
    <t>Stříkačka arteriální 3 ml line-draw L/S á 200 ks 4043E</t>
  </si>
  <si>
    <t>ZG515</t>
  </si>
  <si>
    <t>Zkumavka močová vacuette 10,5 ml bal. á 50 ks 331980455007</t>
  </si>
  <si>
    <t>ZG893</t>
  </si>
  <si>
    <t>Rouška prošívaná na popáleniny 40 x 60 cm karton á 30 ks 28510</t>
  </si>
  <si>
    <t>ZH491</t>
  </si>
  <si>
    <t>Stříkačka 50 - 60 ml LL MRG00711</t>
  </si>
  <si>
    <t>ZH493</t>
  </si>
  <si>
    <t>Katetr močový foley CH16 180605-000160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</si>
  <si>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</si>
  <si>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</si>
  <si>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</si>
  <si>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</si>
  <si>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ZI182</t>
  </si>
  <si>
    <t>Zkumavka + aplikátor s chem.stabilizátorem UriSwab žlutá 802CE.A</t>
  </si>
  <si>
    <t>ZI436</t>
  </si>
  <si>
    <t>Brýle kyslíkové americký typ upevnění svorkou SOFT H-103106</t>
  </si>
  <si>
    <t>ZJ310</t>
  </si>
  <si>
    <t>Katetr močový foley CH12 180605-000120</t>
  </si>
  <si>
    <t>ZJ659</t>
  </si>
  <si>
    <t>Kohout trojcestný s bezjehlovým konektorem Discofix C bal. á 100 ks 16494CSF</t>
  </si>
  <si>
    <t>ZJ695</t>
  </si>
  <si>
    <t>Sonda žaludeční CH14 1200 mm s RTG linkou bal. á 50 ks 412014</t>
  </si>
  <si>
    <t>ZJ696</t>
  </si>
  <si>
    <t>Sonda žaludeční CH18 1200 mm s RTG linkou bal. á 30 ks 412018</t>
  </si>
  <si>
    <t>ZK179</t>
  </si>
  <si>
    <t>Sonda žaludeční CH12 1200 mm s RTG linkou bal. á 10 ks 412012</t>
  </si>
  <si>
    <t>ZK435</t>
  </si>
  <si>
    <t>Rampa 5 kohouty discofix bal. á 50 ks 4085450</t>
  </si>
  <si>
    <t>ZK799</t>
  </si>
  <si>
    <t>Zátka combi červená 4495101</t>
  </si>
  <si>
    <t>ZK976</t>
  </si>
  <si>
    <t>Cévka odsávací CH12 s přerušovačem sání P01171a</t>
  </si>
  <si>
    <t>ZK977</t>
  </si>
  <si>
    <t>Cévka odsávací CH14 s přerušovačem sání P01173a</t>
  </si>
  <si>
    <t>ZK978</t>
  </si>
  <si>
    <t>Cévka odsávací CH16 s přerušovačem sání P01175a</t>
  </si>
  <si>
    <t>ZK979</t>
  </si>
  <si>
    <t>Cévka odsávací CH18 s přerušovačem sání P01177a</t>
  </si>
  <si>
    <t>ZA279</t>
  </si>
  <si>
    <t>Kanyla TS 7,0 s manžetou 100/800/070</t>
  </si>
  <si>
    <t>ZA799</t>
  </si>
  <si>
    <t>Trokar hrudní redax F20 s ostrým koncem bal. á 10 ks 11220</t>
  </si>
  <si>
    <t>ZA840</t>
  </si>
  <si>
    <t>Kanyla ET 9,5 s manž. bal. á 10 ks 9495E cen.nab. CZ140004</t>
  </si>
  <si>
    <t>ZB038</t>
  </si>
  <si>
    <t>Medisize hydrovent S filt./HM</t>
  </si>
  <si>
    <t>ZB056</t>
  </si>
  <si>
    <t>Kanyla TS 8,5 s manžetou bal. á 10 ks 100/800/085</t>
  </si>
  <si>
    <t>ZB105</t>
  </si>
  <si>
    <t>Kanyla TS 7,5 s manžetou 100/800/075</t>
  </si>
  <si>
    <t>ZB233</t>
  </si>
  <si>
    <t>Maska anesteziologická obličej.č.5 7095000</t>
  </si>
  <si>
    <t>ZB298</t>
  </si>
  <si>
    <t>Trokar hrudní F16 bal. á 10 ks 8888561035</t>
  </si>
  <si>
    <t>ZF512</t>
  </si>
  <si>
    <t>Páska bepa clip vario pro TS kanylu 30/V á 6 ks NKS:200602</t>
  </si>
  <si>
    <t>ZI344</t>
  </si>
  <si>
    <t>Sáček vypouštěcí natura pr. 70 mm ,á 10 ks, 416423</t>
  </si>
  <si>
    <t>ZI347</t>
  </si>
  <si>
    <t>Podložka natura flexibilní pr. 57 mm, á 5 ks, 125903</t>
  </si>
  <si>
    <t>ZL671</t>
  </si>
  <si>
    <t>Sonda Freka CH/FR 12, 120cm LL 7981811</t>
  </si>
  <si>
    <t>ZA978</t>
  </si>
  <si>
    <t>Houbička odsávací s reg. vakua 2201</t>
  </si>
  <si>
    <t>ZL688</t>
  </si>
  <si>
    <t>Proužky Accu-Check Inform IIStrip 50 EU1 á 50 ks 05942861</t>
  </si>
  <si>
    <t>ZL689</t>
  </si>
  <si>
    <t>Roztok Accu-Check Performa Int´l Controls 1+2 level 04861736</t>
  </si>
  <si>
    <t>ZL781</t>
  </si>
  <si>
    <t>Konektor bezjehlový K-NECT 7 denní M79400845</t>
  </si>
  <si>
    <t>ZL952</t>
  </si>
  <si>
    <t>Stříkačka injekční 50ml LL light protected,bal.á 60 ks, 2022920A</t>
  </si>
  <si>
    <t>ZL953</t>
  </si>
  <si>
    <t>Rampa 3 cestná - 3 x konektor no PVC V696423</t>
  </si>
  <si>
    <t>ZB100</t>
  </si>
  <si>
    <t>Sáček draina S vision H28566U</t>
  </si>
  <si>
    <t>ZL951</t>
  </si>
  <si>
    <t xml:space="preserve">Hadička prodlužovací PVC 150 cm pro světlocitlivé léky NO DOP bal. á 20  ks V686423 </t>
  </si>
  <si>
    <t>ZL954</t>
  </si>
  <si>
    <t>Rampa 5 cestná - 5 x konektor no PVC V696425</t>
  </si>
  <si>
    <t>ZF751</t>
  </si>
  <si>
    <t>Maska anesteziologická č.6 7096</t>
  </si>
  <si>
    <t>ZB899</t>
  </si>
  <si>
    <t>Senzor spirologický bal. á 5 ks 8403735-03</t>
  </si>
  <si>
    <t>ZI346</t>
  </si>
  <si>
    <t>Podložka natura flexibilní pr. 70 mm, á 5 ks, 125904</t>
  </si>
  <si>
    <t>ZD534</t>
  </si>
  <si>
    <t>Okruh dýchací compact II 2,0 m 2151000/W</t>
  </si>
  <si>
    <t>ZA685</t>
  </si>
  <si>
    <t>Sonda pro tamponádu jícnu č.7 594802</t>
  </si>
  <si>
    <t>ZB389</t>
  </si>
  <si>
    <t xml:space="preserve">Kanyla ET 9,0 s manžetou bal. á 10 ks 9590E cen.nab. CZ140004 </t>
  </si>
  <si>
    <t>ZC081</t>
  </si>
  <si>
    <t>Močoměr bez teploměru 710363</t>
  </si>
  <si>
    <t>ZD933</t>
  </si>
  <si>
    <t>Listerine 1,0 l 450669</t>
  </si>
  <si>
    <t>ZC637</t>
  </si>
  <si>
    <t>Arteriofix bal. á 20 ks 20G 5206324</t>
  </si>
  <si>
    <t>ZD827</t>
  </si>
  <si>
    <t>Katetr CVC 3 lumen certofix trio SB720 bal. á 10 ks 4163206E</t>
  </si>
  <si>
    <t>ZD909</t>
  </si>
  <si>
    <t>Katetr CVC 2 lumen certofix duo 720 á 10 ks 4162200E</t>
  </si>
  <si>
    <t>ZA206</t>
  </si>
  <si>
    <t>Set perkutální PEG-24-PULL-I-S</t>
  </si>
  <si>
    <t>ZB715</t>
  </si>
  <si>
    <t>Set kangaro univerzální bal. á 30 ks 777304</t>
  </si>
  <si>
    <t>ZE079</t>
  </si>
  <si>
    <t>Set transfúzní non PVC s odvzdušněním a bakteriálním filtrem ZAR-I-TS</t>
  </si>
  <si>
    <t>ZA832</t>
  </si>
  <si>
    <t>Jehla injekční 0,9 x   40 mm žlutá 4657519</t>
  </si>
  <si>
    <t>ZA833</t>
  </si>
  <si>
    <t>Jehla injekční 0,8 x   40 mm zelená 4657527</t>
  </si>
  <si>
    <t>ZA834</t>
  </si>
  <si>
    <t>Jehla injekční 0,7 x   40 mm černá 4660021</t>
  </si>
  <si>
    <t>ZA835</t>
  </si>
  <si>
    <t>Jehla injekční 0,6 x   25 mm modrá 4657667</t>
  </si>
  <si>
    <t>ZA836</t>
  </si>
  <si>
    <t>Jehla injekční 0,9 x   70 mm žlutá</t>
  </si>
  <si>
    <t>ZB481</t>
  </si>
  <si>
    <t>Jehla chirurgická B13</t>
  </si>
  <si>
    <t>ZB556</t>
  </si>
  <si>
    <t>Jehla injekční 1,2 x   40 mm růžová 4665120</t>
  </si>
  <si>
    <t>ZB768</t>
  </si>
  <si>
    <t>Jehla vakuová 216/38 mm zelená 450076</t>
  </si>
  <si>
    <t>ZI493</t>
  </si>
  <si>
    <t>Rukavice vinyl bez p. XL 01260-XL</t>
  </si>
  <si>
    <t>ZI758</t>
  </si>
  <si>
    <t>Rukavice vinyl bez p. M á 100 ks EFEKTVR03</t>
  </si>
  <si>
    <t>ZL071</t>
  </si>
  <si>
    <t>Rukavice operační gammex bez pudru PF EnLite vel. 6,5 353383</t>
  </si>
  <si>
    <t>ZL949</t>
  </si>
  <si>
    <t>Rukavice nitril promedica bez p. L bílé 6N á 100 ks 9399W4</t>
  </si>
  <si>
    <t>ZL948</t>
  </si>
  <si>
    <t>Rukavice nitril promedica bez p. M bílé 6N á 100 ks 9399W3</t>
  </si>
  <si>
    <t>DG382</t>
  </si>
  <si>
    <t>Bactec Plus Aerobic</t>
  </si>
  <si>
    <t>DG385</t>
  </si>
  <si>
    <t>Bactec Plus Anaerobic</t>
  </si>
  <si>
    <t>DG395</t>
  </si>
  <si>
    <t>Diagnostická souprava ABO set monoklonální na 30</t>
  </si>
  <si>
    <t>DG416</t>
  </si>
  <si>
    <t>S1 Rinse Solution, 2 Pcs</t>
  </si>
  <si>
    <t>DG417</t>
  </si>
  <si>
    <t>S2 Fluid pack, 1 Pc</t>
  </si>
  <si>
    <t>DG418</t>
  </si>
  <si>
    <t>S3 Fluid pack, 1 Pc</t>
  </si>
  <si>
    <t>DG426</t>
  </si>
  <si>
    <t>Clot Catcher 250 Pc</t>
  </si>
  <si>
    <t>DG419</t>
  </si>
  <si>
    <t>W Waste container, 2 Pcs</t>
  </si>
  <si>
    <t>Oddělení int. péče chirurg. oborů, Nutriční ambula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</si>
  <si>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</si>
  <si>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</si>
  <si>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</si>
  <si>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</si>
  <si>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</si>
  <si>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</si>
  <si>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</si>
  <si>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</si>
  <si>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</si>
  <si>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</si>
  <si>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50115040</t>
  </si>
  <si>
    <t>505 SZM laboratorní sklo a materiál (112 02 140)</t>
  </si>
  <si>
    <t>50115090</t>
  </si>
  <si>
    <t>509 SZM zubolékařský (112 02 110)</t>
  </si>
  <si>
    <t>50115070</t>
  </si>
  <si>
    <t>513 SZM katetry, stenty, porty (112 02 101)</t>
  </si>
  <si>
    <t>50115020</t>
  </si>
  <si>
    <t>Diagnostika (132 03 001)</t>
  </si>
  <si>
    <t>Spotřeba zdravotnického materiálu - orientační přehled</t>
  </si>
  <si>
    <t>ON Data</t>
  </si>
  <si>
    <t>708 - Pracoviště anesteziologicko - resuscitační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</si>
  <si>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</si>
  <si>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</si>
  <si>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</si>
  <si>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</si>
  <si>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708</t>
  </si>
  <si>
    <t>V</t>
  </si>
  <si>
    <t>06415</t>
  </si>
  <si>
    <t>EDUKACE NUTRIČNÍM TERAPEUTEM</t>
  </si>
  <si>
    <t>09511</t>
  </si>
  <si>
    <t>MINIMÁLNÍ KONTAKT LÉKAŘE S PACIENTEM</t>
  </si>
  <si>
    <t>78022</t>
  </si>
  <si>
    <t>CÍLENÉ VYŠETŘENÍ ANESTEZIOLOGEM</t>
  </si>
  <si>
    <t>09543</t>
  </si>
  <si>
    <t>REGULAČNÍ POPLATEK ZA NÁVŠTĚVU -- POPLATEK UHRAZEN</t>
  </si>
  <si>
    <t>06419</t>
  </si>
  <si>
    <t>PROPOČET NUTRIČNÍ BILANCE (SW NÁSTROJEM)</t>
  </si>
  <si>
    <t>11513</t>
  </si>
  <si>
    <t>PUMPOU APLIKOVANÁ ENTERÁLNÍ VÝŽIVA PROVÁDĚNÁ VE VL</t>
  </si>
  <si>
    <t>11511</t>
  </si>
  <si>
    <t>PARENTERÁLNÍ VÝŽIVA PROVÁDĚNÁ VE VLASTNÍM SOCIÁLNÍ</t>
  </si>
  <si>
    <t>Zdravotní výkony + ZUM + ZULP vykázané na pracovišti v rámci ambulantní péče - orientační přehled</t>
  </si>
  <si>
    <t>01 - I. INTERNÍ  KLINIKA</t>
  </si>
  <si>
    <t>02 - II. INTERNÍ  KLINIKA</t>
  </si>
  <si>
    <t>03 - III. INTERNÍ  KLINIKA</t>
  </si>
  <si>
    <t>04 - I. CHIRURGICKÁ KLINIKA</t>
  </si>
  <si>
    <t>21 - ONKOLOGICKÁ KLINIKA</t>
  </si>
  <si>
    <t>25 - KLINIKA ÚSTNÍ, ČELISTNÍ A OBLIČEJOVÉ CHIRURGIE</t>
  </si>
  <si>
    <t>30 - ODDĚLENÍ GERIATRIE</t>
  </si>
  <si>
    <t>31 - TRAUMATOLOGICKÉ ODDĚLENÍ</t>
  </si>
  <si>
    <t>32 - HEMATO-ONKOLOGICKÁ KLINIKA</t>
  </si>
  <si>
    <t>59 - ODD. INTENZIVNÍ PÉČE CHIRURGICKÝCH OBORŮ</t>
  </si>
  <si>
    <t>01</t>
  </si>
  <si>
    <t>02</t>
  </si>
  <si>
    <t>03</t>
  </si>
  <si>
    <t>04</t>
  </si>
  <si>
    <t>21</t>
  </si>
  <si>
    <t>25</t>
  </si>
  <si>
    <t>30</t>
  </si>
  <si>
    <t>31</t>
  </si>
  <si>
    <t>32</t>
  </si>
  <si>
    <t>501</t>
  </si>
  <si>
    <t>15401</t>
  </si>
  <si>
    <t>ESOFAGOGASTRODUODENOSKOPIE</t>
  </si>
  <si>
    <t>15445</t>
  </si>
  <si>
    <t xml:space="preserve">POUŽITÍ VIDEOENDOSKOPU PŘI ENDOSKOPICKÉM VÝKONU Á </t>
  </si>
  <si>
    <t>15960</t>
  </si>
  <si>
    <t>ENDOSKOPICKÁ GASTROSTOMIE - PŘIČTI K CENĚ ZÁKLADNÍ</t>
  </si>
  <si>
    <t>5F1</t>
  </si>
  <si>
    <t>51353</t>
  </si>
  <si>
    <t>PUNKCE, ODSÁTÍ TENKÉHO STŘEVA, MANIPULACE SE STŘEV</t>
  </si>
  <si>
    <t>51359</t>
  </si>
  <si>
    <t>RESEKCE A ANASTOMÓZA TLUSTÉHO STŘEVA NEBO REKTOSIG</t>
  </si>
  <si>
    <t>GASTROTOMIE, DUODENOTOMIE NEBO JEDNODUCHÁ PYLOROPL</t>
  </si>
  <si>
    <t>51388</t>
  </si>
  <si>
    <t>GASTROENTEROANASTOMÓZA  NEBO RESEKCE A (NEBO) ANAS</t>
  </si>
  <si>
    <t>51389</t>
  </si>
  <si>
    <t xml:space="preserve">KMENOVÁ A SELEKTIVNÍ  PŘÍP. PROXIMÁLNÍ SELEKTIVNÍ </t>
  </si>
  <si>
    <t>51392</t>
  </si>
  <si>
    <t>RELAPAROTOMIE PRO POOPERAČNÍ KRVÁCENÍ, PERITONITID</t>
  </si>
  <si>
    <t>51393</t>
  </si>
  <si>
    <t>EXPLORATIVNÍ LAPAROTOMIE</t>
  </si>
  <si>
    <t>51394</t>
  </si>
  <si>
    <t>UZÁVĚR STĚNY BŘIŠNÍ PO EVISCERACI</t>
  </si>
  <si>
    <t>51397</t>
  </si>
  <si>
    <t>OTEVŘENÁ LAVÁŽ PERITONEÁLNÍ DUTINY, SEC. LOOK, LAP</t>
  </si>
  <si>
    <t>51623</t>
  </si>
  <si>
    <t>POUŽITÍ ULTRAZVUKOVÉHO SKALPELU</t>
  </si>
  <si>
    <t>51819</t>
  </si>
  <si>
    <t>OŠETŘENÍ A OBVAZ ROZSÁHLÉ RÁNY V CELKOVÉ ANESTEZII</t>
  </si>
  <si>
    <t>57113</t>
  </si>
  <si>
    <t>TORAKOSKOPIE KLASICKÁ LÉČEBNÁ</t>
  </si>
  <si>
    <t>57239</t>
  </si>
  <si>
    <t>UZAVŘENÍ BRONCHOPLEURÁLNÍ PÍŠTĚLE</t>
  </si>
  <si>
    <t>57253</t>
  </si>
  <si>
    <t>PLEUREKTOMIE - ABRAZE</t>
  </si>
  <si>
    <t>61119</t>
  </si>
  <si>
    <t>SUTURA PERIFERNÍHO NERVU MIKROCHIRURGICKOU TECHNIK</t>
  </si>
  <si>
    <t>61143</t>
  </si>
  <si>
    <t>ODBĚR CÉVNÍHO ŠTĚPU MALÉHO KALIBRU (PRO MIKROCHIRU</t>
  </si>
  <si>
    <t>71717</t>
  </si>
  <si>
    <t>TRACHEOTOMIE</t>
  </si>
  <si>
    <t>76479</t>
  </si>
  <si>
    <t>NEFREKTOMIE TRANSPERITONEÁLNÍ</t>
  </si>
  <si>
    <t>07546</t>
  </si>
  <si>
    <t>(DRG) OTEVŘENÝ PŘÍSTUP</t>
  </si>
  <si>
    <t>07545</t>
  </si>
  <si>
    <t>(DRG) DRUHÁ A DALŠÍ REOPERACE</t>
  </si>
  <si>
    <t>07551</t>
  </si>
  <si>
    <t>(DRG) HYBRIDNÍ PŘÍSTUP</t>
  </si>
  <si>
    <t>07341</t>
  </si>
  <si>
    <t>(VZP) BYPASS AORTO - FEMORÁLNÍ OBOUSTRANNÝ PROTETI</t>
  </si>
  <si>
    <t>07390</t>
  </si>
  <si>
    <t>(VZP) EMBOLECTOMIE A.ILIACA</t>
  </si>
  <si>
    <t>07351</t>
  </si>
  <si>
    <t>(VZP) TROMBECTOMIE BŘIŠNÍ AORTY</t>
  </si>
  <si>
    <t>09567</t>
  </si>
  <si>
    <t>(VZP) ZÁKROK NA LEVÉ STRANĚ</t>
  </si>
  <si>
    <t>07420</t>
  </si>
  <si>
    <t>(VZP) ČÁSTEČNÉ ODSTRANĚNÍ PROTETICKÉHO MATERIÁLU V</t>
  </si>
  <si>
    <t>07320</t>
  </si>
  <si>
    <t>(VZP) BYPASS NEBO NÁHRADA TEPEN HORNÍCH KONČETIN A</t>
  </si>
  <si>
    <t>90890</t>
  </si>
  <si>
    <t>(VZP) PUNKCE TRACHEY SE ZAVEDENÍM KANYLY</t>
  </si>
  <si>
    <t>07543</t>
  </si>
  <si>
    <t>(DRG) PRIMOOPERACE</t>
  </si>
  <si>
    <t>51396</t>
  </si>
  <si>
    <t>PUNKCE DUTINY BŘIŠNÍ S DRENÁŽÍ EV. LAVAŽÍ</t>
  </si>
  <si>
    <t>51371</t>
  </si>
  <si>
    <t>CHOLECYSTEKTOMIE</t>
  </si>
  <si>
    <t>61115</t>
  </si>
  <si>
    <t xml:space="preserve">REVIZE, EXCIZE A SUTURA PORANĚNÍ KŮŽE A PODKOŽÍ A </t>
  </si>
  <si>
    <t>54810</t>
  </si>
  <si>
    <t>PEROPERAČNÍ ANGIOGRAFIE</t>
  </si>
  <si>
    <t>57251</t>
  </si>
  <si>
    <t>KLÍNOVITÁ RESEKCE PLIC NEBO ENUKLEACE TUMORU</t>
  </si>
  <si>
    <t>54190</t>
  </si>
  <si>
    <t>OSTATNÍ REKONSTRUKCE TEPEN A BY-PASSY</t>
  </si>
  <si>
    <t>51825</t>
  </si>
  <si>
    <t>SEKUNDÁRNÍ SUTURA RÁNY</t>
  </si>
  <si>
    <t>51850</t>
  </si>
  <si>
    <t>PŘEVAZ RÁNY METODOU V. A. C. (VACUUM ASISTED CLOSU</t>
  </si>
  <si>
    <t>51386</t>
  </si>
  <si>
    <t>SUTURA EV. EXCIZE A SUTURA LÉZE STĚNY ŽALUDKU NEBO</t>
  </si>
  <si>
    <t>51811</t>
  </si>
  <si>
    <t>ABSCES NEBO HEMATOM SUBKUTANNÍ, PILONIDÁLNÍ, INTRA</t>
  </si>
  <si>
    <t>APENDEKTOMIE NEBO OPERAČNÍ DRENÁŽ PERIAPENDIKULÁRN</t>
  </si>
  <si>
    <t>51821</t>
  </si>
  <si>
    <t>CHIRURGICKÉ ODSTRANĚNÍ CIZÍHO TĚLESA</t>
  </si>
  <si>
    <t>51827</t>
  </si>
  <si>
    <t>MULTIORGÁNOVÝ ODBĚR</t>
  </si>
  <si>
    <t>54120</t>
  </si>
  <si>
    <t>ANEURYSMA BŘIŠNÍ AORTY (NÁHRADA BIFURKAČNÍ PROTÉZO</t>
  </si>
  <si>
    <t>07564</t>
  </si>
  <si>
    <t>(DRG) EMERGENTNÍ OPERACE KVCH</t>
  </si>
  <si>
    <t>62310</t>
  </si>
  <si>
    <t>NEKREKTOMIE DO 1% POVRCHU TĚLA</t>
  </si>
  <si>
    <t>51345</t>
  </si>
  <si>
    <t>PARCIÁLNÍ RESEKCE JATER NEBO OŠETŘENÍ VĚTŠÍHO PORA</t>
  </si>
  <si>
    <t>07552</t>
  </si>
  <si>
    <t>(DRG) OPERAČNÍ VÝKON BEZ MIMOTĚLNÍHO OBĚHU</t>
  </si>
  <si>
    <t>54325</t>
  </si>
  <si>
    <t>AORTOILICKÁ EMBOLEKTOMIE NEBO TROMBEKTOMIE BIFURKA</t>
  </si>
  <si>
    <t>66851</t>
  </si>
  <si>
    <t>AMPUTACE DLOUHÉ KOSTI / EXARTIKULACE VELKÉHO KLOUB</t>
  </si>
  <si>
    <t>51357</t>
  </si>
  <si>
    <t>JEJUNOSTOMIE, ILEOSTOMIE NEBO KOLOSTOMIE, ANTEPOZI</t>
  </si>
  <si>
    <t>61121</t>
  </si>
  <si>
    <t>CÉVNÍ ANASTOMOSA MIKROCHIRURGICKOU TECHNIKOU</t>
  </si>
  <si>
    <t>07563</t>
  </si>
  <si>
    <t>(DRG) URGENTNÍ OPERACE KVCH</t>
  </si>
  <si>
    <t>51515</t>
  </si>
  <si>
    <t>OPERACE KÝLY UMBILIKÁLNÍ NEBO EPIGASTRICKÁ - DOSPĚ</t>
  </si>
  <si>
    <t>54510</t>
  </si>
  <si>
    <t>PEROPERAČNÍ TRANSLUMINÁLNÍ ANGIOPLASTIKA</t>
  </si>
  <si>
    <t>54340</t>
  </si>
  <si>
    <t>TEPENNÁ EMBOLEKTOMIE, TROMBEKTOMIE</t>
  </si>
  <si>
    <t>57235</t>
  </si>
  <si>
    <t>TORAKOTOMIE PROSTÁ NEBO S BIOPSIÍ, EVAKUACÍ HEMATO</t>
  </si>
  <si>
    <t>51215</t>
  </si>
  <si>
    <t>SUBTOTÁLNÍ NEBO TOTÁLNÍ RESEKCE JÍCNU TRANSTORAKÁL</t>
  </si>
  <si>
    <t>51365</t>
  </si>
  <si>
    <t>UZÁVĚR A ÚPRAVA STOMIÍ NA TLUSTÉM STŘEVĚ</t>
  </si>
  <si>
    <t>54170</t>
  </si>
  <si>
    <t>PROFUNDOPLASTIKA</t>
  </si>
  <si>
    <t>51355</t>
  </si>
  <si>
    <t>DVOJ - A VÍCENÁSOBNÁ RESEKCE A (NEBO) ANASTOMÓZA T</t>
  </si>
  <si>
    <t>07418</t>
  </si>
  <si>
    <t>(VZP) TROMBECTOMIE  A. FEMORALIS A JEJÍCH VĚTVÍ</t>
  </si>
  <si>
    <t>54310</t>
  </si>
  <si>
    <t>AORTOILICKÝ ÚSEK - ENDARTEREKTOMIE</t>
  </si>
  <si>
    <t>51326</t>
  </si>
  <si>
    <t>DRENÁŽNÍ OPERACE PŘI AKUTNÍ PANKEATITIDĚ, DRENÁŽ A</t>
  </si>
  <si>
    <t>09569</t>
  </si>
  <si>
    <t>(VZP) ZÁKROK NA PRAVÉ STRANĚ</t>
  </si>
  <si>
    <t>51615</t>
  </si>
  <si>
    <t>PEROPERAČNÍ CHOLANGIOGRAFIE /CYSTOGRAFIE A  POD.</t>
  </si>
  <si>
    <t>07424</t>
  </si>
  <si>
    <t>(VZP) EMBOLECTOMIE A. FEMORALIS SUPERFICIALIS</t>
  </si>
  <si>
    <t>66915</t>
  </si>
  <si>
    <t>DEKOMPRESE FASCIÁLNÍHO LOŽE</t>
  </si>
  <si>
    <t>51361</t>
  </si>
  <si>
    <t>KOLEKTOMIE SUBTOTÁLNÍ S ILEOSTOMIÍ A UZÁVĚREM REKT</t>
  </si>
  <si>
    <t>07529</t>
  </si>
  <si>
    <t>(VZP) BYPASS CROSS-OVER FEMORO - FEMORÁLNÍ</t>
  </si>
  <si>
    <t>07309</t>
  </si>
  <si>
    <t>(VZP) JINÉ OPERACE VĚTVÍ OBLOUKU AORTY BEZ STERNOT</t>
  </si>
  <si>
    <t>51117</t>
  </si>
  <si>
    <t>KRČNÍ EZOFAGOSTOMIE</t>
  </si>
  <si>
    <t>5F3</t>
  </si>
  <si>
    <t>53119</t>
  </si>
  <si>
    <t>ZAVŘENÁ REPOZICE ZLOMENIN PŘEDLOKTÍ, LOKTE, PAŽE N</t>
  </si>
  <si>
    <t>53159</t>
  </si>
  <si>
    <t>OTEVŘENÁ REPOZICE A OSTEOSYNTÉZA ZLOMENIN OBOU KOS</t>
  </si>
  <si>
    <t>53463</t>
  </si>
  <si>
    <t>OTEVŘENÁ REPOZICE A OSTEOSYNTÉZA PATELY NEBO PATEL</t>
  </si>
  <si>
    <t>66819</t>
  </si>
  <si>
    <t>APLIKACE ZEVNÍHO FIXATÉRU</t>
  </si>
  <si>
    <t>53490</t>
  </si>
  <si>
    <t>ROZSÁHLÉ DEBRIDEMENT SLOŽITÝCH OTEVŘENÝCH ZLOMENIN</t>
  </si>
  <si>
    <t>66127</t>
  </si>
  <si>
    <t>MANIPULACE V CELKOVÉ NEBO LOKÁLNÍ ANESTÉZII</t>
  </si>
  <si>
    <t>51855</t>
  </si>
  <si>
    <t>FIXAČNÍ SÁDROVÁ DLAHA CELÉ HORNÍ KONČETINY</t>
  </si>
  <si>
    <t>53155</t>
  </si>
  <si>
    <t>OTEVŘENÁ REPOZICE - SYNTÉZA LUXACE KARPU - INTRAAR</t>
  </si>
  <si>
    <t>53157</t>
  </si>
  <si>
    <t>OTEVŘENÁ REPOZICE A OSTEOSYNTÉZA ZLOMENINY JEDNÉ K</t>
  </si>
  <si>
    <t>53517</t>
  </si>
  <si>
    <t>SUTURA NEBO REINSERCE ŠLACHY FLEXORU RUKY A ZÁPĚST</t>
  </si>
  <si>
    <t>62640</t>
  </si>
  <si>
    <t>ODBĚR DERMOEPIDERMÁLNÍHO ŠTĚPU: 1 - 5 % Z PLOCHY P</t>
  </si>
  <si>
    <t>66821</t>
  </si>
  <si>
    <t>PERKUTÁNNÍ FIXACE K-DRÁTEM</t>
  </si>
  <si>
    <t>62440</t>
  </si>
  <si>
    <t>ŠTĚP PŘI POPÁLENÍ (A OSTATNÍCH KOŽNÍCH ZTRÁTÁCH) D</t>
  </si>
  <si>
    <t>5F6</t>
  </si>
  <si>
    <t>56419</t>
  </si>
  <si>
    <t>POUŽITÍ OPERAČNÍHO MIKROSKOPU Á 15 MINUT</t>
  </si>
  <si>
    <t>56151</t>
  </si>
  <si>
    <t>TREPANACE PRO EXTRACEREBRÁLNÍ HEMATOM NEBO KRANIOT</t>
  </si>
  <si>
    <t>56145</t>
  </si>
  <si>
    <t>OŠETŘENÍ JEDNODUCHÉ - VPÁČENÉ ZLOMENINY LEBKY</t>
  </si>
  <si>
    <t>5T1</t>
  </si>
  <si>
    <t>1</t>
  </si>
  <si>
    <t>0003708</t>
  </si>
  <si>
    <t>ZYVOXID 2 MG/ML INFUZNÍ ROZTOK</t>
  </si>
  <si>
    <t>0003952</t>
  </si>
  <si>
    <t>AMIKIN 500 MG</t>
  </si>
  <si>
    <t>0004234</t>
  </si>
  <si>
    <t>0006480</t>
  </si>
  <si>
    <t>OCPLEX</t>
  </si>
  <si>
    <t>0008807</t>
  </si>
  <si>
    <t>0008808</t>
  </si>
  <si>
    <t>0011592</t>
  </si>
  <si>
    <t>METRONIDAZOL B. BRAUN 5 MG/ML</t>
  </si>
  <si>
    <t>0011785</t>
  </si>
  <si>
    <t>AMIKIN 1 G</t>
  </si>
  <si>
    <t>0016600</t>
  </si>
  <si>
    <t>0020605</t>
  </si>
  <si>
    <t>0026127</t>
  </si>
  <si>
    <t>0026902</t>
  </si>
  <si>
    <t>0053922</t>
  </si>
  <si>
    <t>0058092</t>
  </si>
  <si>
    <t>HAEMOCOMPLETTAN P</t>
  </si>
  <si>
    <t>0065989</t>
  </si>
  <si>
    <t>0066137</t>
  </si>
  <si>
    <t>0072972</t>
  </si>
  <si>
    <t>0076360</t>
  </si>
  <si>
    <t>0083050</t>
  </si>
  <si>
    <t>0083417</t>
  </si>
  <si>
    <t>MERONEM 1 G</t>
  </si>
  <si>
    <t>0083487</t>
  </si>
  <si>
    <t>MERONEM 500 MG</t>
  </si>
  <si>
    <t>0092289</t>
  </si>
  <si>
    <t>0092290</t>
  </si>
  <si>
    <t>0094155</t>
  </si>
  <si>
    <t>ABAKTAL 400 MG/5 ML</t>
  </si>
  <si>
    <t>0094176</t>
  </si>
  <si>
    <t>CEFOTAXIME LEK 1 G PRÁŠEK PRO INJEKČNÍ ROZTOK</t>
  </si>
  <si>
    <t>0096414</t>
  </si>
  <si>
    <t>0097910</t>
  </si>
  <si>
    <t>HUMAN ALBUMIN GRIFOLS 20%</t>
  </si>
  <si>
    <t>0112782</t>
  </si>
  <si>
    <t>GENTAMICIN B.BRAUN 3 MG/ML INFUZNÍ ROZTOK</t>
  </si>
  <si>
    <t>0129767</t>
  </si>
  <si>
    <t>0131656</t>
  </si>
  <si>
    <t>0162187</t>
  </si>
  <si>
    <t>CIPROFLOXACIN KABI 400 MG/200 ML INFUZNÍ ROZTOK</t>
  </si>
  <si>
    <t>0164350</t>
  </si>
  <si>
    <t>TAZOCIN 4 G/0,5 G</t>
  </si>
  <si>
    <t>0500720</t>
  </si>
  <si>
    <t>0162496</t>
  </si>
  <si>
    <t>0027431</t>
  </si>
  <si>
    <t>0113453</t>
  </si>
  <si>
    <t>0149384</t>
  </si>
  <si>
    <t>2</t>
  </si>
  <si>
    <t>0007917</t>
  </si>
  <si>
    <t>0007955</t>
  </si>
  <si>
    <t>0007963</t>
  </si>
  <si>
    <t>0107931</t>
  </si>
  <si>
    <t>0107936</t>
  </si>
  <si>
    <t>0107959</t>
  </si>
  <si>
    <t>0207921</t>
  </si>
  <si>
    <t>0407942</t>
  </si>
  <si>
    <t>3</t>
  </si>
  <si>
    <t>0001018</t>
  </si>
  <si>
    <t>ŠROUB SAMOŘEZNÝ KORTIKÁLNÍ MALÝ FRAGMENTY OCEL</t>
  </si>
  <si>
    <t>0002264</t>
  </si>
  <si>
    <t>FIXÁTOR ZEVNÍ TRUBKOVÝ, SYNTHES</t>
  </si>
  <si>
    <t>0002425</t>
  </si>
  <si>
    <t>0006837</t>
  </si>
  <si>
    <t>ŠROUB KORTIKÁLNÍ SAMOVRTNÝ                 101XX</t>
  </si>
  <si>
    <t>0006853</t>
  </si>
  <si>
    <t xml:space="preserve">FIXÁTOR ZEVNÍ VÁLEC EXCENTRICKÝ                   </t>
  </si>
  <si>
    <t>0006854</t>
  </si>
  <si>
    <t xml:space="preserve">FIXÁTOR ZEVNÍ CYLINDR SFÉRICKÝ                    </t>
  </si>
  <si>
    <t>0010767</t>
  </si>
  <si>
    <t>DRÁT KIRSCHNERŮV OCEL</t>
  </si>
  <si>
    <t>0012999</t>
  </si>
  <si>
    <t>STAPLER LINEÁRNÍ S BŘITEM TCT55 TLC55</t>
  </si>
  <si>
    <t>0013004</t>
  </si>
  <si>
    <t>STAPLER LINEÁRNÍ TX 60B TX60G</t>
  </si>
  <si>
    <t>0013010</t>
  </si>
  <si>
    <t>STAPLER LINEÁRNÍ S BŘITEM TCT75,TLC75,TCD75</t>
  </si>
  <si>
    <t>0017745</t>
  </si>
  <si>
    <t>0030617</t>
  </si>
  <si>
    <t>STAPLER KOŽNÍ ROYAL - 35W</t>
  </si>
  <si>
    <t>0037180</t>
  </si>
  <si>
    <t>PROTÉZA GORE-TEX CÉVNÍ - PRUŽNÁ TENK.S ODSTR.KROUŽ</t>
  </si>
  <si>
    <t>0046892</t>
  </si>
  <si>
    <t>PROTÉZA CÉVNÍ GELSOFT PLUS DÉLKA 40 CM</t>
  </si>
  <si>
    <t>0051607</t>
  </si>
  <si>
    <t>SADA GASTROSTOMICKÁ - PEG</t>
  </si>
  <si>
    <t>0053772</t>
  </si>
  <si>
    <t>STAPLER LINEÁRNÍ S BŘITEM  TCT10,TLC10</t>
  </si>
  <si>
    <t>0056291</t>
  </si>
  <si>
    <t>KATETR BALONKOVÝ FOGARTY 120804F</t>
  </si>
  <si>
    <t>0056292</t>
  </si>
  <si>
    <t>KATETR BALONKOVÝ FOGARTY 120805F</t>
  </si>
  <si>
    <t>0069500</t>
  </si>
  <si>
    <t>KANYLA TRACHEOSTOMICKÁ  S NÍZKOTLAKOU  MANŽETOU</t>
  </si>
  <si>
    <t>0071602</t>
  </si>
  <si>
    <t>0073679</t>
  </si>
  <si>
    <t>0082000</t>
  </si>
  <si>
    <t>V.A.C.GRANUFOAM(PU PĚNA) VELIKOST M</t>
  </si>
  <si>
    <t>0082001</t>
  </si>
  <si>
    <t>V.A.C.GRANUFOAM(PU PĚNA) VELIKOST L</t>
  </si>
  <si>
    <t>0105745</t>
  </si>
  <si>
    <t xml:space="preserve">DLAHA RADIÁLNÍ VOLÁRNÍ PRO FIXACI FRAK.V DISTÁLNÍ </t>
  </si>
  <si>
    <t>0105747</t>
  </si>
  <si>
    <t>0105749</t>
  </si>
  <si>
    <t>ŠROUB KORTIKÁLNÍ/HLADKÝ PRO FIXACI FRAK.V DIST.ČÁS</t>
  </si>
  <si>
    <t>0105752</t>
  </si>
  <si>
    <t>ŠROUB HLADKÝ ALPS PRO FIXACI FRAKTURY V DISTÁLNÍ Č</t>
  </si>
  <si>
    <t>0111881</t>
  </si>
  <si>
    <t>CEMENT KOSTNÍ CEMEX GENTA HIGH VISKOSITY S GENTAMI</t>
  </si>
  <si>
    <t>0112607</t>
  </si>
  <si>
    <t>SPACER K;TEMPORERNÍ REVIZNÍ NÁHRADA KOLENNÍHO KLOU</t>
  </si>
  <si>
    <t>0008239</t>
  </si>
  <si>
    <t>FIXÁTOR ZEVNÍ ZÁPĚSTÍ TYP PENNIG    35001</t>
  </si>
  <si>
    <t>00651</t>
  </si>
  <si>
    <t>OD TYPU 51 - PRO NEMOCNICE TYPU 3, (KATEGORIE 6) -</t>
  </si>
  <si>
    <t>00655</t>
  </si>
  <si>
    <t>OD TYPU 55 - PRO NEMOCNICE TYPU 3, (KATEGORIE 6) -</t>
  </si>
  <si>
    <t>11505</t>
  </si>
  <si>
    <t>SPECIÁLNÍ PARENTERÁLNÍ VÝŽIVA</t>
  </si>
  <si>
    <t>11506</t>
  </si>
  <si>
    <t>PLNOHODNOTNÁ PARENTERÁLNÍ VÝŽIVA</t>
  </si>
  <si>
    <t>51022</t>
  </si>
  <si>
    <t>CÍLENÉ VYŠETŘENÍ CHIRURGEM</t>
  </si>
  <si>
    <t>00880</t>
  </si>
  <si>
    <t>ROZLIŠENÍ VYKÁZANÉ HOSPITALIZACE JAKO: = NOVÁ HOSP</t>
  </si>
  <si>
    <t>00881</t>
  </si>
  <si>
    <t>ROZLIŠENÍ VYKÁZANÉ HOSPITALIZACE JAKO: = POKRAČOVÁ</t>
  </si>
  <si>
    <t>90901</t>
  </si>
  <si>
    <t>(DRG) DOBA TRVÁNÍ UMĚLÉ PLICNÍ VENTILACE DO 24 HOD</t>
  </si>
  <si>
    <t>90902</t>
  </si>
  <si>
    <t xml:space="preserve">(DRG) DOBA TRVÁNÍ UMĚLÉ PLICNÍ VENTILACE VÍCE NEŽ </t>
  </si>
  <si>
    <t>99981</t>
  </si>
  <si>
    <t xml:space="preserve">(VZP) PACIENT HOSPITALIZOVANÝ V LŮŽKOVÉM ZAŘÍZENÍ </t>
  </si>
  <si>
    <t>90903</t>
  </si>
  <si>
    <t>00658</t>
  </si>
  <si>
    <t>OD TYPU 58 - PRO NEMOCNICE TYPU 3, (KATEGORIE 6) -</t>
  </si>
  <si>
    <t>99999</t>
  </si>
  <si>
    <t>Nespecifikovany vykon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</si>
  <si>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</si>
  <si>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</si>
  <si>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</si>
  <si>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</si>
  <si>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</si>
  <si>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</si>
  <si>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</si>
  <si>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51021</t>
  </si>
  <si>
    <t>KOMPLEXNÍ VYŠETŘENÍ CHIRURGEM</t>
  </si>
  <si>
    <t>78880</t>
  </si>
  <si>
    <t xml:space="preserve">PÉČE O DÁRCE ORGÁNU, SPOLUPRÁCE S TRANSPLANTAČNÍM </t>
  </si>
  <si>
    <t>99980</t>
  </si>
  <si>
    <t>(VZP) PACIENT S DIAGNOSTIKOVANÝM POLYTRAUMATEM S I</t>
  </si>
  <si>
    <t>6F1</t>
  </si>
  <si>
    <t>51111</t>
  </si>
  <si>
    <t>OPERACE CYSTY NEBO HEMANGIOMU NEBO LIPOMU NEBO PIL</t>
  </si>
  <si>
    <t>61165</t>
  </si>
  <si>
    <t>ROZPROSTŘENÍ NEBO MODELACE LALOKU</t>
  </si>
  <si>
    <t>6F5</t>
  </si>
  <si>
    <t>71747</t>
  </si>
  <si>
    <t>ČÁSTEČNÁ EXSTIRPACE KRČNÍCH UZLIN</t>
  </si>
  <si>
    <t>61151</t>
  </si>
  <si>
    <t>UZAVŘENÍ DEFEKTU KOŽNÍM LALOKEM MÍSTNÍM NAD 20 CM^</t>
  </si>
  <si>
    <t>6F6</t>
  </si>
  <si>
    <t>66039</t>
  </si>
  <si>
    <t>SLOŽITÁ OPERAČNÍ ARTROSKOPIE</t>
  </si>
  <si>
    <t>66623</t>
  </si>
  <si>
    <t>PROSTÁ EXTRAKCE ENDOPROTÉZY - CEMENTOVANÉ</t>
  </si>
  <si>
    <t>66829</t>
  </si>
  <si>
    <t>ZAVEDENÍ PROPLACHOVÉ LAVÁŽE</t>
  </si>
  <si>
    <t>66817</t>
  </si>
  <si>
    <t>VÝPLŇ DUTINY</t>
  </si>
  <si>
    <t>7F1</t>
  </si>
  <si>
    <t>71311</t>
  </si>
  <si>
    <t>LARYNGOSKOPIE PŘÍMÁ</t>
  </si>
  <si>
    <t>71723</t>
  </si>
  <si>
    <t>UZAVŘENÍ PERZISTUJÍCÍHO TRACHEOTOMICKÉHO KANÁLU</t>
  </si>
  <si>
    <t>7F6</t>
  </si>
  <si>
    <t>77129</t>
  </si>
  <si>
    <t>JEDNODOBÁ URETROPLASTIKA BEZ CHORDEKTOMIE NEBO II.</t>
  </si>
  <si>
    <t>76365</t>
  </si>
  <si>
    <t>PUNKČNÍ EPICYSTOSTOMIE</t>
  </si>
  <si>
    <t>76335</t>
  </si>
  <si>
    <t>OPERAČNÍ REVIZE PERIRENÁLNÍCH NEBO PERIURETERÁLNÍC</t>
  </si>
  <si>
    <t>7T8</t>
  </si>
  <si>
    <t>0005113</t>
  </si>
  <si>
    <t>TARGOCID 400 MG</t>
  </si>
  <si>
    <t>0011692</t>
  </si>
  <si>
    <t>0014583</t>
  </si>
  <si>
    <t>TIENAM 500 MG/500 MG I.V.</t>
  </si>
  <si>
    <t>0017810</t>
  </si>
  <si>
    <t>0026041</t>
  </si>
  <si>
    <t>KIOVIG 100MG/ML</t>
  </si>
  <si>
    <t>0045119</t>
  </si>
  <si>
    <t>VISIPAQUE 270 MG I/ML</t>
  </si>
  <si>
    <t>0076353</t>
  </si>
  <si>
    <t>FORTUM 1 G</t>
  </si>
  <si>
    <t>0076354</t>
  </si>
  <si>
    <t>FORTUM 2 G</t>
  </si>
  <si>
    <t>0077044</t>
  </si>
  <si>
    <t>ZINACEF 750 MG</t>
  </si>
  <si>
    <t>0085516</t>
  </si>
  <si>
    <t>FLEBOGAMMA 5%</t>
  </si>
  <si>
    <t>0098212</t>
  </si>
  <si>
    <t>0131654</t>
  </si>
  <si>
    <t>CEFTAZIDIM KABI 1 GM</t>
  </si>
  <si>
    <t>0137484</t>
  </si>
  <si>
    <t>ANBINEX</t>
  </si>
  <si>
    <t>0137483</t>
  </si>
  <si>
    <t>0007905</t>
  </si>
  <si>
    <t>0007957</t>
  </si>
  <si>
    <t>0001052</t>
  </si>
  <si>
    <t>DLAHA LC-DCP ROVNÁ MALÉ FRAGMENT OCEL</t>
  </si>
  <si>
    <t>0005606</t>
  </si>
  <si>
    <t>NÁVLEK NA OPMI, TYP 71                      306071</t>
  </si>
  <si>
    <t>0012683</t>
  </si>
  <si>
    <t>IMPLANTÁT MAXILLOFACIÁLNÍ</t>
  </si>
  <si>
    <t>0012715</t>
  </si>
  <si>
    <t>0017735</t>
  </si>
  <si>
    <t>DRÁT CERKLÁŽNÍ OCEL</t>
  </si>
  <si>
    <t>0037145</t>
  </si>
  <si>
    <t>PROTÉZA GORE-TEX CÉVNÍ - PRUŽNÁ TENKOSTĚNNÁ</t>
  </si>
  <si>
    <t>0046898</t>
  </si>
  <si>
    <t>PROTÉZA CÉVNÍ BIF.GELSOFT PLUS DÉLKA 45CM</t>
  </si>
  <si>
    <t>0048989</t>
  </si>
  <si>
    <t>ELEKTRODA KOAGULAČNÍ JEDNORÁZOVÁ GN211</t>
  </si>
  <si>
    <t>0056289</t>
  </si>
  <si>
    <t>KATETR BALONKOVÝ FOGARTY 120803F</t>
  </si>
  <si>
    <t>0056344</t>
  </si>
  <si>
    <t>SADA PUNKČNÍ SUPRAPUBICKÁ - EASYCYST, 170718..1707</t>
  </si>
  <si>
    <t>0081997</t>
  </si>
  <si>
    <t>V.A.C. ATS SBĚRNÁ NÁDOBA S GELEM</t>
  </si>
  <si>
    <t>0082079</t>
  </si>
  <si>
    <t>KRYTÍ COM 30 OBVAZOVÁ TEXTÍLIE KOMBINOVANÁ</t>
  </si>
  <si>
    <t>0082509</t>
  </si>
  <si>
    <t>0082513</t>
  </si>
  <si>
    <t>0141868</t>
  </si>
  <si>
    <t>STENTGRAFT PERIFERNÍ,SAMOEXPANDIBILNÍ,NITINOL,POTA</t>
  </si>
  <si>
    <t>09547</t>
  </si>
  <si>
    <t>REGULAČNÍ POPLATEK -- POJIŠTĚNEC OD ÚHRADY POPLATK</t>
  </si>
  <si>
    <t>09544</t>
  </si>
  <si>
    <t>REGULAČNÍ POPLATEK ZA KAŽDÝ DEN LŮŽKOVÉ PÉČE -- PO</t>
  </si>
  <si>
    <t>78021</t>
  </si>
  <si>
    <t>KOMPLEXNÍ VYŠETŘENÍ ANESTEZIOLOGEM</t>
  </si>
  <si>
    <t>78310</t>
  </si>
  <si>
    <t xml:space="preserve">NEODKLADNÁ KARDIOPULMONÁLNÍ RESUSCITACE ROZŠÍŘENÁ </t>
  </si>
  <si>
    <t>90905</t>
  </si>
  <si>
    <t>Zdravotní výkony vykázané na pracovišti pro pacienty hospitalizované ve FNOL - orientační přehled</t>
  </si>
  <si>
    <t>00052</t>
  </si>
  <si>
    <t>A</t>
  </si>
  <si>
    <t xml:space="preserve">DLOUHODOBÁ MECHANICKÁ VENTILACE &gt; 96 HODIN (5-10 DNÍ) S CC                                          </t>
  </si>
  <si>
    <t>00053</t>
  </si>
  <si>
    <t xml:space="preserve">DLOUHODOBÁ MECHANICKÁ VENTILACE &gt; 96 HODIN (5-10 DNÍ) S MCC                                         </t>
  </si>
  <si>
    <t>00121</t>
  </si>
  <si>
    <t xml:space="preserve">DLOUHODOBÁ MECHANICKÁ VENTILACE &gt; 240 HODIN (11-21 DNÍ) S EKONOMICKY NÁROČNÝM VÝKONEM BEZ CC        </t>
  </si>
  <si>
    <t>00123</t>
  </si>
  <si>
    <t xml:space="preserve">DLOUHODOBÁ MECHANICKÁ VENTILACE &gt; 240 HODIN (11-21 DNÍ) S EKONOMICKY NÁROČNÝM VÝKONEM S MCC         </t>
  </si>
  <si>
    <t>00133</t>
  </si>
  <si>
    <t xml:space="preserve">DLOUHODOBÁ MECHANICKÁ VENTILACE &gt; 96 HODIN (5-10 DNÍ) S EKONOMICKY NÁROČNÝM VÝKONEM S MCC           </t>
  </si>
  <si>
    <t>01012</t>
  </si>
  <si>
    <t xml:space="preserve">KRANIOTOMIE S CC                                                                                    </t>
  </si>
  <si>
    <t>01343</t>
  </si>
  <si>
    <t xml:space="preserve">CÉVNÍ MOZKOVÁ PŘÍHODA S INFARKTEM S MCC                                                             </t>
  </si>
  <si>
    <t>01443</t>
  </si>
  <si>
    <t xml:space="preserve">KRANIÁLNÍ A INTRAKRANIÁLNÍ PORANĚNÍ S MCC                                                           </t>
  </si>
  <si>
    <t>03353</t>
  </si>
  <si>
    <t xml:space="preserve">JINÉ PORUCHY UŠÍ. NOSU. ÚST A HRDLA S MCC                                                           </t>
  </si>
  <si>
    <t>04310</t>
  </si>
  <si>
    <t xml:space="preserve">RESPIRAČNÍ SELHÁNÍ                                                                                  </t>
  </si>
  <si>
    <t>05000</t>
  </si>
  <si>
    <t xml:space="preserve">ÚMRTÍ DO 5 DNÍ OD PŘÍJMU PŘI HLAVNÍ DIAGNÓZE OBĚHOVÉHO SYSTÉMU                                      </t>
  </si>
  <si>
    <t>05091</t>
  </si>
  <si>
    <t xml:space="preserve">VELKÉ ABDOMINÁLNÍ VASKULÁRNÍ VÝKONY BEZ CC                                                          </t>
  </si>
  <si>
    <t>05092</t>
  </si>
  <si>
    <t xml:space="preserve">VELKÉ ABDOMINÁLNÍ VASKULÁRNÍ VÝKONY S CC                                                            </t>
  </si>
  <si>
    <t>05093</t>
  </si>
  <si>
    <t xml:space="preserve">VELKÉ ABDOMINÁLNÍ VASKULÁRNÍ VÝKONY S MCC                                                           </t>
  </si>
  <si>
    <t>05103</t>
  </si>
  <si>
    <t xml:space="preserve">JINÉ PERKUTÁNNÍ KARDIOVASKULÁRNÍ VÝKONY PŘI AKUTNÍM INFARKTU MYOKARDU S MCC                         </t>
  </si>
  <si>
    <t>05141</t>
  </si>
  <si>
    <t xml:space="preserve">JINÉ VASKULÁRNÍ VÝKONY BEZ CC                                                                       </t>
  </si>
  <si>
    <t>05143</t>
  </si>
  <si>
    <t xml:space="preserve">JINÉ VASKULÁRNÍ VÝKONY S MCC                                                                        </t>
  </si>
  <si>
    <t>05151</t>
  </si>
  <si>
    <t xml:space="preserve">AMPUTACE KVŮLI PORUŠE OBĚHOVÉHO SYSTÉMU. KROMĚ HORNÍCH KONČETIN A PRSTŮ U NOHY BEZ CC               </t>
  </si>
  <si>
    <t>05482</t>
  </si>
  <si>
    <t xml:space="preserve">ZAVEDENÍ STENTU DO PERIFERNÍHO CÉVNÍHO ŘEČIŠTĚ S CC                                                 </t>
  </si>
  <si>
    <t>06013</t>
  </si>
  <si>
    <t xml:space="preserve">VELKÉ VÝKONY NA TLUSTÉM A TENKÉM STŘEVU S MCC                                                       </t>
  </si>
  <si>
    <t>06032</t>
  </si>
  <si>
    <t xml:space="preserve">MENŠÍ VÝKONY NA TLUSTÉM A TENKÉM STŘEVU S CC                                                        </t>
  </si>
  <si>
    <t>06103</t>
  </si>
  <si>
    <t xml:space="preserve">JINÉ VÝKONY PŘI PORUCHÁCH A ONEMOCNĚNÍCH TRÁVICÍHO SYSTÉMU S MCC                                    </t>
  </si>
  <si>
    <t>06323</t>
  </si>
  <si>
    <t xml:space="preserve">PORUCHY JÍCNU S MCC                                                                                 </t>
  </si>
  <si>
    <t>07052</t>
  </si>
  <si>
    <t xml:space="preserve">JINÉ VÝKONY PŘI PORUCHÁCH A ONEMOCNĚNÍCH HEPATOBILIÁRNÍHO SYSTÉMU A PANKREATU S CC                  </t>
  </si>
  <si>
    <t>07333</t>
  </si>
  <si>
    <t xml:space="preserve">PORUCHY JATER. KROMĚ MALIGNÍ CIRHÓZY A ALKOHOLICKÉ HEPATITIDY S MCC                                 </t>
  </si>
  <si>
    <t>08081</t>
  </si>
  <si>
    <t xml:space="preserve">VÝKONY NA KYČLÍCH A STEHENNÍ KOSTI. KROMĚ REPLANTACE VELKÝCH KLOUBŮ BEZ CC                          </t>
  </si>
  <si>
    <t>08393</t>
  </si>
  <si>
    <t xml:space="preserve">SELHÁNÍ. REAKCE A KOMPLIKACE ORTOPEDICKÉHO PŘÍSTROJE NEBO VÝKONU S MCC                              </t>
  </si>
  <si>
    <t>10333</t>
  </si>
  <si>
    <t xml:space="preserve">JINÉ ENDOKRINNÍ PORUCHY S MCC                                                                       </t>
  </si>
  <si>
    <t>11032</t>
  </si>
  <si>
    <t xml:space="preserve">VELKÉ VÝKONY NA LEDVINÁCH A MOČOVÝCH CESTÁCH S CC                                                   </t>
  </si>
  <si>
    <t>11082</t>
  </si>
  <si>
    <t xml:space="preserve">JINÉ VÝKONY PŘI PORUCHÁCH A ONEMOCNĚNÍCH LEDVIN A MOČOVÝCH CEST S CC                                </t>
  </si>
  <si>
    <t>16331</t>
  </si>
  <si>
    <t xml:space="preserve">PORUCHY ČERVENÝCH KRVINEK. KROMĚ SRPKOVITÉ CHUDOKREVNOSTI BEZ CC                                    </t>
  </si>
  <si>
    <t>18013</t>
  </si>
  <si>
    <t xml:space="preserve">VÝKONY PRO INFEKČNÍ A PARAZITÁRNÍ NEMOCI S MCC                                                      </t>
  </si>
  <si>
    <t>25051</t>
  </si>
  <si>
    <t>DLOUHODOBÁ MECHANICKÁ VENTILACE PŘI POLYTRAUMATU &gt; 240 HODIN (11-21 DNÍ) S EKONOMICKY NÁROČNÝM VÝKON</t>
  </si>
  <si>
    <t>25053</t>
  </si>
  <si>
    <t>25303</t>
  </si>
  <si>
    <t xml:space="preserve">DIAGNÓZY TÝKAJÍCÍ SE HLAVY. HRUDNÍKU A DOLNÍCH KONČETIN PŘI MNOHOČETNÉM ZÁVAŽNÉM TRAUMATU S MCC     </t>
  </si>
  <si>
    <t>25370</t>
  </si>
  <si>
    <t xml:space="preserve">ÚMRTÍ DO 5 DNÍ OD PŘÍJMU PŘI POLYTRAUMATU                                                           </t>
  </si>
  <si>
    <t>88873</t>
  </si>
  <si>
    <t xml:space="preserve">ROZSÁHLÉ VÝKONY. KTERÉ SE NETÝKAJÍ HLAVNÍ DIAGNÓZY S MCC                                            </t>
  </si>
  <si>
    <t>Porovnání jednotlivých IR DRG skupin</t>
  </si>
  <si>
    <t>12 - UROLOGICKÁ KLINIKA</t>
  </si>
  <si>
    <t>22 - KLINIKA NUKLEÁRNÍ MEDICÍNY</t>
  </si>
  <si>
    <t>33 - ODDĚLENÍ KLINICKÉ BIOCHEMIE</t>
  </si>
  <si>
    <t>34 - KLINIKA RADIOLOGICKÁ</t>
  </si>
  <si>
    <t>35 - TRANSFÚZNÍ ODDĚLENÍ</t>
  </si>
  <si>
    <t>37 - ÚSTAV PATOLOGIE</t>
  </si>
  <si>
    <t>40 - ÚSTAV MIKROBIOLOGIE</t>
  </si>
  <si>
    <t>41 - ÚSTAV IMUNOLOGIE</t>
  </si>
  <si>
    <t>44 - LEM</t>
  </si>
  <si>
    <t>12</t>
  </si>
  <si>
    <t>706</t>
  </si>
  <si>
    <t>89169</t>
  </si>
  <si>
    <t>CYSTOURETROGRAFIE</t>
  </si>
  <si>
    <t>809</t>
  </si>
  <si>
    <t>89143</t>
  </si>
  <si>
    <t>RTG BŘICHA</t>
  </si>
  <si>
    <t>89455</t>
  </si>
  <si>
    <t>PERKUTÁNNÍ NEFROSTOMIE JEDNOSTRANNÁ</t>
  </si>
  <si>
    <t>22</t>
  </si>
  <si>
    <t>0093626</t>
  </si>
  <si>
    <t>ULTRAVIST 370</t>
  </si>
  <si>
    <t>0002018</t>
  </si>
  <si>
    <t>0002067</t>
  </si>
  <si>
    <t>0002087</t>
  </si>
  <si>
    <t>47259</t>
  </si>
  <si>
    <t>SCINTIGRAFIE PLIC VENTILAČNÍ STATICKÁ</t>
  </si>
  <si>
    <t>47257</t>
  </si>
  <si>
    <t>SCINTIGRAFIE PLIC PERFÚZNÍ</t>
  </si>
  <si>
    <t>818</t>
  </si>
  <si>
    <t>96157</t>
  </si>
  <si>
    <t>STANOVENÍ HEPARINOVÝCH JEDNOTEK ANTI XA</t>
  </si>
  <si>
    <t>96167</t>
  </si>
  <si>
    <t>KREVNÍ OBRAZ S PĚTI POPULAČNÍM DIFERENCIÁLNÍM POČT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</si>
  <si>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</si>
  <si>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</si>
  <si>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</si>
  <si>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</si>
  <si>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</si>
  <si>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</si>
  <si>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</si>
  <si>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</si>
  <si>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</si>
  <si>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</si>
  <si>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</si>
  <si>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</si>
  <si>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</si>
  <si>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</si>
  <si>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</si>
  <si>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</si>
  <si>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</si>
  <si>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</si>
  <si>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</si>
  <si>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</si>
  <si>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96613</t>
  </si>
  <si>
    <t>VYŠETŘENÍ NÁTĚRU NA SCHIZOCYTY</t>
  </si>
  <si>
    <t>96863</t>
  </si>
  <si>
    <t>STANOVENÍ POČTU ERYTROBLASTŮ NA AUTOMATICKÉM ANALY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</si>
  <si>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</si>
  <si>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</si>
  <si>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</si>
  <si>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</si>
  <si>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</si>
  <si>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</si>
  <si>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</si>
  <si>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</si>
  <si>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</si>
  <si>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</si>
  <si>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</si>
  <si>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</si>
  <si>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</si>
  <si>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</si>
  <si>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</si>
  <si>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</si>
  <si>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</si>
  <si>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</si>
  <si>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</si>
  <si>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</si>
  <si>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</si>
  <si>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</si>
  <si>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81231</t>
  </si>
  <si>
    <t>METHEMOGLOBIN - KVANTITATIVNÍ STANOVENÍ</t>
  </si>
  <si>
    <t>81237</t>
  </si>
  <si>
    <t>TROPONIN - T NEBO I ELISA</t>
  </si>
  <si>
    <t>81341</t>
  </si>
  <si>
    <t>AMONIAK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</si>
  <si>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</si>
  <si>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</si>
  <si>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</si>
  <si>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</si>
  <si>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</si>
  <si>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</si>
  <si>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81481</t>
  </si>
  <si>
    <t>AMYLÁZA PANKREATICKÁ</t>
  </si>
  <si>
    <t>81527</t>
  </si>
  <si>
    <t>CHOLESTEROL LDL</t>
  </si>
  <si>
    <t>81537</t>
  </si>
  <si>
    <t>LIPOPROTEINY - ELEKTROFORÉZA</t>
  </si>
  <si>
    <t>81541</t>
  </si>
  <si>
    <t>LIPOPROTEIN - Lp (a)</t>
  </si>
  <si>
    <t>81731</t>
  </si>
  <si>
    <t>STANOVENÍ NATRIURETICKÝCH PEPTIDŮ V SÉRU A V PLAZM</t>
  </si>
  <si>
    <t>91131</t>
  </si>
  <si>
    <t>STANOVENÍ IgA</t>
  </si>
  <si>
    <t>91137</t>
  </si>
  <si>
    <t>STANOVENÍ TRANSFERINU</t>
  </si>
  <si>
    <t>91167</t>
  </si>
  <si>
    <t>STANOVENÍ LEHKÝCH ŘETĚZCU KAPPA</t>
  </si>
  <si>
    <t>91397</t>
  </si>
  <si>
    <t>ELEKTROFORESA S NÁSLEDNOU IMUNOFIXACÍ (KOMPLEX - I</t>
  </si>
  <si>
    <t>91481</t>
  </si>
  <si>
    <t>STANOVENÍ KONCENTRACE PROCALCITONINU</t>
  </si>
  <si>
    <t>93141</t>
  </si>
  <si>
    <t>KALCITONIN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</si>
  <si>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</si>
  <si>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</si>
  <si>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</si>
  <si>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</si>
  <si>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</si>
  <si>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</si>
  <si>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</si>
  <si>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</si>
  <si>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</si>
  <si>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</si>
  <si>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</si>
  <si>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</si>
  <si>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</si>
  <si>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</si>
  <si>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</si>
  <si>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</si>
  <si>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</si>
  <si>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</si>
  <si>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</si>
  <si>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</si>
  <si>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</si>
  <si>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</si>
  <si>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</si>
  <si>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</si>
  <si>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</si>
  <si>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</si>
  <si>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</si>
  <si>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</si>
  <si>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81149</t>
  </si>
  <si>
    <t>FOSFOR ANORGANICKÝ STATIM</t>
  </si>
  <si>
    <t>81173</t>
  </si>
  <si>
    <t>LIPÁZA STATIM</t>
  </si>
  <si>
    <t>93195</t>
  </si>
  <si>
    <t>TYREOTROPIN (TSH)</t>
  </si>
  <si>
    <t>81329</t>
  </si>
  <si>
    <t>ALBUMIN (SÉRUM)</t>
  </si>
  <si>
    <t>81115</t>
  </si>
  <si>
    <t>ALBUMIN SÉRUM (STATIM)</t>
  </si>
  <si>
    <t>81345</t>
  </si>
  <si>
    <t>AMYLÁZA</t>
  </si>
  <si>
    <t>81155</t>
  </si>
  <si>
    <t>GLUKÓZA KVANTITATIVNÍ STANOVENÍ STATIM</t>
  </si>
  <si>
    <t>91129</t>
  </si>
  <si>
    <t>STANOVENÍ IgG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</si>
  <si>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</si>
  <si>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</si>
  <si>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</si>
  <si>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</si>
  <si>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</si>
  <si>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</si>
  <si>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</si>
  <si>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</si>
  <si>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</si>
  <si>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</si>
  <si>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91133</t>
  </si>
  <si>
    <t>STANOVENÍ IgM</t>
  </si>
  <si>
    <t>81533</t>
  </si>
  <si>
    <t>LIPÁZA</t>
  </si>
  <si>
    <t>93263</t>
  </si>
  <si>
    <t>KARBOHYDRÁT-DEFICIENTNÍ TRANSFERIN (CDT)</t>
  </si>
  <si>
    <t>81125</t>
  </si>
  <si>
    <t>BÍLKOVINY CELKOVÉ (SÉRUM) STATIM</t>
  </si>
  <si>
    <t>94189</t>
  </si>
  <si>
    <t>HYBRIDIZACE DNA SE ZNAČENOU SONDOU</t>
  </si>
  <si>
    <t>94199</t>
  </si>
  <si>
    <t>AMPLIFIKACE METODOU PCR</t>
  </si>
  <si>
    <t>91145</t>
  </si>
  <si>
    <t>STANOVENÍ HAPTOGLOBINU</t>
  </si>
  <si>
    <t>81423</t>
  </si>
  <si>
    <t>FOSFATÁZA ALKALICKÁ IZOENZYMY</t>
  </si>
  <si>
    <t>81123</t>
  </si>
  <si>
    <t>BILIRUBIN KONJUGOVANÝ STATIM</t>
  </si>
  <si>
    <t>93135</t>
  </si>
  <si>
    <t>MYOGLOBIN V SÉRII</t>
  </si>
  <si>
    <t>81165</t>
  </si>
  <si>
    <t>KREATINKINÁZA (CK) STATIM</t>
  </si>
  <si>
    <t>81233</t>
  </si>
  <si>
    <t>KARBONYLHEMOGLOBIN KVANTITATIVNĚ</t>
  </si>
  <si>
    <t>91169</t>
  </si>
  <si>
    <t>STANOVENÍ LEHKÝCH ŘETĚZCŮ LAMBDA</t>
  </si>
  <si>
    <t>81159</t>
  </si>
  <si>
    <t>CHOLINESTERÁZA STATIM</t>
  </si>
  <si>
    <t>813</t>
  </si>
  <si>
    <t>91197</t>
  </si>
  <si>
    <t>STANOVENÍ CYTOKINU ELISA</t>
  </si>
  <si>
    <t>94119</t>
  </si>
  <si>
    <t>IZOLACE A UCHOVÁNÍ LIDSKÉ DNA (RNA)</t>
  </si>
  <si>
    <t>34</t>
  </si>
  <si>
    <t>0003132</t>
  </si>
  <si>
    <t>GADOVIST 1,0 MMOL/ML</t>
  </si>
  <si>
    <t>0003134</t>
  </si>
  <si>
    <t>0022075</t>
  </si>
  <si>
    <t>IOMERON 400</t>
  </si>
  <si>
    <t>0042433</t>
  </si>
  <si>
    <t>VISIPAQUE 320 MG I/ML</t>
  </si>
  <si>
    <t>0045123</t>
  </si>
  <si>
    <t>0059494</t>
  </si>
  <si>
    <t>LIPIODOL ULTRA-FLUIDE</t>
  </si>
  <si>
    <t>0077018</t>
  </si>
  <si>
    <t>0077019</t>
  </si>
  <si>
    <t>0077024</t>
  </si>
  <si>
    <t>ULTRAVIST 300</t>
  </si>
  <si>
    <t>0095607</t>
  </si>
  <si>
    <t>MICROPAQUE</t>
  </si>
  <si>
    <t>0095609</t>
  </si>
  <si>
    <t>MICROPAQUE CT</t>
  </si>
  <si>
    <t>0034038</t>
  </si>
  <si>
    <t>JEHLA BIOPTICKÁ ASPIRAČNÍ, CHIBA,ECHOTIP</t>
  </si>
  <si>
    <t>0038462</t>
  </si>
  <si>
    <t>DRÁT VODÍCÍ GUIDE WIRE M</t>
  </si>
  <si>
    <t>0038482</t>
  </si>
  <si>
    <t>0038483</t>
  </si>
  <si>
    <t>0038498</t>
  </si>
  <si>
    <t>KATETR ANGIOGRAFICKÝ GLIDECATH</t>
  </si>
  <si>
    <t>0038503</t>
  </si>
  <si>
    <t>SOUPRAVA ZAVÁDĚCÍ INTRODUCER</t>
  </si>
  <si>
    <t>0038505</t>
  </si>
  <si>
    <t>0046273</t>
  </si>
  <si>
    <t>STENT JÍCNOVÝ,DUODENÁLNÍ,REKTÁLNÍ,BILIÁRNÍ BRONCHI</t>
  </si>
  <si>
    <t>0048347</t>
  </si>
  <si>
    <t>KATETR INFUZNÍ CRAGG MAC NAMMARA</t>
  </si>
  <si>
    <t>0048523</t>
  </si>
  <si>
    <t>VODIČ INTERVENČNÍ SELECTIVA DO 145CM</t>
  </si>
  <si>
    <t>0048668</t>
  </si>
  <si>
    <t>DRÁT VODÍCÍ NITINOL</t>
  </si>
  <si>
    <t>0049857</t>
  </si>
  <si>
    <t>KATETR INTRACEREBRÁLNÍ SONIC</t>
  </si>
  <si>
    <t>0052140</t>
  </si>
  <si>
    <t>KATETR DILATAČNÍ PTA WANDA, SMASH</t>
  </si>
  <si>
    <t>0052704</t>
  </si>
  <si>
    <t>KATETR DRENÁŽNÍ</t>
  </si>
  <si>
    <t>0053358</t>
  </si>
  <si>
    <t>KATETR ANGIOGRAFICKÝ SLIP-CATH HYDROFILNÍ</t>
  </si>
  <si>
    <t>0053374</t>
  </si>
  <si>
    <t xml:space="preserve">KATETR ANGIOPLASTICKÝ LARGE OMEGA, PRŮMĚR 7 - 8.5 </t>
  </si>
  <si>
    <t>0053397</t>
  </si>
  <si>
    <t>DRÁT VODÍCÍ MICRO SORCERER/STEEL</t>
  </si>
  <si>
    <t>0053563</t>
  </si>
  <si>
    <t>KATETR DIAGNOSTICKÝ TEMPO4F,5F</t>
  </si>
  <si>
    <t>0053643</t>
  </si>
  <si>
    <t>KATETR BALONKOVÝ PTA QUADRIMATRIX/MARS</t>
  </si>
  <si>
    <t>0053925</t>
  </si>
  <si>
    <t>KATETR BALÓNKOVÝ PTA SYMMETRY, MUSTANG</t>
  </si>
  <si>
    <t>0053936</t>
  </si>
  <si>
    <t>SYSTÉM ZAVÁDĚCÍ ACCUSTICK II 20-705</t>
  </si>
  <si>
    <t>0054358</t>
  </si>
  <si>
    <t>KATETR DIAGNOSTICKÝ SUPER TORQUE 5F,6F 533525-686</t>
  </si>
  <si>
    <t>0054472</t>
  </si>
  <si>
    <t>KATETR BALÓNKOVÝ OKLUZNÍ PRO ZENITH</t>
  </si>
  <si>
    <t>0056125</t>
  </si>
  <si>
    <t>KATETR ASPIRAČNÍ, KATETR MĚŘÍCÍ</t>
  </si>
  <si>
    <t>0056361</t>
  </si>
  <si>
    <t>ZAVADĚČ FLEXOR BALKIN RADIOOPÁKNÍ ZNAČKA</t>
  </si>
  <si>
    <t>0057769</t>
  </si>
  <si>
    <t>DILATÁTOR COPE-SADDEKNI SFA ACCESS</t>
  </si>
  <si>
    <t>0057792</t>
  </si>
  <si>
    <t>SHUNT TRANSJUGULÁRNÍ RING-CS</t>
  </si>
  <si>
    <t>0057823</t>
  </si>
  <si>
    <t>KATETR ANGIOGRAFICKÝ TORCON,PRŮMĚR 4.1 AŽ 7 FRENCH</t>
  </si>
  <si>
    <t>0057824</t>
  </si>
  <si>
    <t>0057827</t>
  </si>
  <si>
    <t>KATETR ANGIOGRAFICKÝ VYSOKOTLAKÝ, PRŮMĚR 4 A 5 FR</t>
  </si>
  <si>
    <t>0057832</t>
  </si>
  <si>
    <t>KATETR ANGIOGRAFICKÝ TFE,PRŮMĚR 3 AŽ 7 FRENCH</t>
  </si>
  <si>
    <t>0057844</t>
  </si>
  <si>
    <t>TĚLÍSKO EMBOLIZAČNÍ TORNADO</t>
  </si>
  <si>
    <t>0058462</t>
  </si>
  <si>
    <t>VODIČ DRÁTĚNÝ LUNDERQUIST EXTRA STIFF, ZAHNUTÝ</t>
  </si>
  <si>
    <t>0058692</t>
  </si>
  <si>
    <t>STENTGRAFT AORTÁLNÍ ZENITH FLEX,SAMOEXPANDIBILNÍ,O</t>
  </si>
  <si>
    <t>0058736</t>
  </si>
  <si>
    <t>TĚLÍSKO EMBOLIZAČNÍ NESTER</t>
  </si>
  <si>
    <t>0058751</t>
  </si>
  <si>
    <t>KATETR BALÓNKOVÝ OKLUZNÍ PRO ZENITH AAA</t>
  </si>
  <si>
    <t>0059345</t>
  </si>
  <si>
    <t>INDEFLÁTOR 622510</t>
  </si>
  <si>
    <t>0059579</t>
  </si>
  <si>
    <t>STENT PERIFERNÍ HEPATICKÝ GORE VIATORR TIPS,SAMOEX</t>
  </si>
  <si>
    <t>0059795</t>
  </si>
  <si>
    <t>DRÁT VODÍCÍ ANGIODYN J3 FC-FS 150-0,35</t>
  </si>
  <si>
    <t>0059987</t>
  </si>
  <si>
    <t>SYSTÉM EMBOLIC ONYX 105-7000, ONYX HD 500,500+</t>
  </si>
  <si>
    <t>0092125</t>
  </si>
  <si>
    <t>MIKROKATETR PROGREAT PC2411-2813, PP27111-27131</t>
  </si>
  <si>
    <t>0092559</t>
  </si>
  <si>
    <t>SADA AG - SYSTÉM PRO UZAVÍRÁNÍ CÉV - FEMORÁLNÍ - S</t>
  </si>
  <si>
    <t>0092932</t>
  </si>
  <si>
    <t>SADA DRENÁŽNÍ</t>
  </si>
  <si>
    <t>0094328</t>
  </si>
  <si>
    <t>STENT PERIFERNÍ SCUBA,BALONEXPANDIBILNÍ,COCR</t>
  </si>
  <si>
    <t>0141907</t>
  </si>
  <si>
    <t>STENT JÍC.BILIÁRNÍ,KOLOREK.DUODEN.TRACH.BRONCH.SX-</t>
  </si>
  <si>
    <t>0051244</t>
  </si>
  <si>
    <t>KATETR VODÍCÍ GUIDER</t>
  </si>
  <si>
    <t>0111638</t>
  </si>
  <si>
    <t>STENT PERIFERNÍ ISTHMUS LOGIC,BALONEXPANDIBILNÍ,CO</t>
  </si>
  <si>
    <t>0046127</t>
  </si>
  <si>
    <t>KATETR BALONKOVÝ PTA - ŘEZACÍ - CUTTING</t>
  </si>
  <si>
    <t>0054478</t>
  </si>
  <si>
    <t>STENTGRAFT AORTÁLNÍ ZENITH FLEX AAA,SAMOEXPANDIBIL</t>
  </si>
  <si>
    <t>0048349</t>
  </si>
  <si>
    <t>KATETR INFUZNÍ VODIČ PROSTREAM 41271..41278</t>
  </si>
  <si>
    <t>89117</t>
  </si>
  <si>
    <t>RTG KRKU A KRČNÍ PÁTEŘE</t>
  </si>
  <si>
    <t>89123</t>
  </si>
  <si>
    <t>RTG PÁNVE NEBO KYČELNÍHO KLOUBU</t>
  </si>
  <si>
    <t>89127</t>
  </si>
  <si>
    <t>RTG KOSTÍ A KLOUBŮ KONČETIN</t>
  </si>
  <si>
    <t>89147</t>
  </si>
  <si>
    <t>RTG ŽALUDKU A DUODENA</t>
  </si>
  <si>
    <t>89198</t>
  </si>
  <si>
    <t>SKIASKOPIE</t>
  </si>
  <si>
    <t>89313</t>
  </si>
  <si>
    <t xml:space="preserve">PERKUTÁNNÍ PUNKCE NEBO BIOPSIE ŘÍZENÁ RDG METODOU </t>
  </si>
  <si>
    <t>89317</t>
  </si>
  <si>
    <t>SELEKTIVNÍ TROMBOLÝZA</t>
  </si>
  <si>
    <t>89323</t>
  </si>
  <si>
    <t>TERAPEUTICKÁ EMBOLIZACE V CÉVNÍM ŘEČIŠTI</t>
  </si>
  <si>
    <t>89327</t>
  </si>
  <si>
    <t>KONTROLNÍ NÁSTŘIK DRENÁŽNÍHO KATÉTRU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</si>
  <si>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</si>
  <si>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</si>
  <si>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</si>
  <si>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</si>
  <si>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89409</t>
  </si>
  <si>
    <t>ZAVEDENÍ STENTGRAFTU DO NEKORONÁRNÍHO TEPENNÉHO NE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</si>
  <si>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</si>
  <si>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</si>
  <si>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</si>
  <si>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</si>
  <si>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</si>
  <si>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</si>
  <si>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89453</t>
  </si>
  <si>
    <t>PERKUTÁNNÍ TRANSHEPATÁLNÍ CHOLANGIOGRAFIE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</si>
  <si>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</si>
  <si>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</si>
  <si>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</si>
  <si>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</si>
  <si>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</si>
  <si>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</si>
  <si>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89717</t>
  </si>
  <si>
    <t>MR ZOBRAZENÍ SRDCE</t>
  </si>
  <si>
    <t>89723</t>
  </si>
  <si>
    <t>MR ANGIOGRAFIE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</si>
  <si>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</si>
  <si>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</si>
  <si>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</si>
  <si>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</si>
  <si>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</si>
  <si>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</si>
  <si>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</si>
  <si>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</si>
  <si>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</si>
  <si>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</si>
  <si>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</si>
  <si>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</si>
  <si>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89331</t>
  </si>
  <si>
    <t>ZAVEDENÍ STENTU DO TEPENNÉHO ČI ŽILNÍHO ŘEČIŠTĚ</t>
  </si>
  <si>
    <t>89111</t>
  </si>
  <si>
    <t>RTG PRSTŮ A ZÁPRSTNÍCH KŮSTEK RUKY NEBO NOHY</t>
  </si>
  <si>
    <t>89201</t>
  </si>
  <si>
    <t>SKIASKOPIE NA OPERAČNÍM ČI ZÁKROKOVÉM SÁLE MOBILNÍ</t>
  </si>
  <si>
    <t>89145</t>
  </si>
  <si>
    <t>RTG JÍCNU</t>
  </si>
  <si>
    <t>89161</t>
  </si>
  <si>
    <t>CHOLANGIOGRAFIE PEROPERAČNÍ NEBO T-DRÉNEM</t>
  </si>
  <si>
    <t>89611</t>
  </si>
  <si>
    <t>CT VYŠETŘENÍ HLAVY NEBO TĚLA NATIVNÍ A KONTRASTNÍ</t>
  </si>
  <si>
    <t>89415</t>
  </si>
  <si>
    <t>89155</t>
  </si>
  <si>
    <t>RTG VYŠETŘENÍ TLUSTÉHO STŘEVA</t>
  </si>
  <si>
    <t>89411</t>
  </si>
  <si>
    <t>PŘEHLEDNÁ  ČI SELEKTIVNÍ ANGIOGRAFIE</t>
  </si>
  <si>
    <t>89325</t>
  </si>
  <si>
    <t>PERKUTÁNNÍ DRENÁŽ ABSCESU, CYSTY EV. JINÉ DUTINY R</t>
  </si>
  <si>
    <t>89441</t>
  </si>
  <si>
    <t>KATETRIZACE JATERNÍCH ŽIL</t>
  </si>
  <si>
    <t>89421</t>
  </si>
  <si>
    <t>MĚŘENÍ TLAKU PŘI ANGIOGRAFII</t>
  </si>
  <si>
    <t>89189</t>
  </si>
  <si>
    <t>FISTULOGRAFIE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</si>
  <si>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</si>
  <si>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</si>
  <si>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</si>
  <si>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</si>
  <si>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</si>
  <si>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</si>
  <si>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</si>
  <si>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</si>
  <si>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</si>
  <si>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</si>
  <si>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</si>
  <si>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22219</t>
  </si>
  <si>
    <t>22355</t>
  </si>
  <si>
    <t>KONZULTACE ODBORNÉHO TRANSFÚZIOLOGA - IMUNOHEMATOL</t>
  </si>
  <si>
    <t>82077</t>
  </si>
  <si>
    <t>STANOVENÍ PROTILÁTEK PROTI ANTIGENŮM VIRŮ HEPATITI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</si>
  <si>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</si>
  <si>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</si>
  <si>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</si>
  <si>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</si>
  <si>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</si>
  <si>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</si>
  <si>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</si>
  <si>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</si>
  <si>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</si>
  <si>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</si>
  <si>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</si>
  <si>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</si>
  <si>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</si>
  <si>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</si>
  <si>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</si>
  <si>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</si>
  <si>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</si>
  <si>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</si>
  <si>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22113</t>
  </si>
  <si>
    <t>VYŠETŘENÍ KREVNÍ SKUPINY ABO RH (D) U NOVOROZENCE</t>
  </si>
  <si>
    <t>22341</t>
  </si>
  <si>
    <t>IDENTIFIKACE ANTIERYTROCYTÁRNÍCH PROTILÁTEK - ZKUM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</si>
  <si>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</si>
  <si>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</si>
  <si>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</si>
  <si>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</si>
  <si>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</si>
  <si>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</si>
  <si>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</si>
  <si>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</si>
  <si>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</si>
  <si>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</si>
  <si>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</si>
  <si>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</si>
  <si>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</si>
  <si>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</si>
  <si>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</si>
  <si>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</si>
  <si>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</si>
  <si>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</si>
  <si>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87413</t>
  </si>
  <si>
    <t>CYTOLOGICKÉ OTISKY A STĚRY -  ZA 1-3 PREPARÁTY</t>
  </si>
  <si>
    <t>87431</t>
  </si>
  <si>
    <t>PREPARÁTY METODOU CYTOBLOKU - ZA KAŽDÝ PREPARÁT</t>
  </si>
  <si>
    <t>87433</t>
  </si>
  <si>
    <t>STANDARDNÍ CYTOLOGICKÉ BARVENÍ,  ZA 1-3 PREPARÁTY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</si>
  <si>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</si>
  <si>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</si>
  <si>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</si>
  <si>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</si>
  <si>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</si>
  <si>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</si>
  <si>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</si>
  <si>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</si>
  <si>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</si>
  <si>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</si>
  <si>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87617</t>
  </si>
  <si>
    <t xml:space="preserve">STANOVENÍ DIAGNÓZY IV. STUPNĚ OBTÍŽNOSTI Z JINÉHO 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</si>
  <si>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</si>
  <si>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</si>
  <si>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</si>
  <si>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</si>
  <si>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</si>
  <si>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</si>
  <si>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</si>
  <si>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</si>
  <si>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</si>
  <si>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</si>
  <si>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</si>
  <si>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</si>
  <si>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</si>
  <si>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</si>
  <si>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</si>
  <si>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</si>
  <si>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</si>
  <si>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</si>
  <si>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</si>
  <si>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</si>
  <si>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</si>
  <si>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</si>
  <si>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87435</t>
  </si>
  <si>
    <t>STANDARDNÍ CYTOLOGICKÉ BARVENÍ,  ZA 4-10  PREPARÁT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</si>
  <si>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</si>
  <si>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</si>
  <si>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</si>
  <si>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</si>
  <si>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</si>
  <si>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</si>
  <si>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</si>
  <si>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</si>
  <si>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87209</t>
  </si>
  <si>
    <t>HISTOTOPOGRAM (5 X 5 CM A VĚTŠÍ)</t>
  </si>
  <si>
    <t>87011</t>
  </si>
  <si>
    <t>KONZULTACE NÁLEZU PATOLOGEM CÍLENÁ NA ŽÁDOST OŠETŘ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</si>
  <si>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</si>
  <si>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</si>
  <si>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</si>
  <si>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</si>
  <si>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</si>
  <si>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</si>
  <si>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</si>
  <si>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</si>
  <si>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82061</t>
  </si>
  <si>
    <t>IDENTIFIKACE ANAEROBNÍHO KMENE PODROBNÁ</t>
  </si>
  <si>
    <t>82087</t>
  </si>
  <si>
    <t>STANOVENÍ PROTILÁTEK AGLUTINACÍ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</si>
  <si>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</si>
  <si>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</si>
  <si>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</si>
  <si>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</si>
  <si>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</si>
  <si>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</si>
  <si>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</si>
  <si>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</si>
  <si>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</si>
  <si>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</si>
  <si>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</si>
  <si>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</si>
  <si>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</si>
  <si>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</si>
  <si>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</si>
  <si>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</si>
  <si>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</si>
  <si>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</si>
  <si>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</si>
  <si>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</si>
  <si>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</si>
  <si>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</si>
  <si>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82063</t>
  </si>
  <si>
    <t>STANOVENÍ CITLIVOSTI NA ATB KVALITATIVNÍ METODOU</t>
  </si>
  <si>
    <t>82083</t>
  </si>
  <si>
    <t>PRŮKAZ BAKTERIÁLNÍHO TOXINU BIOLOGICKÝM POKUSEM NA</t>
  </si>
  <si>
    <t>82123</t>
  </si>
  <si>
    <t>PRŮKAZ  BAKTERIÁLNÍHO, VIROVÉHO, PARAZITÁRNÍHO EV.</t>
  </si>
  <si>
    <t>41</t>
  </si>
  <si>
    <t>86413</t>
  </si>
  <si>
    <t>SCREENING PROTILÁTEK NA PANELU 30TI DÁRCŮ</t>
  </si>
  <si>
    <t>91161</t>
  </si>
  <si>
    <t>STANOVENÍ C4 SLOŽKY KOMPLEMENTU</t>
  </si>
  <si>
    <t>91439</t>
  </si>
  <si>
    <t>IMUNOFENOTYPIZACE BUNĚČNÝCH SUBPOPULACÍ DLE POVRCH</t>
  </si>
  <si>
    <t>91355</t>
  </si>
  <si>
    <t>STANOVENÍ CIK METODOU PEG-IKEM</t>
  </si>
  <si>
    <t>91189</t>
  </si>
  <si>
    <t>STANOVENÍ IgE</t>
  </si>
  <si>
    <t>91159</t>
  </si>
  <si>
    <t>STANOVENÍ C3 SLOŽKY KOMPLEMENTU</t>
  </si>
  <si>
    <t>44</t>
  </si>
  <si>
    <t>816</t>
  </si>
  <si>
    <t>91431</t>
  </si>
  <si>
    <t>ZVLÁŠTĚ NÁROČNÉ IZOLACE BUNĚK GRADIENTOVOU CENTRIF</t>
  </si>
  <si>
    <t>94211</t>
  </si>
  <si>
    <t>DLOUHODOBÁ KULTIVACE BUNĚK RŮZNÝCH TKÁNÍ Z PRENATÁ</t>
  </si>
  <si>
    <t>94195</t>
  </si>
  <si>
    <t>SYNTÉZA cDNA REVERZNÍ TRANSKRIPCÍ</t>
  </si>
  <si>
    <t>Zdravotní výkony (vybraných odborností) vyžádané pro pacienty hospitalizované na vlastním pracovišti - orientační přehled</t>
  </si>
  <si>
    <t xml:space="preserve">TISS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</si>
</sst>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68" formatCode="0.0%"/>
    <numFmt numFmtId="169" formatCode="0.0"/>
    <numFmt numFmtId="170" formatCode="#,##0,"/>
    <numFmt numFmtId="171" formatCode="#\ ##0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  <numFmt numFmtId="178" formatCode="#,##0.000"/>
  </numFmts>
  <fonts count="6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890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2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2" fontId="31" fillId="3" borderId="29" xfId="81" applyNumberFormat="1" applyFont="1" applyFill="1" applyBorder="1"/>
    <xf numFmtId="172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5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1" fontId="32" fillId="0" borderId="26" xfId="26" applyNumberFormat="1" applyFont="1" applyFill="1" applyBorder="1"/>
    <xf numFmtId="9" fontId="32" fillId="0" borderId="27" xfId="26" applyNumberFormat="1" applyFont="1" applyFill="1" applyBorder="1"/>
    <xf numFmtId="171" fontId="32" fillId="0" borderId="49" xfId="26" applyNumberFormat="1" applyFont="1" applyFill="1" applyBorder="1"/>
    <xf numFmtId="171" fontId="32" fillId="0" borderId="10" xfId="26" applyNumberFormat="1" applyFont="1" applyFill="1" applyBorder="1"/>
    <xf numFmtId="9" fontId="32" fillId="0" borderId="12" xfId="26" applyNumberFormat="1" applyFont="1" applyFill="1" applyBorder="1"/>
    <xf numFmtId="171" fontId="32" fillId="0" borderId="38" xfId="26" applyNumberFormat="1" applyFont="1" applyFill="1" applyBorder="1"/>
    <xf numFmtId="171" fontId="32" fillId="0" borderId="23" xfId="26" applyNumberFormat="1" applyFont="1" applyFill="1" applyBorder="1"/>
    <xf numFmtId="9" fontId="32" fillId="0" borderId="24" xfId="26" applyNumberFormat="1" applyFont="1" applyFill="1" applyBorder="1"/>
    <xf numFmtId="171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7" fontId="5" fillId="0" borderId="0" xfId="26" applyNumberFormat="1" applyFont="1" applyFill="1"/>
    <xf numFmtId="169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5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8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8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8" fontId="34" fillId="2" borderId="22" xfId="26" applyNumberFormat="1" applyFont="1" applyFill="1" applyBorder="1" applyAlignment="1">
      <alignment horizontal="center"/>
    </xf>
    <xf numFmtId="168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8" fontId="34" fillId="7" borderId="7" xfId="86" applyNumberFormat="1" applyFont="1" applyFill="1" applyBorder="1"/>
    <xf numFmtId="168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8" fontId="34" fillId="7" borderId="12" xfId="86" applyNumberFormat="1" applyFont="1" applyFill="1" applyBorder="1"/>
    <xf numFmtId="168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8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8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8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8" fontId="34" fillId="3" borderId="22" xfId="86" applyNumberFormat="1" applyFont="1" applyFill="1" applyBorder="1" applyAlignment="1">
      <alignment horizontal="right"/>
    </xf>
    <xf numFmtId="168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8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8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8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8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8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1" fontId="34" fillId="2" borderId="48" xfId="26" quotePrefix="1" applyNumberFormat="1" applyFont="1" applyFill="1" applyBorder="1" applyAlignment="1">
      <alignment horizontal="center"/>
    </xf>
    <xf numFmtId="171" fontId="34" fillId="2" borderId="9" xfId="26" quotePrefix="1" applyNumberFormat="1" applyFont="1" applyFill="1" applyBorder="1" applyAlignment="1">
      <alignment horizontal="center"/>
    </xf>
    <xf numFmtId="171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1" xfId="53" applyFont="1" applyFill="1" applyBorder="1" applyAlignment="1">
      <alignment horizontal="right"/>
    </xf>
    <xf numFmtId="165" fontId="34" fillId="0" borderId="76" xfId="53" applyNumberFormat="1" applyFont="1" applyFill="1" applyBorder="1"/>
    <xf numFmtId="165" fontId="34" fillId="0" borderId="77" xfId="53" applyNumberFormat="1" applyFont="1" applyFill="1" applyBorder="1"/>
    <xf numFmtId="9" fontId="34" fillId="0" borderId="78" xfId="83" applyNumberFormat="1" applyFont="1" applyFill="1" applyBorder="1"/>
    <xf numFmtId="170" fontId="34" fillId="0" borderId="76" xfId="53" applyNumberFormat="1" applyFont="1" applyFill="1" applyBorder="1"/>
    <xf numFmtId="170" fontId="34" fillId="0" borderId="77" xfId="53" applyNumberFormat="1" applyFont="1" applyFill="1" applyBorder="1"/>
    <xf numFmtId="3" fontId="34" fillId="0" borderId="78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170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1" fontId="32" fillId="0" borderId="48" xfId="26" quotePrefix="1" applyNumberFormat="1" applyFont="1" applyFill="1" applyBorder="1" applyAlignment="1">
      <alignment horizontal="right"/>
    </xf>
    <xf numFmtId="171" fontId="32" fillId="0" borderId="9" xfId="26" quotePrefix="1" applyNumberFormat="1" applyFont="1" applyFill="1" applyBorder="1" applyAlignment="1">
      <alignment horizontal="right"/>
    </xf>
    <xf numFmtId="171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80" xfId="53" applyNumberFormat="1" applyFont="1" applyFill="1" applyBorder="1"/>
    <xf numFmtId="169" fontId="5" fillId="0" borderId="0" xfId="26" applyNumberFormat="1" applyFont="1" applyFill="1"/>
    <xf numFmtId="167" fontId="3" fillId="2" borderId="32" xfId="24" applyNumberFormat="1" applyFont="1" applyFill="1" applyBorder="1" applyAlignment="1">
      <alignment horizontal="center" vertical="center" wrapText="1"/>
    </xf>
    <xf numFmtId="170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2" xfId="26" applyNumberFormat="1" applyFont="1" applyFill="1" applyBorder="1"/>
    <xf numFmtId="3" fontId="32" fillId="7" borderId="62" xfId="26" applyNumberFormat="1" applyFont="1" applyFill="1" applyBorder="1"/>
    <xf numFmtId="168" fontId="34" fillId="7" borderId="70" xfId="86" applyNumberFormat="1" applyFont="1" applyFill="1" applyBorder="1" applyAlignment="1">
      <alignment horizontal="right"/>
    </xf>
    <xf numFmtId="3" fontId="32" fillId="7" borderId="83" xfId="26" applyNumberFormat="1" applyFont="1" applyFill="1" applyBorder="1"/>
    <xf numFmtId="168" fontId="34" fillId="7" borderId="70" xfId="86" applyNumberFormat="1" applyFont="1" applyFill="1" applyBorder="1"/>
    <xf numFmtId="3" fontId="32" fillId="0" borderId="82" xfId="26" applyNumberFormat="1" applyFont="1" applyFill="1" applyBorder="1" applyAlignment="1">
      <alignment horizontal="center"/>
    </xf>
    <xf numFmtId="3" fontId="32" fillId="0" borderId="70" xfId="26" applyNumberFormat="1" applyFont="1" applyFill="1" applyBorder="1" applyAlignment="1">
      <alignment horizontal="center"/>
    </xf>
    <xf numFmtId="3" fontId="32" fillId="7" borderId="82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5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9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3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4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1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61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2" fontId="43" fillId="0" borderId="0" xfId="0" applyNumberFormat="1" applyFont="1" applyFill="1"/>
    <xf numFmtId="173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5" fontId="35" fillId="0" borderId="0" xfId="0" applyNumberFormat="1" applyFont="1" applyFill="1"/>
    <xf numFmtId="9" fontId="35" fillId="0" borderId="0" xfId="0" applyNumberFormat="1" applyFont="1" applyFill="1"/>
    <xf numFmtId="165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5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6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70" fontId="42" fillId="0" borderId="21" xfId="0" applyNumberFormat="1" applyFont="1" applyFill="1" applyBorder="1" applyAlignment="1"/>
    <xf numFmtId="170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70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70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8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9" fontId="3" fillId="0" borderId="46" xfId="26" applyNumberFormat="1" applyFont="1" applyFill="1" applyBorder="1" applyAlignment="1">
      <alignment vertical="center"/>
    </xf>
    <xf numFmtId="167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4" xfId="0" applyNumberFormat="1" applyFont="1" applyFill="1" applyBorder="1"/>
    <xf numFmtId="3" fontId="59" fillId="9" borderId="85" xfId="0" applyNumberFormat="1" applyFont="1" applyFill="1" applyBorder="1"/>
    <xf numFmtId="3" fontId="59" fillId="9" borderId="84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88" xfId="0" applyNumberFormat="1" applyFont="1" applyFill="1" applyBorder="1" applyAlignment="1">
      <alignment horizontal="center" vertical="center"/>
    </xf>
    <xf numFmtId="0" fontId="42" fillId="2" borderId="89" xfId="0" applyFont="1" applyFill="1" applyBorder="1" applyAlignment="1">
      <alignment horizontal="center" vertical="center"/>
    </xf>
    <xf numFmtId="3" fontId="61" fillId="2" borderId="91" xfId="0" applyNumberFormat="1" applyFont="1" applyFill="1" applyBorder="1" applyAlignment="1">
      <alignment horizontal="center" vertical="center" wrapText="1"/>
    </xf>
    <xf numFmtId="0" fontId="61" fillId="2" borderId="92" xfId="0" applyFont="1" applyFill="1" applyBorder="1" applyAlignment="1">
      <alignment horizontal="center" vertical="center" wrapText="1"/>
    </xf>
    <xf numFmtId="0" fontId="42" fillId="2" borderId="94" xfId="0" applyFont="1" applyFill="1" applyBorder="1" applyAlignment="1"/>
    <xf numFmtId="0" fontId="42" fillId="2" borderId="96" xfId="0" applyFont="1" applyFill="1" applyBorder="1" applyAlignment="1">
      <alignment horizontal="left" indent="1"/>
    </xf>
    <xf numFmtId="0" fontId="42" fillId="2" borderId="102" xfId="0" applyFont="1" applyFill="1" applyBorder="1" applyAlignment="1">
      <alignment horizontal="left" indent="1"/>
    </xf>
    <xf numFmtId="0" fontId="42" fillId="4" borderId="94" xfId="0" applyFont="1" applyFill="1" applyBorder="1" applyAlignment="1"/>
    <xf numFmtId="0" fontId="42" fillId="4" borderId="96" xfId="0" applyFont="1" applyFill="1" applyBorder="1" applyAlignment="1">
      <alignment horizontal="left" indent="1"/>
    </xf>
    <xf numFmtId="0" fontId="42" fillId="4" borderId="107" xfId="0" applyFont="1" applyFill="1" applyBorder="1" applyAlignment="1">
      <alignment horizontal="left" indent="1"/>
    </xf>
    <xf numFmtId="0" fontId="35" fillId="2" borderId="96" xfId="0" quotePrefix="1" applyFont="1" applyFill="1" applyBorder="1" applyAlignment="1">
      <alignment horizontal="left" indent="2"/>
    </xf>
    <xf numFmtId="0" fontId="35" fillId="2" borderId="102" xfId="0" quotePrefix="1" applyFont="1" applyFill="1" applyBorder="1" applyAlignment="1">
      <alignment horizontal="left" indent="2"/>
    </xf>
    <xf numFmtId="0" fontId="42" fillId="2" borderId="94" xfId="0" applyFont="1" applyFill="1" applyBorder="1" applyAlignment="1">
      <alignment horizontal="left" indent="1"/>
    </xf>
    <xf numFmtId="0" fontId="42" fillId="2" borderId="107" xfId="0" applyFont="1" applyFill="1" applyBorder="1" applyAlignment="1">
      <alignment horizontal="left" indent="1"/>
    </xf>
    <xf numFmtId="0" fontId="42" fillId="4" borderId="102" xfId="0" applyFont="1" applyFill="1" applyBorder="1" applyAlignment="1">
      <alignment horizontal="left" indent="1"/>
    </xf>
    <xf numFmtId="0" fontId="35" fillId="0" borderId="112" xfId="0" applyFont="1" applyBorder="1"/>
    <xf numFmtId="3" fontId="35" fillId="0" borderId="112" xfId="0" applyNumberFormat="1" applyFont="1" applyBorder="1"/>
    <xf numFmtId="0" fontId="42" fillId="4" borderId="86" xfId="0" applyFont="1" applyFill="1" applyBorder="1" applyAlignment="1">
      <alignment horizontal="center" vertical="center"/>
    </xf>
    <xf numFmtId="0" fontId="42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1" xfId="0" applyNumberFormat="1" applyFont="1" applyFill="1" applyBorder="1" applyAlignment="1">
      <alignment horizontal="center" vertical="center"/>
    </xf>
    <xf numFmtId="3" fontId="61" fillId="2" borderId="109" xfId="0" applyNumberFormat="1" applyFont="1" applyFill="1" applyBorder="1" applyAlignment="1">
      <alignment horizontal="center" vertical="center" wrapText="1"/>
    </xf>
    <xf numFmtId="174" fontId="42" fillId="4" borderId="95" xfId="0" applyNumberFormat="1" applyFont="1" applyFill="1" applyBorder="1" applyAlignment="1"/>
    <xf numFmtId="174" fontId="42" fillId="4" borderId="88" xfId="0" applyNumberFormat="1" applyFont="1" applyFill="1" applyBorder="1" applyAlignment="1"/>
    <xf numFmtId="174" fontId="42" fillId="4" borderId="89" xfId="0" applyNumberFormat="1" applyFont="1" applyFill="1" applyBorder="1" applyAlignment="1"/>
    <xf numFmtId="174" fontId="42" fillId="0" borderId="97" xfId="0" applyNumberFormat="1" applyFont="1" applyBorder="1"/>
    <xf numFmtId="174" fontId="35" fillId="0" borderId="101" xfId="0" applyNumberFormat="1" applyFont="1" applyBorder="1"/>
    <xf numFmtId="174" fontId="35" fillId="0" borderId="99" xfId="0" applyNumberFormat="1" applyFont="1" applyBorder="1"/>
    <xf numFmtId="174" fontId="42" fillId="0" borderId="108" xfId="0" applyNumberFormat="1" applyFont="1" applyBorder="1"/>
    <xf numFmtId="174" fontId="35" fillId="0" borderId="109" xfId="0" applyNumberFormat="1" applyFont="1" applyBorder="1"/>
    <xf numFmtId="174" fontId="35" fillId="0" borderId="92" xfId="0" applyNumberFormat="1" applyFont="1" applyBorder="1"/>
    <xf numFmtId="174" fontId="42" fillId="2" borderId="110" xfId="0" applyNumberFormat="1" applyFont="1" applyFill="1" applyBorder="1" applyAlignment="1"/>
    <xf numFmtId="174" fontId="42" fillId="2" borderId="88" xfId="0" applyNumberFormat="1" applyFont="1" applyFill="1" applyBorder="1" applyAlignment="1"/>
    <xf numFmtId="174" fontId="42" fillId="2" borderId="89" xfId="0" applyNumberFormat="1" applyFont="1" applyFill="1" applyBorder="1" applyAlignment="1"/>
    <xf numFmtId="174" fontId="42" fillId="0" borderId="103" xfId="0" applyNumberFormat="1" applyFont="1" applyBorder="1"/>
    <xf numFmtId="174" fontId="35" fillId="0" borderId="104" xfId="0" applyNumberFormat="1" applyFont="1" applyBorder="1"/>
    <xf numFmtId="174" fontId="35" fillId="0" borderId="105" xfId="0" applyNumberFormat="1" applyFont="1" applyBorder="1"/>
    <xf numFmtId="174" fontId="42" fillId="0" borderId="95" xfId="0" applyNumberFormat="1" applyFont="1" applyBorder="1"/>
    <xf numFmtId="174" fontId="35" fillId="0" borderId="111" xfId="0" applyNumberFormat="1" applyFont="1" applyBorder="1"/>
    <xf numFmtId="174" fontId="35" fillId="0" borderId="89" xfId="0" applyNumberFormat="1" applyFont="1" applyBorder="1"/>
    <xf numFmtId="175" fontId="42" fillId="2" borderId="95" xfId="0" applyNumberFormat="1" applyFont="1" applyFill="1" applyBorder="1" applyAlignment="1"/>
    <xf numFmtId="175" fontId="35" fillId="2" borderId="88" xfId="0" applyNumberFormat="1" applyFont="1" applyFill="1" applyBorder="1" applyAlignment="1"/>
    <xf numFmtId="175" fontId="35" fillId="2" borderId="89" xfId="0" applyNumberFormat="1" applyFont="1" applyFill="1" applyBorder="1" applyAlignment="1"/>
    <xf numFmtId="175" fontId="42" fillId="0" borderId="97" xfId="0" applyNumberFormat="1" applyFont="1" applyBorder="1"/>
    <xf numFmtId="175" fontId="35" fillId="0" borderId="98" xfId="0" applyNumberFormat="1" applyFont="1" applyBorder="1"/>
    <xf numFmtId="175" fontId="35" fillId="0" borderId="99" xfId="0" applyNumberFormat="1" applyFont="1" applyBorder="1"/>
    <xf numFmtId="175" fontId="35" fillId="0" borderId="101" xfId="0" applyNumberFormat="1" applyFont="1" applyBorder="1"/>
    <xf numFmtId="175" fontId="42" fillId="0" borderId="103" xfId="0" applyNumberFormat="1" applyFont="1" applyBorder="1"/>
    <xf numFmtId="175" fontId="35" fillId="0" borderId="104" xfId="0" applyNumberFormat="1" applyFont="1" applyBorder="1"/>
    <xf numFmtId="175" fontId="35" fillId="0" borderId="105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4" fontId="42" fillId="4" borderId="95" xfId="0" applyNumberFormat="1" applyFont="1" applyFill="1" applyBorder="1" applyAlignment="1">
      <alignment horizontal="center"/>
    </xf>
    <xf numFmtId="176" fontId="42" fillId="0" borderId="103" xfId="0" applyNumberFormat="1" applyFont="1" applyBorder="1"/>
    <xf numFmtId="0" fontId="34" fillId="2" borderId="120" xfId="74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20" xfId="81" applyFont="1" applyFill="1" applyBorder="1" applyAlignment="1">
      <alignment horizontal="center"/>
    </xf>
    <xf numFmtId="0" fontId="34" fillId="2" borderId="116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4" fillId="2" borderId="119" xfId="81" applyFont="1" applyFill="1" applyBorder="1" applyAlignment="1">
      <alignment horizontal="center"/>
    </xf>
    <xf numFmtId="0" fontId="34" fillId="2" borderId="10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5" fontId="34" fillId="0" borderId="0" xfId="53" applyNumberFormat="1" applyFont="1" applyFill="1" applyBorder="1" applyAlignment="1">
      <alignment horizontal="center"/>
    </xf>
    <xf numFmtId="165" fontId="32" fillId="0" borderId="0" xfId="79" applyNumberFormat="1" applyFont="1" applyFill="1" applyBorder="1" applyAlignment="1">
      <alignment horizontal="center"/>
    </xf>
    <xf numFmtId="165" fontId="34" fillId="2" borderId="26" xfId="53" applyNumberFormat="1" applyFont="1" applyFill="1" applyBorder="1" applyAlignment="1">
      <alignment horizontal="right"/>
    </xf>
    <xf numFmtId="165" fontId="32" fillId="2" borderId="31" xfId="79" applyNumberFormat="1" applyFont="1" applyFill="1" applyBorder="1" applyAlignment="1">
      <alignment horizontal="right"/>
    </xf>
    <xf numFmtId="165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6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6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0" fontId="2" fillId="0" borderId="2" xfId="26" applyFont="1" applyFill="1" applyBorder="1" applyAlignment="1"/>
    <xf numFmtId="167" fontId="42" fillId="2" borderId="87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4" xfId="0" applyFont="1" applyFill="1" applyBorder="1" applyAlignment="1">
      <alignment vertical="center"/>
    </xf>
    <xf numFmtId="3" fontId="34" fillId="2" borderId="66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49" fontId="34" fillId="2" borderId="32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6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6" fillId="2" borderId="53" xfId="0" applyNumberFormat="1" applyFont="1" applyFill="1" applyBorder="1" applyAlignment="1">
      <alignment horizontal="center" vertical="top"/>
    </xf>
    <xf numFmtId="0" fontId="34" fillId="2" borderId="66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0" fontId="46" fillId="2" borderId="53" xfId="0" applyNumberFormat="1" applyFont="1" applyFill="1" applyBorder="1" applyAlignment="1">
      <alignment horizontal="center" vertical="top"/>
    </xf>
    <xf numFmtId="168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66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6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 vertical="center" wrapText="1"/>
    </xf>
    <xf numFmtId="3" fontId="34" fillId="3" borderId="66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3" fontId="34" fillId="0" borderId="52" xfId="26" applyNumberFormat="1" applyFont="1" applyFill="1" applyBorder="1" applyAlignment="1">
      <alignment horizontal="right" vertical="top"/>
    </xf>
    <xf numFmtId="0" fontId="35" fillId="0" borderId="52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5" xfId="26" applyNumberFormat="1" applyFont="1" applyFill="1" applyBorder="1" applyAlignment="1">
      <alignment horizontal="center" vertical="center"/>
    </xf>
    <xf numFmtId="3" fontId="3" fillId="2" borderId="66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6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9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6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6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9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9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2" xfId="0" applyNumberFormat="1" applyFont="1" applyFill="1" applyBorder="1" applyAlignment="1">
      <alignment horizontal="right" vertical="top"/>
    </xf>
    <xf numFmtId="3" fontId="36" fillId="10" borderId="123" xfId="0" applyNumberFormat="1" applyFont="1" applyFill="1" applyBorder="1" applyAlignment="1">
      <alignment horizontal="right" vertical="top"/>
    </xf>
    <xf numFmtId="177" fontId="36" fillId="10" borderId="124" xfId="0" applyNumberFormat="1" applyFont="1" applyFill="1" applyBorder="1" applyAlignment="1">
      <alignment horizontal="right" vertical="top"/>
    </xf>
    <xf numFmtId="3" fontId="36" fillId="0" borderId="122" xfId="0" applyNumberFormat="1" applyFont="1" applyBorder="1" applyAlignment="1">
      <alignment horizontal="right" vertical="top"/>
    </xf>
    <xf numFmtId="177" fontId="36" fillId="10" borderId="125" xfId="0" applyNumberFormat="1" applyFont="1" applyFill="1" applyBorder="1" applyAlignment="1">
      <alignment horizontal="right" vertical="top"/>
    </xf>
    <xf numFmtId="3" fontId="38" fillId="10" borderId="127" xfId="0" applyNumberFormat="1" applyFont="1" applyFill="1" applyBorder="1" applyAlignment="1">
      <alignment horizontal="right" vertical="top"/>
    </xf>
    <xf numFmtId="3" fontId="38" fillId="10" borderId="128" xfId="0" applyNumberFormat="1" applyFont="1" applyFill="1" applyBorder="1" applyAlignment="1">
      <alignment horizontal="right" vertical="top"/>
    </xf>
    <xf numFmtId="0" fontId="38" fillId="10" borderId="129" xfId="0" applyFont="1" applyFill="1" applyBorder="1" applyAlignment="1">
      <alignment horizontal="right" vertical="top"/>
    </xf>
    <xf numFmtId="3" fontId="38" fillId="0" borderId="127" xfId="0" applyNumberFormat="1" applyFont="1" applyBorder="1" applyAlignment="1">
      <alignment horizontal="right" vertical="top"/>
    </xf>
    <xf numFmtId="0" fontId="38" fillId="10" borderId="130" xfId="0" applyFont="1" applyFill="1" applyBorder="1" applyAlignment="1">
      <alignment horizontal="right" vertical="top"/>
    </xf>
    <xf numFmtId="0" fontId="36" fillId="10" borderId="124" xfId="0" applyFont="1" applyFill="1" applyBorder="1" applyAlignment="1">
      <alignment horizontal="right" vertical="top"/>
    </xf>
    <xf numFmtId="0" fontId="36" fillId="10" borderId="125" xfId="0" applyFont="1" applyFill="1" applyBorder="1" applyAlignment="1">
      <alignment horizontal="right" vertical="top"/>
    </xf>
    <xf numFmtId="177" fontId="38" fillId="10" borderId="129" xfId="0" applyNumberFormat="1" applyFont="1" applyFill="1" applyBorder="1" applyAlignment="1">
      <alignment horizontal="right" vertical="top"/>
    </xf>
    <xf numFmtId="177" fontId="38" fillId="10" borderId="130" xfId="0" applyNumberFormat="1" applyFont="1" applyFill="1" applyBorder="1" applyAlignment="1">
      <alignment horizontal="right" vertical="top"/>
    </xf>
    <xf numFmtId="3" fontId="38" fillId="0" borderId="131" xfId="0" applyNumberFormat="1" applyFont="1" applyBorder="1" applyAlignment="1">
      <alignment horizontal="right" vertical="top"/>
    </xf>
    <xf numFmtId="3" fontId="38" fillId="0" borderId="132" xfId="0" applyNumberFormat="1" applyFont="1" applyBorder="1" applyAlignment="1">
      <alignment horizontal="right" vertical="top"/>
    </xf>
    <xf numFmtId="3" fontId="38" fillId="0" borderId="133" xfId="0" applyNumberFormat="1" applyFont="1" applyBorder="1" applyAlignment="1">
      <alignment horizontal="right" vertical="top"/>
    </xf>
    <xf numFmtId="177" fontId="38" fillId="10" borderId="134" xfId="0" applyNumberFormat="1" applyFont="1" applyFill="1" applyBorder="1" applyAlignment="1">
      <alignment horizontal="right" vertical="top"/>
    </xf>
    <xf numFmtId="0" fontId="40" fillId="11" borderId="121" xfId="0" applyFont="1" applyFill="1" applyBorder="1" applyAlignment="1">
      <alignment vertical="top"/>
    </xf>
    <xf numFmtId="0" fontId="40" fillId="11" borderId="121" xfId="0" applyFont="1" applyFill="1" applyBorder="1" applyAlignment="1">
      <alignment vertical="top" indent="2"/>
    </xf>
    <xf numFmtId="0" fontId="40" fillId="11" borderId="121" xfId="0" applyFont="1" applyFill="1" applyBorder="1" applyAlignment="1">
      <alignment vertical="top" indent="4"/>
    </xf>
    <xf numFmtId="0" fontId="41" fillId="11" borderId="126" xfId="0" applyFont="1" applyFill="1" applyBorder="1" applyAlignment="1">
      <alignment vertical="top" indent="6"/>
    </xf>
    <xf numFmtId="0" fontId="40" fillId="11" borderId="121" xfId="0" applyFont="1" applyFill="1" applyBorder="1" applyAlignment="1">
      <alignment vertical="top" indent="8"/>
    </xf>
    <xf numFmtId="0" fontId="41" fillId="11" borderId="126" xfId="0" applyFont="1" applyFill="1" applyBorder="1" applyAlignment="1">
      <alignment vertical="top" indent="2"/>
    </xf>
    <xf numFmtId="0" fontId="40" fillId="11" borderId="121" xfId="0" applyFont="1" applyFill="1" applyBorder="1" applyAlignment="1">
      <alignment vertical="top" indent="6"/>
    </xf>
    <xf numFmtId="0" fontId="41" fillId="11" borderId="126" xfId="0" applyFont="1" applyFill="1" applyBorder="1" applyAlignment="1">
      <alignment vertical="top" indent="4"/>
    </xf>
    <xf numFmtId="0" fontId="35" fillId="11" borderId="121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5" fontId="34" fillId="2" borderId="135" xfId="53" applyNumberFormat="1" applyFont="1" applyFill="1" applyBorder="1" applyAlignment="1">
      <alignment horizontal="left"/>
    </xf>
    <xf numFmtId="165" fontId="34" fillId="2" borderId="136" xfId="53" applyNumberFormat="1" applyFont="1" applyFill="1" applyBorder="1" applyAlignment="1">
      <alignment horizontal="left"/>
    </xf>
    <xf numFmtId="165" fontId="34" fillId="2" borderId="62" xfId="53" applyNumberFormat="1" applyFont="1" applyFill="1" applyBorder="1" applyAlignment="1">
      <alignment horizontal="left"/>
    </xf>
    <xf numFmtId="3" fontId="34" fillId="2" borderId="62" xfId="53" applyNumberFormat="1" applyFont="1" applyFill="1" applyBorder="1" applyAlignment="1">
      <alignment horizontal="left"/>
    </xf>
    <xf numFmtId="3" fontId="34" fillId="2" borderId="70" xfId="53" applyNumberFormat="1" applyFont="1" applyFill="1" applyBorder="1" applyAlignment="1">
      <alignment horizontal="left"/>
    </xf>
    <xf numFmtId="3" fontId="35" fillId="0" borderId="136" xfId="0" applyNumberFormat="1" applyFont="1" applyFill="1" applyBorder="1"/>
    <xf numFmtId="3" fontId="35" fillId="0" borderId="138" xfId="0" applyNumberFormat="1" applyFont="1" applyFill="1" applyBorder="1"/>
    <xf numFmtId="0" fontId="35" fillId="0" borderId="88" xfId="0" applyFont="1" applyFill="1" applyBorder="1"/>
    <xf numFmtId="0" fontId="35" fillId="0" borderId="89" xfId="0" applyFont="1" applyFill="1" applyBorder="1"/>
    <xf numFmtId="165" fontId="35" fillId="0" borderId="89" xfId="0" applyNumberFormat="1" applyFont="1" applyFill="1" applyBorder="1"/>
    <xf numFmtId="165" fontId="35" fillId="0" borderId="89" xfId="0" applyNumberFormat="1" applyFont="1" applyFill="1" applyBorder="1" applyAlignment="1">
      <alignment horizontal="right"/>
    </xf>
    <xf numFmtId="3" fontId="35" fillId="0" borderId="89" xfId="0" applyNumberFormat="1" applyFont="1" applyFill="1" applyBorder="1"/>
    <xf numFmtId="3" fontId="35" fillId="0" borderId="90" xfId="0" applyNumberFormat="1" applyFont="1" applyFill="1" applyBorder="1"/>
    <xf numFmtId="0" fontId="35" fillId="0" borderId="98" xfId="0" applyFont="1" applyFill="1" applyBorder="1"/>
    <xf numFmtId="0" fontId="35" fillId="0" borderId="99" xfId="0" applyFont="1" applyFill="1" applyBorder="1"/>
    <xf numFmtId="165" fontId="35" fillId="0" borderId="99" xfId="0" applyNumberFormat="1" applyFont="1" applyFill="1" applyBorder="1"/>
    <xf numFmtId="165" fontId="35" fillId="0" borderId="99" xfId="0" applyNumberFormat="1" applyFont="1" applyFill="1" applyBorder="1" applyAlignment="1">
      <alignment horizontal="right"/>
    </xf>
    <xf numFmtId="3" fontId="35" fillId="0" borderId="99" xfId="0" applyNumberFormat="1" applyFont="1" applyFill="1" applyBorder="1"/>
    <xf numFmtId="3" fontId="35" fillId="0" borderId="100" xfId="0" applyNumberFormat="1" applyFont="1" applyFill="1" applyBorder="1"/>
    <xf numFmtId="0" fontId="35" fillId="0" borderId="91" xfId="0" applyFont="1" applyFill="1" applyBorder="1"/>
    <xf numFmtId="0" fontId="35" fillId="0" borderId="92" xfId="0" applyFont="1" applyFill="1" applyBorder="1"/>
    <xf numFmtId="165" fontId="35" fillId="0" borderId="92" xfId="0" applyNumberFormat="1" applyFont="1" applyFill="1" applyBorder="1"/>
    <xf numFmtId="165" fontId="35" fillId="0" borderId="92" xfId="0" applyNumberFormat="1" applyFont="1" applyFill="1" applyBorder="1" applyAlignment="1">
      <alignment horizontal="right"/>
    </xf>
    <xf numFmtId="3" fontId="35" fillId="0" borderId="92" xfId="0" applyNumberFormat="1" applyFont="1" applyFill="1" applyBorder="1"/>
    <xf numFmtId="3" fontId="35" fillId="0" borderId="93" xfId="0" applyNumberFormat="1" applyFont="1" applyFill="1" applyBorder="1"/>
    <xf numFmtId="0" fontId="42" fillId="2" borderId="135" xfId="0" applyFont="1" applyFill="1" applyBorder="1"/>
    <xf numFmtId="3" fontId="42" fillId="2" borderId="137" xfId="0" applyNumberFormat="1" applyFont="1" applyFill="1" applyBorder="1"/>
    <xf numFmtId="9" fontId="42" fillId="2" borderId="83" xfId="0" applyNumberFormat="1" applyFont="1" applyFill="1" applyBorder="1"/>
    <xf numFmtId="3" fontId="42" fillId="2" borderId="70" xfId="0" applyNumberFormat="1" applyFont="1" applyFill="1" applyBorder="1"/>
    <xf numFmtId="9" fontId="35" fillId="0" borderId="136" xfId="0" applyNumberFormat="1" applyFont="1" applyFill="1" applyBorder="1"/>
    <xf numFmtId="9" fontId="35" fillId="0" borderId="89" xfId="0" applyNumberFormat="1" applyFont="1" applyFill="1" applyBorder="1"/>
    <xf numFmtId="9" fontId="35" fillId="0" borderId="92" xfId="0" applyNumberFormat="1" applyFont="1" applyFill="1" applyBorder="1"/>
    <xf numFmtId="9" fontId="35" fillId="0" borderId="29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135" xfId="0" applyFont="1" applyFill="1" applyBorder="1"/>
    <xf numFmtId="0" fontId="35" fillId="5" borderId="12" xfId="0" applyFont="1" applyFill="1" applyBorder="1" applyAlignment="1">
      <alignment wrapText="1"/>
    </xf>
    <xf numFmtId="9" fontId="35" fillId="0" borderId="99" xfId="0" applyNumberFormat="1" applyFont="1" applyFill="1" applyBorder="1"/>
    <xf numFmtId="3" fontId="35" fillId="0" borderId="105" xfId="0" applyNumberFormat="1" applyFont="1" applyFill="1" applyBorder="1"/>
    <xf numFmtId="9" fontId="35" fillId="0" borderId="105" xfId="0" applyNumberFormat="1" applyFont="1" applyFill="1" applyBorder="1"/>
    <xf numFmtId="3" fontId="35" fillId="0" borderId="106" xfId="0" applyNumberFormat="1" applyFont="1" applyFill="1" applyBorder="1"/>
    <xf numFmtId="0" fontId="42" fillId="0" borderId="88" xfId="0" applyFont="1" applyFill="1" applyBorder="1"/>
    <xf numFmtId="0" fontId="42" fillId="0" borderId="98" xfId="0" applyFont="1" applyFill="1" applyBorder="1"/>
    <xf numFmtId="0" fontId="42" fillId="0" borderId="140" xfId="0" applyFont="1" applyFill="1" applyBorder="1"/>
    <xf numFmtId="0" fontId="42" fillId="2" borderId="136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9" fontId="32" fillId="0" borderId="0" xfId="0" applyNumberFormat="1" applyFont="1" applyFill="1" applyBorder="1"/>
    <xf numFmtId="0" fontId="3" fillId="2" borderId="135" xfId="79" applyFont="1" applyFill="1" applyBorder="1" applyAlignment="1">
      <alignment horizontal="left"/>
    </xf>
    <xf numFmtId="0" fontId="42" fillId="11" borderId="120" xfId="0" applyFont="1" applyFill="1" applyBorder="1"/>
    <xf numFmtId="0" fontId="42" fillId="11" borderId="118" xfId="0" applyFont="1" applyFill="1" applyBorder="1"/>
    <xf numFmtId="0" fontId="42" fillId="11" borderId="119" xfId="0" applyFont="1" applyFill="1" applyBorder="1"/>
    <xf numFmtId="3" fontId="3" fillId="2" borderId="105" xfId="80" applyNumberFormat="1" applyFont="1" applyFill="1" applyBorder="1"/>
    <xf numFmtId="0" fontId="3" fillId="2" borderId="105" xfId="80" applyFont="1" applyFill="1" applyBorder="1"/>
    <xf numFmtId="3" fontId="35" fillId="0" borderId="88" xfId="0" applyNumberFormat="1" applyFont="1" applyFill="1" applyBorder="1"/>
    <xf numFmtId="3" fontId="35" fillId="0" borderId="98" xfId="0" applyNumberFormat="1" applyFont="1" applyFill="1" applyBorder="1"/>
    <xf numFmtId="3" fontId="35" fillId="0" borderId="91" xfId="0" applyNumberFormat="1" applyFont="1" applyFill="1" applyBorder="1"/>
    <xf numFmtId="3" fontId="35" fillId="0" borderId="115" xfId="0" applyNumberFormat="1" applyFont="1" applyFill="1" applyBorder="1"/>
    <xf numFmtId="3" fontId="35" fillId="0" borderId="113" xfId="0" applyNumberFormat="1" applyFont="1" applyFill="1" applyBorder="1"/>
    <xf numFmtId="3" fontId="35" fillId="0" borderId="114" xfId="0" applyNumberFormat="1" applyFont="1" applyFill="1" applyBorder="1"/>
    <xf numFmtId="9" fontId="3" fillId="2" borderId="105" xfId="80" applyNumberFormat="1" applyFont="1" applyFill="1" applyBorder="1"/>
    <xf numFmtId="9" fontId="3" fillId="2" borderId="106" xfId="80" applyNumberFormat="1" applyFont="1" applyFill="1" applyBorder="1"/>
    <xf numFmtId="9" fontId="35" fillId="0" borderId="90" xfId="0" applyNumberFormat="1" applyFont="1" applyFill="1" applyBorder="1"/>
    <xf numFmtId="9" fontId="35" fillId="0" borderId="100" xfId="0" applyNumberFormat="1" applyFont="1" applyFill="1" applyBorder="1"/>
    <xf numFmtId="9" fontId="35" fillId="0" borderId="93" xfId="0" applyNumberFormat="1" applyFont="1" applyFill="1" applyBorder="1"/>
    <xf numFmtId="0" fontId="35" fillId="0" borderId="120" xfId="0" applyFont="1" applyFill="1" applyBorder="1"/>
    <xf numFmtId="0" fontId="35" fillId="0" borderId="118" xfId="0" applyFont="1" applyFill="1" applyBorder="1"/>
    <xf numFmtId="0" fontId="35" fillId="0" borderId="119" xfId="0" applyFont="1" applyFill="1" applyBorder="1"/>
    <xf numFmtId="3" fontId="35" fillId="0" borderId="111" xfId="0" applyNumberFormat="1" applyFont="1" applyFill="1" applyBorder="1"/>
    <xf numFmtId="3" fontId="35" fillId="0" borderId="101" xfId="0" applyNumberFormat="1" applyFont="1" applyFill="1" applyBorder="1"/>
    <xf numFmtId="3" fontId="35" fillId="0" borderId="109" xfId="0" applyNumberFormat="1" applyFont="1" applyFill="1" applyBorder="1"/>
    <xf numFmtId="0" fontId="3" fillId="2" borderId="141" xfId="79" applyFont="1" applyFill="1" applyBorder="1" applyAlignment="1">
      <alignment horizontal="left"/>
    </xf>
    <xf numFmtId="0" fontId="3" fillId="2" borderId="142" xfId="79" applyFont="1" applyFill="1" applyBorder="1" applyAlignment="1">
      <alignment horizontal="left"/>
    </xf>
    <xf numFmtId="0" fontId="3" fillId="2" borderId="143" xfId="80" applyFont="1" applyFill="1" applyBorder="1" applyAlignment="1">
      <alignment horizontal="left"/>
    </xf>
    <xf numFmtId="0" fontId="3" fillId="2" borderId="143" xfId="79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5" fillId="0" borderId="26" xfId="0" applyFont="1" applyFill="1" applyBorder="1"/>
    <xf numFmtId="0" fontId="35" fillId="0" borderId="31" xfId="0" applyFont="1" applyFill="1" applyBorder="1"/>
    <xf numFmtId="0" fontId="35" fillId="0" borderId="31" xfId="0" applyFont="1" applyFill="1" applyBorder="1" applyAlignment="1">
      <alignment horizontal="right"/>
    </xf>
    <xf numFmtId="0" fontId="35" fillId="0" borderId="31" xfId="0" applyFont="1" applyFill="1" applyBorder="1" applyAlignment="1">
      <alignment horizontal="left"/>
    </xf>
    <xf numFmtId="165" fontId="35" fillId="0" borderId="31" xfId="0" applyNumberFormat="1" applyFont="1" applyFill="1" applyBorder="1"/>
    <xf numFmtId="166" fontId="35" fillId="0" borderId="31" xfId="0" applyNumberFormat="1" applyFont="1" applyFill="1" applyBorder="1"/>
    <xf numFmtId="9" fontId="35" fillId="0" borderId="31" xfId="0" applyNumberFormat="1" applyFont="1" applyFill="1" applyBorder="1"/>
    <xf numFmtId="0" fontId="35" fillId="0" borderId="99" xfId="0" applyFont="1" applyFill="1" applyBorder="1" applyAlignment="1">
      <alignment horizontal="right"/>
    </xf>
    <xf numFmtId="0" fontId="35" fillId="0" borderId="99" xfId="0" applyFont="1" applyFill="1" applyBorder="1" applyAlignment="1">
      <alignment horizontal="left"/>
    </xf>
    <xf numFmtId="166" fontId="35" fillId="0" borderId="99" xfId="0" applyNumberFormat="1" applyFont="1" applyFill="1" applyBorder="1"/>
    <xf numFmtId="0" fontId="35" fillId="0" borderId="92" xfId="0" applyFont="1" applyFill="1" applyBorder="1" applyAlignment="1">
      <alignment horizontal="right"/>
    </xf>
    <xf numFmtId="0" fontId="35" fillId="0" borderId="92" xfId="0" applyFont="1" applyFill="1" applyBorder="1" applyAlignment="1">
      <alignment horizontal="left"/>
    </xf>
    <xf numFmtId="166" fontId="35" fillId="0" borderId="92" xfId="0" applyNumberFormat="1" applyFont="1" applyFill="1" applyBorder="1"/>
    <xf numFmtId="0" fontId="42" fillId="2" borderId="55" xfId="0" applyFont="1" applyFill="1" applyBorder="1"/>
    <xf numFmtId="3" fontId="35" fillId="0" borderId="27" xfId="0" applyNumberFormat="1" applyFont="1" applyFill="1" applyBorder="1"/>
    <xf numFmtId="0" fontId="42" fillId="0" borderId="26" xfId="0" applyFont="1" applyFill="1" applyBorder="1"/>
    <xf numFmtId="0" fontId="42" fillId="2" borderId="57" xfId="0" applyFont="1" applyFill="1" applyBorder="1"/>
    <xf numFmtId="165" fontId="34" fillId="2" borderId="55" xfId="53" applyNumberFormat="1" applyFont="1" applyFill="1" applyBorder="1" applyAlignment="1">
      <alignment horizontal="left"/>
    </xf>
    <xf numFmtId="165" fontId="34" fillId="2" borderId="57" xfId="53" applyNumberFormat="1" applyFont="1" applyFill="1" applyBorder="1" applyAlignment="1">
      <alignment horizontal="left"/>
    </xf>
    <xf numFmtId="165" fontId="35" fillId="0" borderId="31" xfId="0" applyNumberFormat="1" applyFont="1" applyFill="1" applyBorder="1" applyAlignment="1">
      <alignment horizontal="right"/>
    </xf>
    <xf numFmtId="174" fontId="42" fillId="4" borderId="145" xfId="0" applyNumberFormat="1" applyFont="1" applyFill="1" applyBorder="1" applyAlignment="1">
      <alignment horizontal="center"/>
    </xf>
    <xf numFmtId="174" fontId="42" fillId="4" borderId="146" xfId="0" applyNumberFormat="1" applyFont="1" applyFill="1" applyBorder="1" applyAlignment="1">
      <alignment horizontal="center"/>
    </xf>
    <xf numFmtId="174" fontId="35" fillId="0" borderId="147" xfId="0" applyNumberFormat="1" applyFont="1" applyBorder="1" applyAlignment="1">
      <alignment horizontal="right"/>
    </xf>
    <xf numFmtId="174" fontId="35" fillId="0" borderId="148" xfId="0" applyNumberFormat="1" applyFont="1" applyBorder="1" applyAlignment="1">
      <alignment horizontal="right"/>
    </xf>
    <xf numFmtId="174" fontId="35" fillId="0" borderId="148" xfId="0" applyNumberFormat="1" applyFont="1" applyBorder="1" applyAlignment="1">
      <alignment horizontal="right" wrapText="1"/>
    </xf>
    <xf numFmtId="176" fontId="35" fillId="0" borderId="147" xfId="0" applyNumberFormat="1" applyFont="1" applyBorder="1" applyAlignment="1">
      <alignment horizontal="right"/>
    </xf>
    <xf numFmtId="176" fontId="35" fillId="0" borderId="148" xfId="0" applyNumberFormat="1" applyFont="1" applyBorder="1" applyAlignment="1">
      <alignment horizontal="right"/>
    </xf>
    <xf numFmtId="174" fontId="35" fillId="0" borderId="149" xfId="0" applyNumberFormat="1" applyFont="1" applyBorder="1" applyAlignment="1">
      <alignment horizontal="right"/>
    </xf>
    <xf numFmtId="174" fontId="35" fillId="0" borderId="150" xfId="0" applyNumberFormat="1" applyFont="1" applyBorder="1" applyAlignment="1">
      <alignment horizontal="right"/>
    </xf>
    <xf numFmtId="0" fontId="42" fillId="2" borderId="60" xfId="0" applyFont="1" applyFill="1" applyBorder="1" applyAlignment="1">
      <alignment horizontal="center" vertical="center"/>
    </xf>
    <xf numFmtId="0" fontId="61" fillId="2" borderId="114" xfId="0" applyFont="1" applyFill="1" applyBorder="1" applyAlignment="1">
      <alignment horizontal="center" vertical="center" wrapText="1"/>
    </xf>
    <xf numFmtId="175" fontId="35" fillId="2" borderId="60" xfId="0" applyNumberFormat="1" applyFont="1" applyFill="1" applyBorder="1" applyAlignment="1"/>
    <xf numFmtId="175" fontId="35" fillId="0" borderId="113" xfId="0" applyNumberFormat="1" applyFont="1" applyBorder="1"/>
    <xf numFmtId="175" fontId="35" fillId="0" borderId="151" xfId="0" applyNumberFormat="1" applyFont="1" applyBorder="1"/>
    <xf numFmtId="174" fontId="42" fillId="4" borderId="60" xfId="0" applyNumberFormat="1" applyFont="1" applyFill="1" applyBorder="1" applyAlignment="1"/>
    <xf numFmtId="174" fontId="35" fillId="0" borderId="113" xfId="0" applyNumberFormat="1" applyFont="1" applyBorder="1"/>
    <xf numFmtId="174" fontId="35" fillId="0" borderId="114" xfId="0" applyNumberFormat="1" applyFont="1" applyBorder="1"/>
    <xf numFmtId="174" fontId="42" fillId="2" borderId="60" xfId="0" applyNumberFormat="1" applyFont="1" applyFill="1" applyBorder="1" applyAlignment="1"/>
    <xf numFmtId="174" fontId="35" fillId="0" borderId="151" xfId="0" applyNumberFormat="1" applyFont="1" applyBorder="1"/>
    <xf numFmtId="174" fontId="35" fillId="0" borderId="60" xfId="0" applyNumberFormat="1" applyFont="1" applyBorder="1"/>
    <xf numFmtId="174" fontId="42" fillId="4" borderId="152" xfId="0" applyNumberFormat="1" applyFont="1" applyFill="1" applyBorder="1" applyAlignment="1">
      <alignment horizontal="center"/>
    </xf>
    <xf numFmtId="174" fontId="35" fillId="0" borderId="153" xfId="0" applyNumberFormat="1" applyFont="1" applyBorder="1" applyAlignment="1">
      <alignment horizontal="right"/>
    </xf>
    <xf numFmtId="176" fontId="35" fillId="0" borderId="153" xfId="0" applyNumberFormat="1" applyFont="1" applyBorder="1" applyAlignment="1">
      <alignment horizontal="right"/>
    </xf>
    <xf numFmtId="174" fontId="35" fillId="0" borderId="154" xfId="0" applyNumberFormat="1" applyFont="1" applyBorder="1" applyAlignment="1">
      <alignment horizontal="right"/>
    </xf>
    <xf numFmtId="0" fontId="0" fillId="0" borderId="17" xfId="0" applyBorder="1"/>
    <xf numFmtId="174" fontId="42" fillId="4" borderId="35" xfId="0" applyNumberFormat="1" applyFont="1" applyFill="1" applyBorder="1" applyAlignment="1">
      <alignment horizontal="center"/>
    </xf>
    <xf numFmtId="174" fontId="35" fillId="0" borderId="96" xfId="0" applyNumberFormat="1" applyFont="1" applyBorder="1" applyAlignment="1">
      <alignment horizontal="right"/>
    </xf>
    <xf numFmtId="176" fontId="35" fillId="0" borderId="96" xfId="0" applyNumberFormat="1" applyFont="1" applyBorder="1" applyAlignment="1">
      <alignment horizontal="right"/>
    </xf>
    <xf numFmtId="174" fontId="35" fillId="0" borderId="107" xfId="0" applyNumberFormat="1" applyFont="1" applyBorder="1" applyAlignment="1">
      <alignment horizontal="right"/>
    </xf>
    <xf numFmtId="0" fontId="35" fillId="2" borderId="70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70" fontId="35" fillId="0" borderId="29" xfId="0" applyNumberFormat="1" applyFont="1" applyFill="1" applyBorder="1"/>
    <xf numFmtId="0" fontId="35" fillId="0" borderId="29" xfId="0" applyFont="1" applyFill="1" applyBorder="1"/>
    <xf numFmtId="9" fontId="35" fillId="0" borderId="22" xfId="0" applyNumberFormat="1" applyFont="1" applyFill="1" applyBorder="1"/>
    <xf numFmtId="0" fontId="42" fillId="0" borderId="21" xfId="0" applyFont="1" applyFill="1" applyBorder="1"/>
    <xf numFmtId="0" fontId="66" fillId="0" borderId="0" xfId="0" applyFont="1" applyFill="1"/>
    <xf numFmtId="0" fontId="67" fillId="0" borderId="0" xfId="0" applyFont="1" applyFill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170" fontId="35" fillId="0" borderId="31" xfId="0" applyNumberFormat="1" applyFont="1" applyFill="1" applyBorder="1"/>
    <xf numFmtId="170" fontId="35" fillId="0" borderId="99" xfId="0" applyNumberFormat="1" applyFont="1" applyFill="1" applyBorder="1"/>
    <xf numFmtId="170" fontId="35" fillId="0" borderId="92" xfId="0" applyNumberFormat="1" applyFont="1" applyFill="1" applyBorder="1"/>
    <xf numFmtId="0" fontId="42" fillId="0" borderId="91" xfId="0" applyFont="1" applyFill="1" applyBorder="1"/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3" fontId="12" fillId="0" borderId="139" xfId="0" applyNumberFormat="1" applyFont="1" applyBorder="1"/>
    <xf numFmtId="167" fontId="12" fillId="0" borderId="139" xfId="0" applyNumberFormat="1" applyFont="1" applyBorder="1"/>
    <xf numFmtId="167" fontId="12" fillId="0" borderId="103" xfId="0" applyNumberFormat="1" applyFont="1" applyBorder="1"/>
    <xf numFmtId="167" fontId="5" fillId="0" borderId="139" xfId="0" applyNumberFormat="1" applyFont="1" applyBorder="1" applyAlignment="1">
      <alignment horizontal="right"/>
    </xf>
    <xf numFmtId="167" fontId="5" fillId="0" borderId="103" xfId="0" applyNumberFormat="1" applyFont="1" applyBorder="1" applyAlignment="1">
      <alignment horizontal="right"/>
    </xf>
    <xf numFmtId="3" fontId="5" fillId="0" borderId="139" xfId="0" applyNumberFormat="1" applyFont="1" applyBorder="1" applyAlignment="1">
      <alignment horizontal="right"/>
    </xf>
    <xf numFmtId="178" fontId="5" fillId="0" borderId="139" xfId="0" applyNumberFormat="1" applyFont="1" applyBorder="1" applyAlignment="1">
      <alignment horizontal="right"/>
    </xf>
    <xf numFmtId="4" fontId="5" fillId="0" borderId="139" xfId="0" applyNumberFormat="1" applyFont="1" applyBorder="1" applyAlignment="1">
      <alignment horizontal="right"/>
    </xf>
    <xf numFmtId="3" fontId="5" fillId="0" borderId="139" xfId="0" applyNumberFormat="1" applyFont="1" applyBorder="1"/>
    <xf numFmtId="3" fontId="11" fillId="0" borderId="102" xfId="0" applyNumberFormat="1" applyFont="1" applyBorder="1" applyAlignment="1">
      <alignment horizontal="center"/>
    </xf>
    <xf numFmtId="167" fontId="12" fillId="0" borderId="18" xfId="0" applyNumberFormat="1" applyFont="1" applyBorder="1"/>
    <xf numFmtId="167" fontId="5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3" fontId="12" fillId="0" borderId="139" xfId="0" applyNumberFormat="1" applyFont="1" applyBorder="1" applyAlignment="1">
      <alignment horizontal="right"/>
    </xf>
    <xf numFmtId="167" fontId="12" fillId="0" borderId="139" xfId="0" applyNumberFormat="1" applyFont="1" applyBorder="1" applyAlignment="1">
      <alignment horizontal="right"/>
    </xf>
    <xf numFmtId="167" fontId="12" fillId="0" borderId="103" xfId="0" applyNumberFormat="1" applyFont="1" applyBorder="1" applyAlignment="1">
      <alignment horizontal="right"/>
    </xf>
    <xf numFmtId="167" fontId="12" fillId="0" borderId="18" xfId="0" applyNumberFormat="1" applyFont="1" applyBorder="1" applyAlignment="1">
      <alignment horizontal="right"/>
    </xf>
    <xf numFmtId="167" fontId="11" fillId="0" borderId="103" xfId="0" applyNumberFormat="1" applyFont="1" applyBorder="1" applyAlignment="1">
      <alignment horizontal="right"/>
    </xf>
    <xf numFmtId="3" fontId="35" fillId="0" borderId="139" xfId="0" applyNumberFormat="1" applyFont="1" applyBorder="1" applyAlignment="1">
      <alignment horizontal="right"/>
    </xf>
    <xf numFmtId="0" fontId="5" fillId="0" borderId="139" xfId="0" applyFont="1" applyBorder="1"/>
    <xf numFmtId="3" fontId="35" fillId="0" borderId="139" xfId="0" applyNumberFormat="1" applyFont="1" applyBorder="1"/>
    <xf numFmtId="9" fontId="35" fillId="0" borderId="139" xfId="0" applyNumberFormat="1" applyFont="1" applyBorder="1"/>
    <xf numFmtId="167" fontId="35" fillId="0" borderId="139" xfId="0" applyNumberFormat="1" applyFont="1" applyBorder="1"/>
    <xf numFmtId="167" fontId="35" fillId="0" borderId="103" xfId="0" applyNumberFormat="1" applyFont="1" applyBorder="1"/>
    <xf numFmtId="167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9" fontId="3" fillId="2" borderId="17" xfId="26" applyNumberFormat="1" applyFont="1" applyFill="1" applyBorder="1" applyAlignment="1">
      <alignment horizontal="left" vertical="top"/>
    </xf>
    <xf numFmtId="169" fontId="3" fillId="2" borderId="0" xfId="26" applyNumberFormat="1" applyFont="1" applyFill="1" applyBorder="1" applyAlignment="1">
      <alignment horizontal="left" vertical="top"/>
    </xf>
    <xf numFmtId="169" fontId="3" fillId="2" borderId="18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 wrapText="1"/>
    </xf>
    <xf numFmtId="169" fontId="3" fillId="2" borderId="33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9" fontId="3" fillId="2" borderId="17" xfId="24" applyNumberFormat="1" applyFont="1" applyFill="1" applyBorder="1" applyAlignment="1">
      <alignment horizontal="left" vertical="center" wrapText="1"/>
    </xf>
    <xf numFmtId="169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7" fontId="3" fillId="2" borderId="18" xfId="24" applyNumberFormat="1" applyFont="1" applyFill="1" applyBorder="1" applyAlignment="1">
      <alignment horizontal="left" vertical="center" wrapText="1"/>
    </xf>
    <xf numFmtId="3" fontId="12" fillId="0" borderId="52" xfId="0" applyNumberFormat="1" applyFont="1" applyBorder="1"/>
    <xf numFmtId="167" fontId="12" fillId="0" borderId="52" xfId="0" applyNumberFormat="1" applyFont="1" applyBorder="1"/>
    <xf numFmtId="167" fontId="12" fillId="0" borderId="53" xfId="0" applyNumberFormat="1" applyFont="1" applyBorder="1"/>
    <xf numFmtId="3" fontId="35" fillId="0" borderId="52" xfId="0" applyNumberFormat="1" applyFont="1" applyBorder="1" applyAlignment="1">
      <alignment horizontal="right"/>
    </xf>
    <xf numFmtId="167" fontId="5" fillId="0" borderId="52" xfId="0" applyNumberFormat="1" applyFont="1" applyBorder="1" applyAlignment="1">
      <alignment horizontal="right"/>
    </xf>
    <xf numFmtId="167" fontId="5" fillId="0" borderId="53" xfId="0" applyNumberFormat="1" applyFont="1" applyBorder="1" applyAlignment="1">
      <alignment horizontal="right"/>
    </xf>
    <xf numFmtId="3" fontId="5" fillId="0" borderId="52" xfId="0" applyNumberFormat="1" applyFont="1" applyBorder="1" applyAlignment="1">
      <alignment horizontal="right"/>
    </xf>
    <xf numFmtId="178" fontId="5" fillId="0" borderId="52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5" fillId="0" borderId="52" xfId="0" applyFont="1" applyBorder="1"/>
    <xf numFmtId="3" fontId="5" fillId="0" borderId="52" xfId="0" applyNumberFormat="1" applyFont="1" applyBorder="1"/>
    <xf numFmtId="3" fontId="35" fillId="0" borderId="52" xfId="0" applyNumberFormat="1" applyFont="1" applyBorder="1"/>
    <xf numFmtId="9" fontId="35" fillId="0" borderId="52" xfId="0" applyNumberFormat="1" applyFont="1" applyBorder="1"/>
    <xf numFmtId="3" fontId="11" fillId="0" borderId="32" xfId="0" applyNumberFormat="1" applyFont="1" applyBorder="1" applyAlignment="1">
      <alignment horizontal="center"/>
    </xf>
    <xf numFmtId="3" fontId="12" fillId="0" borderId="0" xfId="0" applyNumberFormat="1" applyFont="1" applyBorder="1"/>
    <xf numFmtId="167" fontId="12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5" fillId="0" borderId="0" xfId="0" applyNumberFormat="1" applyFont="1" applyBorder="1"/>
    <xf numFmtId="9" fontId="35" fillId="0" borderId="0" xfId="0" applyNumberFormat="1" applyFont="1" applyBorder="1"/>
    <xf numFmtId="167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49" fontId="3" fillId="0" borderId="3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102" xfId="0" applyNumberFormat="1" applyFont="1" applyBorder="1" applyAlignment="1">
      <alignment horizontal="center"/>
    </xf>
    <xf numFmtId="49" fontId="3" fillId="0" borderId="107" xfId="0" applyNumberFormat="1" applyFont="1" applyBorder="1" applyAlignment="1">
      <alignment horizontal="center"/>
    </xf>
    <xf numFmtId="3" fontId="12" fillId="0" borderId="117" xfId="0" applyNumberFormat="1" applyFont="1" applyBorder="1"/>
    <xf numFmtId="167" fontId="12" fillId="0" borderId="117" xfId="0" applyNumberFormat="1" applyFont="1" applyBorder="1"/>
    <xf numFmtId="167" fontId="12" fillId="0" borderId="108" xfId="0" applyNumberFormat="1" applyFont="1" applyBorder="1"/>
    <xf numFmtId="3" fontId="35" fillId="0" borderId="117" xfId="0" applyNumberFormat="1" applyFont="1" applyBorder="1" applyAlignment="1">
      <alignment horizontal="right"/>
    </xf>
    <xf numFmtId="167" fontId="5" fillId="0" borderId="117" xfId="0" applyNumberFormat="1" applyFont="1" applyBorder="1" applyAlignment="1">
      <alignment horizontal="right"/>
    </xf>
    <xf numFmtId="167" fontId="5" fillId="0" borderId="108" xfId="0" applyNumberFormat="1" applyFont="1" applyBorder="1" applyAlignment="1">
      <alignment horizontal="right"/>
    </xf>
    <xf numFmtId="3" fontId="5" fillId="0" borderId="117" xfId="0" applyNumberFormat="1" applyFont="1" applyBorder="1" applyAlignment="1">
      <alignment horizontal="right"/>
    </xf>
    <xf numFmtId="178" fontId="5" fillId="0" borderId="117" xfId="0" applyNumberFormat="1" applyFont="1" applyBorder="1" applyAlignment="1">
      <alignment horizontal="right"/>
    </xf>
    <xf numFmtId="4" fontId="5" fillId="0" borderId="117" xfId="0" applyNumberFormat="1" applyFont="1" applyBorder="1" applyAlignment="1">
      <alignment horizontal="right"/>
    </xf>
    <xf numFmtId="0" fontId="5" fillId="0" borderId="117" xfId="0" applyFont="1" applyBorder="1"/>
    <xf numFmtId="3" fontId="5" fillId="0" borderId="117" xfId="0" applyNumberFormat="1" applyFont="1" applyBorder="1"/>
    <xf numFmtId="3" fontId="35" fillId="0" borderId="117" xfId="0" applyNumberFormat="1" applyFont="1" applyBorder="1"/>
    <xf numFmtId="9" fontId="35" fillId="0" borderId="117" xfId="0" applyNumberFormat="1" applyFont="1" applyBorder="1"/>
    <xf numFmtId="3" fontId="11" fillId="0" borderId="107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2" xfId="76" applyNumberFormat="1" applyFont="1" applyFill="1" applyBorder="1" applyAlignment="1">
      <alignment horizontal="center" vertical="center"/>
    </xf>
    <xf numFmtId="3" fontId="34" fillId="2" borderId="62" xfId="76" applyNumberFormat="1" applyFont="1" applyFill="1" applyBorder="1" applyAlignment="1">
      <alignment horizontal="center" vertical="center"/>
    </xf>
    <xf numFmtId="0" fontId="32" fillId="0" borderId="26" xfId="76" applyFont="1" applyFill="1" applyBorder="1"/>
    <xf numFmtId="0" fontId="32" fillId="0" borderId="98" xfId="76" applyFont="1" applyFill="1" applyBorder="1"/>
    <xf numFmtId="0" fontId="32" fillId="0" borderId="91" xfId="76" applyFont="1" applyFill="1" applyBorder="1"/>
    <xf numFmtId="0" fontId="32" fillId="0" borderId="60" xfId="76" applyFont="1" applyFill="1" applyBorder="1"/>
    <xf numFmtId="0" fontId="32" fillId="0" borderId="113" xfId="76" applyFont="1" applyFill="1" applyBorder="1"/>
    <xf numFmtId="0" fontId="32" fillId="0" borderId="114" xfId="76" applyFont="1" applyFill="1" applyBorder="1"/>
    <xf numFmtId="0" fontId="34" fillId="2" borderId="105" xfId="76" applyNumberFormat="1" applyFont="1" applyFill="1" applyBorder="1" applyAlignment="1">
      <alignment horizontal="left"/>
    </xf>
    <xf numFmtId="0" fontId="34" fillId="2" borderId="155" xfId="76" applyNumberFormat="1" applyFont="1" applyFill="1" applyBorder="1" applyAlignment="1">
      <alignment horizontal="left"/>
    </xf>
    <xf numFmtId="3" fontId="32" fillId="0" borderId="26" xfId="76" applyNumberFormat="1" applyFont="1" applyFill="1" applyBorder="1"/>
    <xf numFmtId="3" fontId="32" fillId="0" borderId="31" xfId="76" applyNumberFormat="1" applyFont="1" applyFill="1" applyBorder="1"/>
    <xf numFmtId="3" fontId="32" fillId="0" borderId="98" xfId="76" applyNumberFormat="1" applyFont="1" applyFill="1" applyBorder="1"/>
    <xf numFmtId="3" fontId="32" fillId="0" borderId="99" xfId="76" applyNumberFormat="1" applyFont="1" applyFill="1" applyBorder="1"/>
    <xf numFmtId="3" fontId="32" fillId="0" borderId="91" xfId="76" applyNumberFormat="1" applyFont="1" applyFill="1" applyBorder="1"/>
    <xf numFmtId="3" fontId="32" fillId="0" borderId="92" xfId="76" applyNumberFormat="1" applyFont="1" applyFill="1" applyBorder="1"/>
    <xf numFmtId="9" fontId="32" fillId="0" borderId="60" xfId="76" applyNumberFormat="1" applyFont="1" applyFill="1" applyBorder="1"/>
    <xf numFmtId="9" fontId="32" fillId="0" borderId="113" xfId="76" applyNumberFormat="1" applyFont="1" applyFill="1" applyBorder="1"/>
    <xf numFmtId="9" fontId="32" fillId="0" borderId="114" xfId="76" applyNumberFormat="1" applyFont="1" applyFill="1" applyBorder="1"/>
    <xf numFmtId="0" fontId="34" fillId="2" borderId="104" xfId="76" applyNumberFormat="1" applyFont="1" applyFill="1" applyBorder="1" applyAlignment="1">
      <alignment horizontal="left"/>
    </xf>
    <xf numFmtId="170" fontId="32" fillId="0" borderId="26" xfId="76" applyNumberFormat="1" applyFont="1" applyFill="1" applyBorder="1"/>
    <xf numFmtId="170" fontId="32" fillId="0" borderId="31" xfId="76" applyNumberFormat="1" applyFont="1" applyFill="1" applyBorder="1"/>
    <xf numFmtId="170" fontId="32" fillId="0" borderId="98" xfId="76" applyNumberFormat="1" applyFont="1" applyFill="1" applyBorder="1"/>
    <xf numFmtId="170" fontId="32" fillId="0" borderId="99" xfId="76" applyNumberFormat="1" applyFont="1" applyFill="1" applyBorder="1"/>
    <xf numFmtId="170" fontId="32" fillId="0" borderId="91" xfId="76" applyNumberFormat="1" applyFont="1" applyFill="1" applyBorder="1"/>
    <xf numFmtId="170" fontId="32" fillId="0" borderId="92" xfId="76" applyNumberFormat="1" applyFont="1" applyFill="1" applyBorder="1"/>
    <xf numFmtId="0" fontId="34" fillId="2" borderId="106" xfId="76" applyNumberFormat="1" applyFont="1" applyFill="1" applyBorder="1" applyAlignment="1">
      <alignment horizontal="left"/>
    </xf>
    <xf numFmtId="3" fontId="32" fillId="0" borderId="27" xfId="76" applyNumberFormat="1" applyFont="1" applyFill="1" applyBorder="1"/>
    <xf numFmtId="3" fontId="32" fillId="0" borderId="100" xfId="76" applyNumberFormat="1" applyFont="1" applyFill="1" applyBorder="1"/>
    <xf numFmtId="3" fontId="32" fillId="0" borderId="93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0.25862505813742587</c:v>
                </c:pt>
                <c:pt idx="1">
                  <c:v>0.20102657513463124</c:v>
                </c:pt>
                <c:pt idx="2">
                  <c:v>0.41894288086687953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7717888"/>
        <c:axId val="959695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0.27971321690606593</c:v>
                </c:pt>
                <c:pt idx="1">
                  <c:v>0.27971321690606593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1110400"/>
        <c:axId val="961113088"/>
      </c:scatterChart>
      <c:catAx>
        <c:axId val="957717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59695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9695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57717888"/>
        <c:crosses val="autoZero"/>
        <c:crossBetween val="between"/>
      </c:valAx>
      <c:valAx>
        <c:axId val="961110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61113088"/>
        <c:crosses val="max"/>
        <c:crossBetween val="midCat"/>
      </c:valAx>
      <c:valAx>
        <c:axId val="96111308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6111040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ALOS!$E$33:$E$35</c:f>
              <c:numCache>
                <c:formatCode>0%</c:formatCode>
                <c:ptCount val="3"/>
                <c:pt idx="0">
                  <c:v>0.49019607843137253</c:v>
                </c:pt>
                <c:pt idx="1">
                  <c:v>0.39523608768971336</c:v>
                </c:pt>
                <c:pt idx="2">
                  <c:v>0.56323472419584031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135488"/>
        <c:axId val="1030768512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1333888"/>
        <c:axId val="1208557952"/>
      </c:scatterChart>
      <c:catAx>
        <c:axId val="979135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768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3076851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979135488"/>
        <c:crosses val="autoZero"/>
        <c:crossBetween val="between"/>
      </c:valAx>
      <c:valAx>
        <c:axId val="11513338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08557952"/>
        <c:crosses val="max"/>
        <c:crossBetween val="midCat"/>
      </c:valAx>
      <c:valAx>
        <c:axId val="120855795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151333888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7" bestFit="1" customWidth="1"/>
    <col min="2" max="2" width="98.6640625" style="257" customWidth="1"/>
    <col min="3" max="3" width="16.109375" style="51" hidden="1" customWidth="1"/>
    <col min="4" max="16384" width="8.88671875" style="257"/>
  </cols>
  <sheetData>
    <row r="1" spans="1:3" ht="18.600000000000001" customHeight="1" thickBot="1" x14ac:dyDescent="0.4">
      <c r="A1" s="458" t="s">
        <v>133</v>
      </c>
      <c r="B1" s="458"/>
    </row>
    <row r="2" spans="1:3" ht="14.4" customHeight="1" thickBot="1" x14ac:dyDescent="0.35">
      <c r="A2" s="386" t="s">
        <v>321</v>
      </c>
      <c r="B2" s="50"/>
    </row>
    <row r="3" spans="1:3" ht="14.4" customHeight="1" thickBot="1" x14ac:dyDescent="0.35">
      <c r="A3" s="454" t="s">
        <v>183</v>
      </c>
      <c r="B3" s="455"/>
    </row>
    <row r="4" spans="1:3" ht="14.4" customHeight="1" x14ac:dyDescent="0.3">
      <c r="A4" s="274" t="str">
        <f t="shared" ref="A4:A8" si="0">HYPERLINK("#'"&amp;C4&amp;"'!A1",C4)</f>
        <v>Motivace</v>
      </c>
      <c r="B4" s="182" t="s">
        <v>152</v>
      </c>
      <c r="C4" s="51" t="s">
        <v>153</v>
      </c>
    </row>
    <row r="5" spans="1:3" ht="14.4" customHeight="1" x14ac:dyDescent="0.3">
      <c r="A5" s="275" t="str">
        <f t="shared" si="0"/>
        <v>HI</v>
      </c>
      <c r="B5" s="183" t="s">
        <v>176</v>
      </c>
      <c r="C5" s="51" t="s">
        <v>137</v>
      </c>
    </row>
    <row r="6" spans="1:3" ht="14.4" customHeight="1" x14ac:dyDescent="0.3">
      <c r="A6" s="276" t="str">
        <f t="shared" si="0"/>
        <v>HI Graf</v>
      </c>
      <c r="B6" s="184" t="s">
        <v>129</v>
      </c>
      <c r="C6" s="51" t="s">
        <v>138</v>
      </c>
    </row>
    <row r="7" spans="1:3" ht="14.4" customHeight="1" x14ac:dyDescent="0.3">
      <c r="A7" s="276" t="str">
        <f t="shared" si="0"/>
        <v>Man Tab</v>
      </c>
      <c r="B7" s="184" t="s">
        <v>323</v>
      </c>
      <c r="C7" s="51" t="s">
        <v>139</v>
      </c>
    </row>
    <row r="8" spans="1:3" ht="14.4" customHeight="1" thickBot="1" x14ac:dyDescent="0.35">
      <c r="A8" s="277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56" t="s">
        <v>134</v>
      </c>
      <c r="B10" s="455"/>
    </row>
    <row r="11" spans="1:3" ht="14.4" customHeight="1" x14ac:dyDescent="0.3">
      <c r="A11" s="278" t="str">
        <f t="shared" ref="A11" si="1">HYPERLINK("#'"&amp;C11&amp;"'!A1",C11)</f>
        <v>Léky Žádanky</v>
      </c>
      <c r="B11" s="183" t="s">
        <v>177</v>
      </c>
      <c r="C11" s="51" t="s">
        <v>140</v>
      </c>
    </row>
    <row r="12" spans="1:3" ht="14.4" customHeight="1" x14ac:dyDescent="0.3">
      <c r="A12" s="276" t="str">
        <f t="shared" ref="A12:A22" si="2">HYPERLINK("#'"&amp;C12&amp;"'!A1",C12)</f>
        <v>LŽ Detail</v>
      </c>
      <c r="B12" s="184" t="s">
        <v>208</v>
      </c>
      <c r="C12" s="51" t="s">
        <v>141</v>
      </c>
    </row>
    <row r="13" spans="1:3" ht="28.8" customHeight="1" x14ac:dyDescent="0.3">
      <c r="A13" s="276" t="str">
        <f t="shared" si="2"/>
        <v>LŽ PL</v>
      </c>
      <c r="B13" s="656" t="s">
        <v>209</v>
      </c>
      <c r="C13" s="51" t="s">
        <v>187</v>
      </c>
    </row>
    <row r="14" spans="1:3" ht="14.4" customHeight="1" x14ac:dyDescent="0.3">
      <c r="A14" s="276" t="str">
        <f t="shared" si="2"/>
        <v>LŽ PL Detail</v>
      </c>
      <c r="B14" s="184" t="s">
        <v>1590</v>
      </c>
      <c r="C14" s="51" t="s">
        <v>189</v>
      </c>
    </row>
    <row r="15" spans="1:3" ht="14.4" customHeight="1" x14ac:dyDescent="0.3">
      <c r="A15" s="276" t="str">
        <f t="shared" si="2"/>
        <v>Léky Recepty</v>
      </c>
      <c r="B15" s="184" t="s">
        <v>178</v>
      </c>
      <c r="C15" s="51" t="s">
        <v>142</v>
      </c>
    </row>
    <row r="16" spans="1:3" ht="14.4" customHeight="1" x14ac:dyDescent="0.3">
      <c r="A16" s="276" t="str">
        <f t="shared" si="2"/>
        <v>LRp Lékaři</v>
      </c>
      <c r="B16" s="184" t="s">
        <v>192</v>
      </c>
      <c r="C16" s="51" t="s">
        <v>193</v>
      </c>
    </row>
    <row r="17" spans="1:3" ht="14.4" customHeight="1" x14ac:dyDescent="0.3">
      <c r="A17" s="276" t="str">
        <f t="shared" si="2"/>
        <v>LRp Detail</v>
      </c>
      <c r="B17" s="184" t="s">
        <v>1669</v>
      </c>
      <c r="C17" s="51" t="s">
        <v>143</v>
      </c>
    </row>
    <row r="18" spans="1:3" ht="28.8" customHeight="1" x14ac:dyDescent="0.3">
      <c r="A18" s="276" t="str">
        <f t="shared" si="2"/>
        <v>LRp PL</v>
      </c>
      <c r="B18" s="656" t="s">
        <v>1670</v>
      </c>
      <c r="C18" s="51" t="s">
        <v>188</v>
      </c>
    </row>
    <row r="19" spans="1:3" ht="14.4" customHeight="1" x14ac:dyDescent="0.3">
      <c r="A19" s="276" t="str">
        <f>HYPERLINK("#'"&amp;C19&amp;"'!A1",C19)</f>
        <v>LRp PL Detail</v>
      </c>
      <c r="B19" s="184" t="s">
        <v>1673</v>
      </c>
      <c r="C19" s="51" t="s">
        <v>190</v>
      </c>
    </row>
    <row r="20" spans="1:3" ht="14.4" customHeight="1" x14ac:dyDescent="0.3">
      <c r="A20" s="278" t="str">
        <f t="shared" ref="A20" si="3">HYPERLINK("#'"&amp;C20&amp;"'!A1",C20)</f>
        <v>Materiál Žádanky</v>
      </c>
      <c r="B20" s="184" t="s">
        <v>179</v>
      </c>
      <c r="C20" s="51" t="s">
        <v>144</v>
      </c>
    </row>
    <row r="21" spans="1:3" ht="14.4" customHeight="1" x14ac:dyDescent="0.3">
      <c r="A21" s="276" t="str">
        <f t="shared" si="2"/>
        <v>MŽ Detail</v>
      </c>
      <c r="B21" s="184" t="s">
        <v>2102</v>
      </c>
      <c r="C21" s="51" t="s">
        <v>145</v>
      </c>
    </row>
    <row r="22" spans="1:3" ht="14.4" customHeight="1" thickBot="1" x14ac:dyDescent="0.35">
      <c r="A22" s="278" t="str">
        <f t="shared" si="2"/>
        <v>Osobní náklady</v>
      </c>
      <c r="B22" s="184" t="s">
        <v>131</v>
      </c>
      <c r="C22" s="51" t="s">
        <v>146</v>
      </c>
    </row>
    <row r="23" spans="1:3" ht="14.4" customHeight="1" thickBot="1" x14ac:dyDescent="0.35">
      <c r="A23" s="187"/>
      <c r="B23" s="187"/>
    </row>
    <row r="24" spans="1:3" ht="14.4" customHeight="1" thickBot="1" x14ac:dyDescent="0.35">
      <c r="A24" s="457" t="s">
        <v>135</v>
      </c>
      <c r="B24" s="455"/>
    </row>
    <row r="25" spans="1:3" ht="14.4" customHeight="1" x14ac:dyDescent="0.3">
      <c r="A25" s="279" t="str">
        <f t="shared" ref="A25:A34" si="4">HYPERLINK("#'"&amp;C25&amp;"'!A1",C25)</f>
        <v>ZV Vykáz.-A</v>
      </c>
      <c r="B25" s="183" t="s">
        <v>2108</v>
      </c>
      <c r="C25" s="51" t="s">
        <v>154</v>
      </c>
    </row>
    <row r="26" spans="1:3" ht="14.4" customHeight="1" x14ac:dyDescent="0.3">
      <c r="A26" s="276" t="str">
        <f t="shared" si="4"/>
        <v>ZV Vykáz.-A Detail</v>
      </c>
      <c r="B26" s="184" t="s">
        <v>2125</v>
      </c>
      <c r="C26" s="51" t="s">
        <v>155</v>
      </c>
    </row>
    <row r="27" spans="1:3" ht="14.4" customHeight="1" x14ac:dyDescent="0.3">
      <c r="A27" s="276" t="str">
        <f t="shared" si="4"/>
        <v>ZV Vykáz.-H</v>
      </c>
      <c r="B27" s="184" t="s">
        <v>158</v>
      </c>
      <c r="C27" s="51" t="s">
        <v>156</v>
      </c>
    </row>
    <row r="28" spans="1:3" ht="14.4" customHeight="1" x14ac:dyDescent="0.3">
      <c r="A28" s="276" t="str">
        <f t="shared" si="4"/>
        <v>ZV Vykáz.-H Detail</v>
      </c>
      <c r="B28" s="184" t="s">
        <v>2577</v>
      </c>
      <c r="C28" s="51" t="s">
        <v>157</v>
      </c>
    </row>
    <row r="29" spans="1:3" ht="14.4" customHeight="1" x14ac:dyDescent="0.3">
      <c r="A29" s="279" t="str">
        <f t="shared" si="4"/>
        <v>CaseMix</v>
      </c>
      <c r="B29" s="184" t="s">
        <v>136</v>
      </c>
      <c r="C29" s="51" t="s">
        <v>147</v>
      </c>
    </row>
    <row r="30" spans="1:3" ht="14.4" customHeight="1" x14ac:dyDescent="0.3">
      <c r="A30" s="276" t="str">
        <f t="shared" si="4"/>
        <v>ALOS</v>
      </c>
      <c r="B30" s="184" t="s">
        <v>115</v>
      </c>
      <c r="C30" s="51" t="s">
        <v>86</v>
      </c>
    </row>
    <row r="31" spans="1:3" ht="14.4" customHeight="1" x14ac:dyDescent="0.3">
      <c r="A31" s="276" t="str">
        <f t="shared" si="4"/>
        <v>Total</v>
      </c>
      <c r="B31" s="184" t="s">
        <v>2652</v>
      </c>
      <c r="C31" s="51" t="s">
        <v>148</v>
      </c>
    </row>
    <row r="32" spans="1:3" ht="14.4" customHeight="1" x14ac:dyDescent="0.3">
      <c r="A32" s="276" t="str">
        <f t="shared" si="4"/>
        <v>ZV Vyžád.</v>
      </c>
      <c r="B32" s="184" t="s">
        <v>159</v>
      </c>
      <c r="C32" s="51" t="s">
        <v>151</v>
      </c>
    </row>
    <row r="33" spans="1:3" ht="14.4" customHeight="1" x14ac:dyDescent="0.3">
      <c r="A33" s="276" t="str">
        <f t="shared" si="4"/>
        <v>ZV Vyžád. Detail</v>
      </c>
      <c r="B33" s="184" t="s">
        <v>3218</v>
      </c>
      <c r="C33" s="51" t="s">
        <v>150</v>
      </c>
    </row>
    <row r="34" spans="1:3" ht="14.4" customHeight="1" thickBot="1" x14ac:dyDescent="0.35">
      <c r="A34" s="277" t="str">
        <f t="shared" si="4"/>
        <v>OD TISS</v>
      </c>
      <c r="B34" s="185" t="s">
        <v>182</v>
      </c>
      <c r="C34" s="51" t="s">
        <v>149</v>
      </c>
    </row>
  </sheetData>
  <mergeCells count="4">
    <mergeCell ref="A3:B3"/>
    <mergeCell ref="A10:B10"/>
    <mergeCell ref="A24:B24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7" bestFit="1" customWidth="1"/>
    <col min="2" max="2" width="8.88671875" style="257" bestFit="1" customWidth="1"/>
    <col min="3" max="3" width="7" style="257" bestFit="1" customWidth="1"/>
    <col min="4" max="4" width="53.44140625" style="257" bestFit="1" customWidth="1"/>
    <col min="5" max="5" width="28.44140625" style="257" bestFit="1" customWidth="1"/>
    <col min="6" max="6" width="6.6640625" style="340" customWidth="1"/>
    <col min="7" max="7" width="10" style="340" customWidth="1"/>
    <col min="8" max="8" width="6.77734375" style="343" bestFit="1" customWidth="1"/>
    <col min="9" max="9" width="6.6640625" style="340" customWidth="1"/>
    <col min="10" max="10" width="10" style="340" customWidth="1"/>
    <col min="11" max="11" width="6.77734375" style="343" bestFit="1" customWidth="1"/>
    <col min="12" max="12" width="6.6640625" style="340" customWidth="1"/>
    <col min="13" max="13" width="10" style="340" customWidth="1"/>
    <col min="14" max="16384" width="8.88671875" style="257"/>
  </cols>
  <sheetData>
    <row r="1" spans="1:13" ht="18.600000000000001" customHeight="1" thickBot="1" x14ac:dyDescent="0.4">
      <c r="A1" s="496" t="s">
        <v>1590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58"/>
      <c r="M1" s="458"/>
    </row>
    <row r="2" spans="1:13" ht="14.4" customHeight="1" thickBot="1" x14ac:dyDescent="0.35">
      <c r="A2" s="386" t="s">
        <v>321</v>
      </c>
      <c r="B2" s="339"/>
      <c r="C2" s="339"/>
      <c r="D2" s="339"/>
      <c r="E2" s="339"/>
      <c r="F2" s="347"/>
      <c r="G2" s="347"/>
      <c r="H2" s="348"/>
      <c r="I2" s="347"/>
      <c r="J2" s="347"/>
      <c r="K2" s="348"/>
      <c r="L2" s="347"/>
    </row>
    <row r="3" spans="1:13" ht="14.4" customHeight="1" thickBot="1" x14ac:dyDescent="0.35">
      <c r="E3" s="104" t="s">
        <v>160</v>
      </c>
      <c r="F3" s="47">
        <f>SUBTOTAL(9,F6:F1048576)</f>
        <v>65</v>
      </c>
      <c r="G3" s="47">
        <f>SUBTOTAL(9,G6:G1048576)</f>
        <v>16965.004196763181</v>
      </c>
      <c r="H3" s="48">
        <f>IF(M3=0,0,G3/M3)</f>
        <v>3.8536745398514684E-2</v>
      </c>
      <c r="I3" s="47">
        <f>SUBTOTAL(9,I6:I1048576)</f>
        <v>2529.5</v>
      </c>
      <c r="J3" s="47">
        <f>SUBTOTAL(9,J6:J1048576)</f>
        <v>423264.28920425818</v>
      </c>
      <c r="K3" s="48">
        <f>IF(M3=0,0,J3/M3)</f>
        <v>0.9614632546014853</v>
      </c>
      <c r="L3" s="47">
        <f>SUBTOTAL(9,L6:L1048576)</f>
        <v>2594.5</v>
      </c>
      <c r="M3" s="49">
        <f>SUBTOTAL(9,M6:M1048576)</f>
        <v>440229.29340102139</v>
      </c>
    </row>
    <row r="4" spans="1:13" ht="14.4" customHeight="1" thickBot="1" x14ac:dyDescent="0.35">
      <c r="A4" s="45"/>
      <c r="B4" s="45"/>
      <c r="C4" s="45"/>
      <c r="D4" s="45"/>
      <c r="E4" s="46"/>
      <c r="F4" s="500" t="s">
        <v>162</v>
      </c>
      <c r="G4" s="501"/>
      <c r="H4" s="502"/>
      <c r="I4" s="503" t="s">
        <v>161</v>
      </c>
      <c r="J4" s="501"/>
      <c r="K4" s="502"/>
      <c r="L4" s="504" t="s">
        <v>3</v>
      </c>
      <c r="M4" s="505"/>
    </row>
    <row r="5" spans="1:13" ht="14.4" customHeight="1" thickBot="1" x14ac:dyDescent="0.35">
      <c r="A5" s="643" t="s">
        <v>163</v>
      </c>
      <c r="B5" s="664" t="s">
        <v>164</v>
      </c>
      <c r="C5" s="664" t="s">
        <v>90</v>
      </c>
      <c r="D5" s="664" t="s">
        <v>165</v>
      </c>
      <c r="E5" s="664" t="s">
        <v>166</v>
      </c>
      <c r="F5" s="665" t="s">
        <v>28</v>
      </c>
      <c r="G5" s="665" t="s">
        <v>14</v>
      </c>
      <c r="H5" s="645" t="s">
        <v>167</v>
      </c>
      <c r="I5" s="644" t="s">
        <v>28</v>
      </c>
      <c r="J5" s="665" t="s">
        <v>14</v>
      </c>
      <c r="K5" s="645" t="s">
        <v>167</v>
      </c>
      <c r="L5" s="644" t="s">
        <v>28</v>
      </c>
      <c r="M5" s="666" t="s">
        <v>14</v>
      </c>
    </row>
    <row r="6" spans="1:13" ht="14.4" customHeight="1" x14ac:dyDescent="0.3">
      <c r="A6" s="625" t="s">
        <v>517</v>
      </c>
      <c r="B6" s="626" t="s">
        <v>1506</v>
      </c>
      <c r="C6" s="626" t="s">
        <v>1167</v>
      </c>
      <c r="D6" s="626" t="s">
        <v>1168</v>
      </c>
      <c r="E6" s="626" t="s">
        <v>1169</v>
      </c>
      <c r="F6" s="629"/>
      <c r="G6" s="629"/>
      <c r="H6" s="648">
        <v>0</v>
      </c>
      <c r="I6" s="629">
        <v>660</v>
      </c>
      <c r="J6" s="629">
        <v>46826.022906183527</v>
      </c>
      <c r="K6" s="648">
        <v>1</v>
      </c>
      <c r="L6" s="629">
        <v>660</v>
      </c>
      <c r="M6" s="630">
        <v>46826.022906183527</v>
      </c>
    </row>
    <row r="7" spans="1:13" ht="14.4" customHeight="1" x14ac:dyDescent="0.3">
      <c r="A7" s="631" t="s">
        <v>517</v>
      </c>
      <c r="B7" s="632" t="s">
        <v>1507</v>
      </c>
      <c r="C7" s="632" t="s">
        <v>1164</v>
      </c>
      <c r="D7" s="632" t="s">
        <v>1119</v>
      </c>
      <c r="E7" s="632" t="s">
        <v>1165</v>
      </c>
      <c r="F7" s="635"/>
      <c r="G7" s="635"/>
      <c r="H7" s="657">
        <v>0</v>
      </c>
      <c r="I7" s="635">
        <v>4</v>
      </c>
      <c r="J7" s="635">
        <v>296.64992892396072</v>
      </c>
      <c r="K7" s="657">
        <v>1</v>
      </c>
      <c r="L7" s="635">
        <v>4</v>
      </c>
      <c r="M7" s="636">
        <v>296.64992892396072</v>
      </c>
    </row>
    <row r="8" spans="1:13" ht="14.4" customHeight="1" x14ac:dyDescent="0.3">
      <c r="A8" s="631" t="s">
        <v>517</v>
      </c>
      <c r="B8" s="632" t="s">
        <v>1507</v>
      </c>
      <c r="C8" s="632" t="s">
        <v>1118</v>
      </c>
      <c r="D8" s="632" t="s">
        <v>1119</v>
      </c>
      <c r="E8" s="632" t="s">
        <v>1120</v>
      </c>
      <c r="F8" s="635"/>
      <c r="G8" s="635"/>
      <c r="H8" s="657">
        <v>0</v>
      </c>
      <c r="I8" s="635">
        <v>1</v>
      </c>
      <c r="J8" s="635">
        <v>122.72</v>
      </c>
      <c r="K8" s="657">
        <v>1</v>
      </c>
      <c r="L8" s="635">
        <v>1</v>
      </c>
      <c r="M8" s="636">
        <v>122.72</v>
      </c>
    </row>
    <row r="9" spans="1:13" ht="14.4" customHeight="1" x14ac:dyDescent="0.3">
      <c r="A9" s="631" t="s">
        <v>517</v>
      </c>
      <c r="B9" s="632" t="s">
        <v>1508</v>
      </c>
      <c r="C9" s="632" t="s">
        <v>1161</v>
      </c>
      <c r="D9" s="632" t="s">
        <v>1162</v>
      </c>
      <c r="E9" s="632" t="s">
        <v>1031</v>
      </c>
      <c r="F9" s="635"/>
      <c r="G9" s="635"/>
      <c r="H9" s="657">
        <v>0</v>
      </c>
      <c r="I9" s="635">
        <v>24</v>
      </c>
      <c r="J9" s="635">
        <v>11347.767846031536</v>
      </c>
      <c r="K9" s="657">
        <v>1</v>
      </c>
      <c r="L9" s="635">
        <v>24</v>
      </c>
      <c r="M9" s="636">
        <v>11347.767846031536</v>
      </c>
    </row>
    <row r="10" spans="1:13" ht="14.4" customHeight="1" x14ac:dyDescent="0.3">
      <c r="A10" s="631" t="s">
        <v>517</v>
      </c>
      <c r="B10" s="632" t="s">
        <v>1509</v>
      </c>
      <c r="C10" s="632" t="s">
        <v>882</v>
      </c>
      <c r="D10" s="632" t="s">
        <v>1510</v>
      </c>
      <c r="E10" s="632" t="s">
        <v>1511</v>
      </c>
      <c r="F10" s="635"/>
      <c r="G10" s="635"/>
      <c r="H10" s="657">
        <v>0</v>
      </c>
      <c r="I10" s="635">
        <v>10</v>
      </c>
      <c r="J10" s="635">
        <v>3892.9013778723047</v>
      </c>
      <c r="K10" s="657">
        <v>1</v>
      </c>
      <c r="L10" s="635">
        <v>10</v>
      </c>
      <c r="M10" s="636">
        <v>3892.9013778723047</v>
      </c>
    </row>
    <row r="11" spans="1:13" ht="14.4" customHeight="1" x14ac:dyDescent="0.3">
      <c r="A11" s="631" t="s">
        <v>517</v>
      </c>
      <c r="B11" s="632" t="s">
        <v>1512</v>
      </c>
      <c r="C11" s="632" t="s">
        <v>1130</v>
      </c>
      <c r="D11" s="632" t="s">
        <v>1131</v>
      </c>
      <c r="E11" s="632" t="s">
        <v>1513</v>
      </c>
      <c r="F11" s="635"/>
      <c r="G11" s="635"/>
      <c r="H11" s="657">
        <v>0</v>
      </c>
      <c r="I11" s="635">
        <v>8</v>
      </c>
      <c r="J11" s="635">
        <v>27599.999999999996</v>
      </c>
      <c r="K11" s="657">
        <v>1</v>
      </c>
      <c r="L11" s="635">
        <v>8</v>
      </c>
      <c r="M11" s="636">
        <v>27599.999999999996</v>
      </c>
    </row>
    <row r="12" spans="1:13" ht="14.4" customHeight="1" x14ac:dyDescent="0.3">
      <c r="A12" s="631" t="s">
        <v>517</v>
      </c>
      <c r="B12" s="632" t="s">
        <v>1514</v>
      </c>
      <c r="C12" s="632" t="s">
        <v>1175</v>
      </c>
      <c r="D12" s="632" t="s">
        <v>1515</v>
      </c>
      <c r="E12" s="632" t="s">
        <v>1516</v>
      </c>
      <c r="F12" s="635"/>
      <c r="G12" s="635"/>
      <c r="H12" s="657">
        <v>0</v>
      </c>
      <c r="I12" s="635">
        <v>2</v>
      </c>
      <c r="J12" s="635">
        <v>3207.86</v>
      </c>
      <c r="K12" s="657">
        <v>1</v>
      </c>
      <c r="L12" s="635">
        <v>2</v>
      </c>
      <c r="M12" s="636">
        <v>3207.86</v>
      </c>
    </row>
    <row r="13" spans="1:13" ht="14.4" customHeight="1" x14ac:dyDescent="0.3">
      <c r="A13" s="631" t="s">
        <v>517</v>
      </c>
      <c r="B13" s="632" t="s">
        <v>1517</v>
      </c>
      <c r="C13" s="632" t="s">
        <v>1150</v>
      </c>
      <c r="D13" s="632" t="s">
        <v>1111</v>
      </c>
      <c r="E13" s="632" t="s">
        <v>1151</v>
      </c>
      <c r="F13" s="635"/>
      <c r="G13" s="635"/>
      <c r="H13" s="657">
        <v>0</v>
      </c>
      <c r="I13" s="635">
        <v>36</v>
      </c>
      <c r="J13" s="635">
        <v>4873.5375959050416</v>
      </c>
      <c r="K13" s="657">
        <v>1</v>
      </c>
      <c r="L13" s="635">
        <v>36</v>
      </c>
      <c r="M13" s="636">
        <v>4873.5375959050416</v>
      </c>
    </row>
    <row r="14" spans="1:13" ht="14.4" customHeight="1" x14ac:dyDescent="0.3">
      <c r="A14" s="631" t="s">
        <v>517</v>
      </c>
      <c r="B14" s="632" t="s">
        <v>1517</v>
      </c>
      <c r="C14" s="632" t="s">
        <v>1110</v>
      </c>
      <c r="D14" s="632" t="s">
        <v>1111</v>
      </c>
      <c r="E14" s="632" t="s">
        <v>1518</v>
      </c>
      <c r="F14" s="635"/>
      <c r="G14" s="635"/>
      <c r="H14" s="657">
        <v>0</v>
      </c>
      <c r="I14" s="635">
        <v>1</v>
      </c>
      <c r="J14" s="635">
        <v>47.33</v>
      </c>
      <c r="K14" s="657">
        <v>1</v>
      </c>
      <c r="L14" s="635">
        <v>1</v>
      </c>
      <c r="M14" s="636">
        <v>47.33</v>
      </c>
    </row>
    <row r="15" spans="1:13" ht="14.4" customHeight="1" x14ac:dyDescent="0.3">
      <c r="A15" s="631" t="s">
        <v>517</v>
      </c>
      <c r="B15" s="632" t="s">
        <v>1519</v>
      </c>
      <c r="C15" s="632" t="s">
        <v>1126</v>
      </c>
      <c r="D15" s="632" t="s">
        <v>1127</v>
      </c>
      <c r="E15" s="632" t="s">
        <v>1128</v>
      </c>
      <c r="F15" s="635"/>
      <c r="G15" s="635"/>
      <c r="H15" s="657">
        <v>0</v>
      </c>
      <c r="I15" s="635">
        <v>1</v>
      </c>
      <c r="J15" s="635">
        <v>79.83</v>
      </c>
      <c r="K15" s="657">
        <v>1</v>
      </c>
      <c r="L15" s="635">
        <v>1</v>
      </c>
      <c r="M15" s="636">
        <v>79.83</v>
      </c>
    </row>
    <row r="16" spans="1:13" ht="14.4" customHeight="1" x14ac:dyDescent="0.3">
      <c r="A16" s="631" t="s">
        <v>517</v>
      </c>
      <c r="B16" s="632" t="s">
        <v>1520</v>
      </c>
      <c r="C16" s="632" t="s">
        <v>1157</v>
      </c>
      <c r="D16" s="632" t="s">
        <v>1158</v>
      </c>
      <c r="E16" s="632" t="s">
        <v>1159</v>
      </c>
      <c r="F16" s="635"/>
      <c r="G16" s="635"/>
      <c r="H16" s="657">
        <v>0</v>
      </c>
      <c r="I16" s="635">
        <v>1</v>
      </c>
      <c r="J16" s="635">
        <v>64.540000000000006</v>
      </c>
      <c r="K16" s="657">
        <v>1</v>
      </c>
      <c r="L16" s="635">
        <v>1</v>
      </c>
      <c r="M16" s="636">
        <v>64.540000000000006</v>
      </c>
    </row>
    <row r="17" spans="1:13" ht="14.4" customHeight="1" x14ac:dyDescent="0.3">
      <c r="A17" s="631" t="s">
        <v>517</v>
      </c>
      <c r="B17" s="632" t="s">
        <v>1520</v>
      </c>
      <c r="C17" s="632" t="s">
        <v>1153</v>
      </c>
      <c r="D17" s="632" t="s">
        <v>1154</v>
      </c>
      <c r="E17" s="632" t="s">
        <v>1155</v>
      </c>
      <c r="F17" s="635"/>
      <c r="G17" s="635"/>
      <c r="H17" s="657">
        <v>0</v>
      </c>
      <c r="I17" s="635">
        <v>1</v>
      </c>
      <c r="J17" s="635">
        <v>151.12</v>
      </c>
      <c r="K17" s="657">
        <v>1</v>
      </c>
      <c r="L17" s="635">
        <v>1</v>
      </c>
      <c r="M17" s="636">
        <v>151.12</v>
      </c>
    </row>
    <row r="18" spans="1:13" ht="14.4" customHeight="1" x14ac:dyDescent="0.3">
      <c r="A18" s="631" t="s">
        <v>517</v>
      </c>
      <c r="B18" s="632" t="s">
        <v>1521</v>
      </c>
      <c r="C18" s="632" t="s">
        <v>894</v>
      </c>
      <c r="D18" s="632" t="s">
        <v>895</v>
      </c>
      <c r="E18" s="632" t="s">
        <v>1522</v>
      </c>
      <c r="F18" s="635"/>
      <c r="G18" s="635"/>
      <c r="H18" s="657">
        <v>0</v>
      </c>
      <c r="I18" s="635">
        <v>2</v>
      </c>
      <c r="J18" s="635">
        <v>159.87965826345686</v>
      </c>
      <c r="K18" s="657">
        <v>1</v>
      </c>
      <c r="L18" s="635">
        <v>2</v>
      </c>
      <c r="M18" s="636">
        <v>159.87965826345686</v>
      </c>
    </row>
    <row r="19" spans="1:13" ht="14.4" customHeight="1" x14ac:dyDescent="0.3">
      <c r="A19" s="631" t="s">
        <v>517</v>
      </c>
      <c r="B19" s="632" t="s">
        <v>1523</v>
      </c>
      <c r="C19" s="632" t="s">
        <v>1134</v>
      </c>
      <c r="D19" s="632" t="s">
        <v>1135</v>
      </c>
      <c r="E19" s="632" t="s">
        <v>1524</v>
      </c>
      <c r="F19" s="635"/>
      <c r="G19" s="635"/>
      <c r="H19" s="657">
        <v>0</v>
      </c>
      <c r="I19" s="635">
        <v>1</v>
      </c>
      <c r="J19" s="635">
        <v>140.94</v>
      </c>
      <c r="K19" s="657">
        <v>1</v>
      </c>
      <c r="L19" s="635">
        <v>1</v>
      </c>
      <c r="M19" s="636">
        <v>140.94</v>
      </c>
    </row>
    <row r="20" spans="1:13" ht="14.4" customHeight="1" x14ac:dyDescent="0.3">
      <c r="A20" s="631" t="s">
        <v>517</v>
      </c>
      <c r="B20" s="632" t="s">
        <v>1525</v>
      </c>
      <c r="C20" s="632" t="s">
        <v>1197</v>
      </c>
      <c r="D20" s="632" t="s">
        <v>1526</v>
      </c>
      <c r="E20" s="632" t="s">
        <v>1527</v>
      </c>
      <c r="F20" s="635"/>
      <c r="G20" s="635"/>
      <c r="H20" s="657">
        <v>0</v>
      </c>
      <c r="I20" s="635">
        <v>11</v>
      </c>
      <c r="J20" s="635">
        <v>15993.64</v>
      </c>
      <c r="K20" s="657">
        <v>1</v>
      </c>
      <c r="L20" s="635">
        <v>11</v>
      </c>
      <c r="M20" s="636">
        <v>15993.64</v>
      </c>
    </row>
    <row r="21" spans="1:13" ht="14.4" customHeight="1" x14ac:dyDescent="0.3">
      <c r="A21" s="631" t="s">
        <v>517</v>
      </c>
      <c r="B21" s="632" t="s">
        <v>1528</v>
      </c>
      <c r="C21" s="632" t="s">
        <v>1106</v>
      </c>
      <c r="D21" s="632" t="s">
        <v>1529</v>
      </c>
      <c r="E21" s="632" t="s">
        <v>1530</v>
      </c>
      <c r="F21" s="635"/>
      <c r="G21" s="635"/>
      <c r="H21" s="657">
        <v>0</v>
      </c>
      <c r="I21" s="635">
        <v>4</v>
      </c>
      <c r="J21" s="635">
        <v>145.32</v>
      </c>
      <c r="K21" s="657">
        <v>1</v>
      </c>
      <c r="L21" s="635">
        <v>4</v>
      </c>
      <c r="M21" s="636">
        <v>145.32</v>
      </c>
    </row>
    <row r="22" spans="1:13" ht="14.4" customHeight="1" x14ac:dyDescent="0.3">
      <c r="A22" s="631" t="s">
        <v>517</v>
      </c>
      <c r="B22" s="632" t="s">
        <v>1531</v>
      </c>
      <c r="C22" s="632" t="s">
        <v>533</v>
      </c>
      <c r="D22" s="632" t="s">
        <v>534</v>
      </c>
      <c r="E22" s="632" t="s">
        <v>535</v>
      </c>
      <c r="F22" s="635">
        <v>1</v>
      </c>
      <c r="G22" s="635">
        <v>49.8</v>
      </c>
      <c r="H22" s="657">
        <v>1</v>
      </c>
      <c r="I22" s="635"/>
      <c r="J22" s="635"/>
      <c r="K22" s="657">
        <v>0</v>
      </c>
      <c r="L22" s="635">
        <v>1</v>
      </c>
      <c r="M22" s="636">
        <v>49.8</v>
      </c>
    </row>
    <row r="23" spans="1:13" ht="14.4" customHeight="1" x14ac:dyDescent="0.3">
      <c r="A23" s="631" t="s">
        <v>517</v>
      </c>
      <c r="B23" s="632" t="s">
        <v>1531</v>
      </c>
      <c r="C23" s="632" t="s">
        <v>1182</v>
      </c>
      <c r="D23" s="632" t="s">
        <v>1183</v>
      </c>
      <c r="E23" s="632" t="s">
        <v>1532</v>
      </c>
      <c r="F23" s="635"/>
      <c r="G23" s="635"/>
      <c r="H23" s="657">
        <v>0</v>
      </c>
      <c r="I23" s="635">
        <v>1</v>
      </c>
      <c r="J23" s="635">
        <v>97.57</v>
      </c>
      <c r="K23" s="657">
        <v>1</v>
      </c>
      <c r="L23" s="635">
        <v>1</v>
      </c>
      <c r="M23" s="636">
        <v>97.57</v>
      </c>
    </row>
    <row r="24" spans="1:13" ht="14.4" customHeight="1" x14ac:dyDescent="0.3">
      <c r="A24" s="631" t="s">
        <v>517</v>
      </c>
      <c r="B24" s="632" t="s">
        <v>1531</v>
      </c>
      <c r="C24" s="632" t="s">
        <v>1122</v>
      </c>
      <c r="D24" s="632" t="s">
        <v>1123</v>
      </c>
      <c r="E24" s="632" t="s">
        <v>1533</v>
      </c>
      <c r="F24" s="635"/>
      <c r="G24" s="635"/>
      <c r="H24" s="657">
        <v>0</v>
      </c>
      <c r="I24" s="635">
        <v>2</v>
      </c>
      <c r="J24" s="635">
        <v>124.1</v>
      </c>
      <c r="K24" s="657">
        <v>1</v>
      </c>
      <c r="L24" s="635">
        <v>2</v>
      </c>
      <c r="M24" s="636">
        <v>124.1</v>
      </c>
    </row>
    <row r="25" spans="1:13" ht="14.4" customHeight="1" x14ac:dyDescent="0.3">
      <c r="A25" s="631" t="s">
        <v>517</v>
      </c>
      <c r="B25" s="632" t="s">
        <v>1534</v>
      </c>
      <c r="C25" s="632" t="s">
        <v>1410</v>
      </c>
      <c r="D25" s="632" t="s">
        <v>1411</v>
      </c>
      <c r="E25" s="632" t="s">
        <v>1412</v>
      </c>
      <c r="F25" s="635"/>
      <c r="G25" s="635"/>
      <c r="H25" s="657">
        <v>0</v>
      </c>
      <c r="I25" s="635">
        <v>6</v>
      </c>
      <c r="J25" s="635">
        <v>75398.312000000005</v>
      </c>
      <c r="K25" s="657">
        <v>1</v>
      </c>
      <c r="L25" s="635">
        <v>6</v>
      </c>
      <c r="M25" s="636">
        <v>75398.312000000005</v>
      </c>
    </row>
    <row r="26" spans="1:13" ht="14.4" customHeight="1" x14ac:dyDescent="0.3">
      <c r="A26" s="631" t="s">
        <v>517</v>
      </c>
      <c r="B26" s="632" t="s">
        <v>1535</v>
      </c>
      <c r="C26" s="632" t="s">
        <v>1373</v>
      </c>
      <c r="D26" s="632" t="s">
        <v>1374</v>
      </c>
      <c r="E26" s="632" t="s">
        <v>1375</v>
      </c>
      <c r="F26" s="635"/>
      <c r="G26" s="635"/>
      <c r="H26" s="657">
        <v>0</v>
      </c>
      <c r="I26" s="635">
        <v>224</v>
      </c>
      <c r="J26" s="635">
        <v>10268.807448834032</v>
      </c>
      <c r="K26" s="657">
        <v>1</v>
      </c>
      <c r="L26" s="635">
        <v>224</v>
      </c>
      <c r="M26" s="636">
        <v>10268.807448834032</v>
      </c>
    </row>
    <row r="27" spans="1:13" ht="14.4" customHeight="1" x14ac:dyDescent="0.3">
      <c r="A27" s="631" t="s">
        <v>517</v>
      </c>
      <c r="B27" s="632" t="s">
        <v>1536</v>
      </c>
      <c r="C27" s="632" t="s">
        <v>1388</v>
      </c>
      <c r="D27" s="632" t="s">
        <v>1537</v>
      </c>
      <c r="E27" s="632" t="s">
        <v>1538</v>
      </c>
      <c r="F27" s="635"/>
      <c r="G27" s="635"/>
      <c r="H27" s="657">
        <v>0</v>
      </c>
      <c r="I27" s="635">
        <v>95.999999999999972</v>
      </c>
      <c r="J27" s="635">
        <v>9238.7724281611372</v>
      </c>
      <c r="K27" s="657">
        <v>1</v>
      </c>
      <c r="L27" s="635">
        <v>95.999999999999972</v>
      </c>
      <c r="M27" s="636">
        <v>9238.7724281611372</v>
      </c>
    </row>
    <row r="28" spans="1:13" ht="14.4" customHeight="1" x14ac:dyDescent="0.3">
      <c r="A28" s="631" t="s">
        <v>517</v>
      </c>
      <c r="B28" s="632" t="s">
        <v>1536</v>
      </c>
      <c r="C28" s="632" t="s">
        <v>1396</v>
      </c>
      <c r="D28" s="632" t="s">
        <v>1539</v>
      </c>
      <c r="E28" s="632" t="s">
        <v>1540</v>
      </c>
      <c r="F28" s="635"/>
      <c r="G28" s="635"/>
      <c r="H28" s="657">
        <v>0</v>
      </c>
      <c r="I28" s="635">
        <v>1</v>
      </c>
      <c r="J28" s="635">
        <v>252.54120453477299</v>
      </c>
      <c r="K28" s="657">
        <v>1</v>
      </c>
      <c r="L28" s="635">
        <v>1</v>
      </c>
      <c r="M28" s="636">
        <v>252.54120453477299</v>
      </c>
    </row>
    <row r="29" spans="1:13" ht="14.4" customHeight="1" x14ac:dyDescent="0.3">
      <c r="A29" s="631" t="s">
        <v>517</v>
      </c>
      <c r="B29" s="632" t="s">
        <v>1541</v>
      </c>
      <c r="C29" s="632" t="s">
        <v>1385</v>
      </c>
      <c r="D29" s="632" t="s">
        <v>1386</v>
      </c>
      <c r="E29" s="632" t="s">
        <v>1542</v>
      </c>
      <c r="F29" s="635"/>
      <c r="G29" s="635"/>
      <c r="H29" s="657">
        <v>0</v>
      </c>
      <c r="I29" s="635">
        <v>9.4999999999999982</v>
      </c>
      <c r="J29" s="635">
        <v>1966.5025042973348</v>
      </c>
      <c r="K29" s="657">
        <v>1</v>
      </c>
      <c r="L29" s="635">
        <v>9.4999999999999982</v>
      </c>
      <c r="M29" s="636">
        <v>1966.5025042973348</v>
      </c>
    </row>
    <row r="30" spans="1:13" ht="14.4" customHeight="1" x14ac:dyDescent="0.3">
      <c r="A30" s="631" t="s">
        <v>517</v>
      </c>
      <c r="B30" s="632" t="s">
        <v>1543</v>
      </c>
      <c r="C30" s="632" t="s">
        <v>1392</v>
      </c>
      <c r="D30" s="632" t="s">
        <v>1544</v>
      </c>
      <c r="E30" s="632" t="s">
        <v>1375</v>
      </c>
      <c r="F30" s="635"/>
      <c r="G30" s="635"/>
      <c r="H30" s="657">
        <v>0</v>
      </c>
      <c r="I30" s="635">
        <v>56</v>
      </c>
      <c r="J30" s="635">
        <v>4212.3295538407483</v>
      </c>
      <c r="K30" s="657">
        <v>1</v>
      </c>
      <c r="L30" s="635">
        <v>56</v>
      </c>
      <c r="M30" s="636">
        <v>4212.3295538407483</v>
      </c>
    </row>
    <row r="31" spans="1:13" ht="14.4" customHeight="1" x14ac:dyDescent="0.3">
      <c r="A31" s="631" t="s">
        <v>517</v>
      </c>
      <c r="B31" s="632" t="s">
        <v>1545</v>
      </c>
      <c r="C31" s="632" t="s">
        <v>1288</v>
      </c>
      <c r="D31" s="632" t="s">
        <v>1289</v>
      </c>
      <c r="E31" s="632" t="s">
        <v>1290</v>
      </c>
      <c r="F31" s="635">
        <v>20</v>
      </c>
      <c r="G31" s="635">
        <v>705.19999999999993</v>
      </c>
      <c r="H31" s="657">
        <v>1</v>
      </c>
      <c r="I31" s="635"/>
      <c r="J31" s="635"/>
      <c r="K31" s="657">
        <v>0</v>
      </c>
      <c r="L31" s="635">
        <v>20</v>
      </c>
      <c r="M31" s="636">
        <v>705.19999999999993</v>
      </c>
    </row>
    <row r="32" spans="1:13" ht="14.4" customHeight="1" x14ac:dyDescent="0.3">
      <c r="A32" s="631" t="s">
        <v>517</v>
      </c>
      <c r="B32" s="632" t="s">
        <v>1546</v>
      </c>
      <c r="C32" s="632" t="s">
        <v>1413</v>
      </c>
      <c r="D32" s="632" t="s">
        <v>1414</v>
      </c>
      <c r="E32" s="632" t="s">
        <v>1415</v>
      </c>
      <c r="F32" s="635"/>
      <c r="G32" s="635"/>
      <c r="H32" s="657">
        <v>0</v>
      </c>
      <c r="I32" s="635">
        <v>8</v>
      </c>
      <c r="J32" s="635">
        <v>13655.979039499343</v>
      </c>
      <c r="K32" s="657">
        <v>1</v>
      </c>
      <c r="L32" s="635">
        <v>8</v>
      </c>
      <c r="M32" s="636">
        <v>13655.979039499343</v>
      </c>
    </row>
    <row r="33" spans="1:13" ht="14.4" customHeight="1" x14ac:dyDescent="0.3">
      <c r="A33" s="631" t="s">
        <v>517</v>
      </c>
      <c r="B33" s="632" t="s">
        <v>1547</v>
      </c>
      <c r="C33" s="632" t="s">
        <v>1381</v>
      </c>
      <c r="D33" s="632" t="s">
        <v>1382</v>
      </c>
      <c r="E33" s="632" t="s">
        <v>1548</v>
      </c>
      <c r="F33" s="635"/>
      <c r="G33" s="635"/>
      <c r="H33" s="657">
        <v>0</v>
      </c>
      <c r="I33" s="635">
        <v>40</v>
      </c>
      <c r="J33" s="635">
        <v>10477.800000000001</v>
      </c>
      <c r="K33" s="657">
        <v>1</v>
      </c>
      <c r="L33" s="635">
        <v>40</v>
      </c>
      <c r="M33" s="636">
        <v>10477.800000000001</v>
      </c>
    </row>
    <row r="34" spans="1:13" ht="14.4" customHeight="1" x14ac:dyDescent="0.3">
      <c r="A34" s="631" t="s">
        <v>517</v>
      </c>
      <c r="B34" s="632" t="s">
        <v>1549</v>
      </c>
      <c r="C34" s="632" t="s">
        <v>1403</v>
      </c>
      <c r="D34" s="632" t="s">
        <v>1407</v>
      </c>
      <c r="E34" s="632" t="s">
        <v>1550</v>
      </c>
      <c r="F34" s="635"/>
      <c r="G34" s="635"/>
      <c r="H34" s="657">
        <v>0</v>
      </c>
      <c r="I34" s="635">
        <v>2</v>
      </c>
      <c r="J34" s="635">
        <v>148</v>
      </c>
      <c r="K34" s="657">
        <v>1</v>
      </c>
      <c r="L34" s="635">
        <v>2</v>
      </c>
      <c r="M34" s="636">
        <v>148</v>
      </c>
    </row>
    <row r="35" spans="1:13" ht="14.4" customHeight="1" x14ac:dyDescent="0.3">
      <c r="A35" s="631" t="s">
        <v>517</v>
      </c>
      <c r="B35" s="632" t="s">
        <v>1549</v>
      </c>
      <c r="C35" s="632" t="s">
        <v>1369</v>
      </c>
      <c r="D35" s="632" t="s">
        <v>1407</v>
      </c>
      <c r="E35" s="632" t="s">
        <v>1551</v>
      </c>
      <c r="F35" s="635"/>
      <c r="G35" s="635"/>
      <c r="H35" s="657">
        <v>0</v>
      </c>
      <c r="I35" s="635">
        <v>93</v>
      </c>
      <c r="J35" s="635">
        <v>8239.8260186587413</v>
      </c>
      <c r="K35" s="657">
        <v>1</v>
      </c>
      <c r="L35" s="635">
        <v>93</v>
      </c>
      <c r="M35" s="636">
        <v>8239.8260186587413</v>
      </c>
    </row>
    <row r="36" spans="1:13" ht="14.4" customHeight="1" x14ac:dyDescent="0.3">
      <c r="A36" s="631" t="s">
        <v>517</v>
      </c>
      <c r="B36" s="632" t="s">
        <v>1549</v>
      </c>
      <c r="C36" s="632" t="s">
        <v>1406</v>
      </c>
      <c r="D36" s="632" t="s">
        <v>1407</v>
      </c>
      <c r="E36" s="632" t="s">
        <v>1408</v>
      </c>
      <c r="F36" s="635"/>
      <c r="G36" s="635"/>
      <c r="H36" s="657">
        <v>0</v>
      </c>
      <c r="I36" s="635">
        <v>16</v>
      </c>
      <c r="J36" s="635">
        <v>956.63216325638996</v>
      </c>
      <c r="K36" s="657">
        <v>1</v>
      </c>
      <c r="L36" s="635">
        <v>16</v>
      </c>
      <c r="M36" s="636">
        <v>956.63216325638996</v>
      </c>
    </row>
    <row r="37" spans="1:13" ht="14.4" customHeight="1" x14ac:dyDescent="0.3">
      <c r="A37" s="631" t="s">
        <v>517</v>
      </c>
      <c r="B37" s="632" t="s">
        <v>1552</v>
      </c>
      <c r="C37" s="632" t="s">
        <v>1400</v>
      </c>
      <c r="D37" s="632" t="s">
        <v>1401</v>
      </c>
      <c r="E37" s="632" t="s">
        <v>1553</v>
      </c>
      <c r="F37" s="635"/>
      <c r="G37" s="635"/>
      <c r="H37" s="657">
        <v>0</v>
      </c>
      <c r="I37" s="635">
        <v>8</v>
      </c>
      <c r="J37" s="635">
        <v>435.43771414572677</v>
      </c>
      <c r="K37" s="657">
        <v>1</v>
      </c>
      <c r="L37" s="635">
        <v>8</v>
      </c>
      <c r="M37" s="636">
        <v>435.43771414572677</v>
      </c>
    </row>
    <row r="38" spans="1:13" ht="14.4" customHeight="1" x14ac:dyDescent="0.3">
      <c r="A38" s="631" t="s">
        <v>517</v>
      </c>
      <c r="B38" s="632" t="s">
        <v>1554</v>
      </c>
      <c r="C38" s="632" t="s">
        <v>1377</v>
      </c>
      <c r="D38" s="632" t="s">
        <v>1555</v>
      </c>
      <c r="E38" s="632" t="s">
        <v>1553</v>
      </c>
      <c r="F38" s="635"/>
      <c r="G38" s="635"/>
      <c r="H38" s="657">
        <v>0</v>
      </c>
      <c r="I38" s="635">
        <v>200</v>
      </c>
      <c r="J38" s="635">
        <v>14940.006219067665</v>
      </c>
      <c r="K38" s="657">
        <v>1</v>
      </c>
      <c r="L38" s="635">
        <v>200</v>
      </c>
      <c r="M38" s="636">
        <v>14940.006219067665</v>
      </c>
    </row>
    <row r="39" spans="1:13" ht="14.4" customHeight="1" x14ac:dyDescent="0.3">
      <c r="A39" s="631" t="s">
        <v>517</v>
      </c>
      <c r="B39" s="632" t="s">
        <v>1556</v>
      </c>
      <c r="C39" s="632" t="s">
        <v>1330</v>
      </c>
      <c r="D39" s="632" t="s">
        <v>1557</v>
      </c>
      <c r="E39" s="632" t="s">
        <v>1558</v>
      </c>
      <c r="F39" s="635"/>
      <c r="G39" s="635"/>
      <c r="H39" s="657">
        <v>0</v>
      </c>
      <c r="I39" s="635">
        <v>40</v>
      </c>
      <c r="J39" s="635">
        <v>4227.3999999999996</v>
      </c>
      <c r="K39" s="657">
        <v>1</v>
      </c>
      <c r="L39" s="635">
        <v>40</v>
      </c>
      <c r="M39" s="636">
        <v>4227.3999999999996</v>
      </c>
    </row>
    <row r="40" spans="1:13" ht="14.4" customHeight="1" x14ac:dyDescent="0.3">
      <c r="A40" s="631" t="s">
        <v>517</v>
      </c>
      <c r="B40" s="632" t="s">
        <v>1556</v>
      </c>
      <c r="C40" s="632" t="s">
        <v>1334</v>
      </c>
      <c r="D40" s="632" t="s">
        <v>1559</v>
      </c>
      <c r="E40" s="632" t="s">
        <v>1290</v>
      </c>
      <c r="F40" s="635"/>
      <c r="G40" s="635"/>
      <c r="H40" s="657">
        <v>0</v>
      </c>
      <c r="I40" s="635">
        <v>20</v>
      </c>
      <c r="J40" s="635">
        <v>5263.4000000000005</v>
      </c>
      <c r="K40" s="657">
        <v>1</v>
      </c>
      <c r="L40" s="635">
        <v>20</v>
      </c>
      <c r="M40" s="636">
        <v>5263.4000000000005</v>
      </c>
    </row>
    <row r="41" spans="1:13" ht="14.4" customHeight="1" x14ac:dyDescent="0.3">
      <c r="A41" s="631" t="s">
        <v>517</v>
      </c>
      <c r="B41" s="632" t="s">
        <v>1560</v>
      </c>
      <c r="C41" s="632" t="s">
        <v>1437</v>
      </c>
      <c r="D41" s="632" t="s">
        <v>1561</v>
      </c>
      <c r="E41" s="632" t="s">
        <v>1562</v>
      </c>
      <c r="F41" s="635"/>
      <c r="G41" s="635"/>
      <c r="H41" s="657">
        <v>0</v>
      </c>
      <c r="I41" s="635">
        <v>330</v>
      </c>
      <c r="J41" s="635">
        <v>15835.529564567181</v>
      </c>
      <c r="K41" s="657">
        <v>1</v>
      </c>
      <c r="L41" s="635">
        <v>330</v>
      </c>
      <c r="M41" s="636">
        <v>15835.529564567181</v>
      </c>
    </row>
    <row r="42" spans="1:13" ht="14.4" customHeight="1" x14ac:dyDescent="0.3">
      <c r="A42" s="631" t="s">
        <v>517</v>
      </c>
      <c r="B42" s="632" t="s">
        <v>1563</v>
      </c>
      <c r="C42" s="632" t="s">
        <v>1440</v>
      </c>
      <c r="D42" s="632" t="s">
        <v>1441</v>
      </c>
      <c r="E42" s="632" t="s">
        <v>1442</v>
      </c>
      <c r="F42" s="635"/>
      <c r="G42" s="635"/>
      <c r="H42" s="657">
        <v>0</v>
      </c>
      <c r="I42" s="635">
        <v>12</v>
      </c>
      <c r="J42" s="635">
        <v>35898.641947427575</v>
      </c>
      <c r="K42" s="657">
        <v>1</v>
      </c>
      <c r="L42" s="635">
        <v>12</v>
      </c>
      <c r="M42" s="636">
        <v>35898.641947427575</v>
      </c>
    </row>
    <row r="43" spans="1:13" ht="14.4" customHeight="1" x14ac:dyDescent="0.3">
      <c r="A43" s="631" t="s">
        <v>517</v>
      </c>
      <c r="B43" s="632" t="s">
        <v>1564</v>
      </c>
      <c r="C43" s="632" t="s">
        <v>1444</v>
      </c>
      <c r="D43" s="632" t="s">
        <v>1445</v>
      </c>
      <c r="E43" s="632" t="s">
        <v>1446</v>
      </c>
      <c r="F43" s="635"/>
      <c r="G43" s="635"/>
      <c r="H43" s="657">
        <v>0</v>
      </c>
      <c r="I43" s="635">
        <v>4</v>
      </c>
      <c r="J43" s="635">
        <v>31363.640000000003</v>
      </c>
      <c r="K43" s="657">
        <v>1</v>
      </c>
      <c r="L43" s="635">
        <v>4</v>
      </c>
      <c r="M43" s="636">
        <v>31363.640000000003</v>
      </c>
    </row>
    <row r="44" spans="1:13" ht="14.4" customHeight="1" x14ac:dyDescent="0.3">
      <c r="A44" s="631" t="s">
        <v>517</v>
      </c>
      <c r="B44" s="632" t="s">
        <v>1565</v>
      </c>
      <c r="C44" s="632" t="s">
        <v>524</v>
      </c>
      <c r="D44" s="632" t="s">
        <v>1566</v>
      </c>
      <c r="E44" s="632" t="s">
        <v>1567</v>
      </c>
      <c r="F44" s="635">
        <v>20</v>
      </c>
      <c r="G44" s="635">
        <v>5214.5934947252754</v>
      </c>
      <c r="H44" s="657">
        <v>1</v>
      </c>
      <c r="I44" s="635"/>
      <c r="J44" s="635"/>
      <c r="K44" s="657">
        <v>0</v>
      </c>
      <c r="L44" s="635">
        <v>20</v>
      </c>
      <c r="M44" s="636">
        <v>5214.5934947252754</v>
      </c>
    </row>
    <row r="45" spans="1:13" ht="14.4" customHeight="1" x14ac:dyDescent="0.3">
      <c r="A45" s="631" t="s">
        <v>517</v>
      </c>
      <c r="B45" s="632" t="s">
        <v>1568</v>
      </c>
      <c r="C45" s="632" t="s">
        <v>530</v>
      </c>
      <c r="D45" s="632" t="s">
        <v>531</v>
      </c>
      <c r="E45" s="632" t="s">
        <v>532</v>
      </c>
      <c r="F45" s="635">
        <v>1</v>
      </c>
      <c r="G45" s="635">
        <v>900.00070203790347</v>
      </c>
      <c r="H45" s="657">
        <v>1</v>
      </c>
      <c r="I45" s="635"/>
      <c r="J45" s="635"/>
      <c r="K45" s="657">
        <v>0</v>
      </c>
      <c r="L45" s="635">
        <v>1</v>
      </c>
      <c r="M45" s="636">
        <v>900.00070203790347</v>
      </c>
    </row>
    <row r="46" spans="1:13" ht="14.4" customHeight="1" x14ac:dyDescent="0.3">
      <c r="A46" s="631" t="s">
        <v>517</v>
      </c>
      <c r="B46" s="632" t="s">
        <v>1568</v>
      </c>
      <c r="C46" s="632" t="s">
        <v>1171</v>
      </c>
      <c r="D46" s="632" t="s">
        <v>1172</v>
      </c>
      <c r="E46" s="632" t="s">
        <v>1173</v>
      </c>
      <c r="F46" s="635"/>
      <c r="G46" s="635"/>
      <c r="H46" s="657">
        <v>0</v>
      </c>
      <c r="I46" s="635">
        <v>23</v>
      </c>
      <c r="J46" s="635">
        <v>20472.299499480905</v>
      </c>
      <c r="K46" s="657">
        <v>1</v>
      </c>
      <c r="L46" s="635">
        <v>23</v>
      </c>
      <c r="M46" s="636">
        <v>20472.299499480905</v>
      </c>
    </row>
    <row r="47" spans="1:13" ht="14.4" customHeight="1" x14ac:dyDescent="0.3">
      <c r="A47" s="631" t="s">
        <v>517</v>
      </c>
      <c r="B47" s="632" t="s">
        <v>1569</v>
      </c>
      <c r="C47" s="632" t="s">
        <v>1142</v>
      </c>
      <c r="D47" s="632" t="s">
        <v>1570</v>
      </c>
      <c r="E47" s="632" t="s">
        <v>1571</v>
      </c>
      <c r="F47" s="635"/>
      <c r="G47" s="635"/>
      <c r="H47" s="657">
        <v>0</v>
      </c>
      <c r="I47" s="635">
        <v>1</v>
      </c>
      <c r="J47" s="635">
        <v>337.15</v>
      </c>
      <c r="K47" s="657">
        <v>1</v>
      </c>
      <c r="L47" s="635">
        <v>1</v>
      </c>
      <c r="M47" s="636">
        <v>337.15</v>
      </c>
    </row>
    <row r="48" spans="1:13" ht="14.4" customHeight="1" x14ac:dyDescent="0.3">
      <c r="A48" s="631" t="s">
        <v>517</v>
      </c>
      <c r="B48" s="632" t="s">
        <v>1572</v>
      </c>
      <c r="C48" s="632" t="s">
        <v>1178</v>
      </c>
      <c r="D48" s="632" t="s">
        <v>1179</v>
      </c>
      <c r="E48" s="632" t="s">
        <v>1180</v>
      </c>
      <c r="F48" s="635"/>
      <c r="G48" s="635"/>
      <c r="H48" s="657">
        <v>0</v>
      </c>
      <c r="I48" s="635">
        <v>1</v>
      </c>
      <c r="J48" s="635">
        <v>28.98</v>
      </c>
      <c r="K48" s="657">
        <v>1</v>
      </c>
      <c r="L48" s="635">
        <v>1</v>
      </c>
      <c r="M48" s="636">
        <v>28.98</v>
      </c>
    </row>
    <row r="49" spans="1:13" ht="14.4" customHeight="1" x14ac:dyDescent="0.3">
      <c r="A49" s="631" t="s">
        <v>517</v>
      </c>
      <c r="B49" s="632" t="s">
        <v>1573</v>
      </c>
      <c r="C49" s="632" t="s">
        <v>536</v>
      </c>
      <c r="D49" s="632" t="s">
        <v>537</v>
      </c>
      <c r="E49" s="632" t="s">
        <v>538</v>
      </c>
      <c r="F49" s="635">
        <v>18</v>
      </c>
      <c r="G49" s="635">
        <v>9091.8400000000038</v>
      </c>
      <c r="H49" s="657">
        <v>1</v>
      </c>
      <c r="I49" s="635"/>
      <c r="J49" s="635"/>
      <c r="K49" s="657">
        <v>0</v>
      </c>
      <c r="L49" s="635">
        <v>18</v>
      </c>
      <c r="M49" s="636">
        <v>9091.8400000000038</v>
      </c>
    </row>
    <row r="50" spans="1:13" ht="14.4" customHeight="1" x14ac:dyDescent="0.3">
      <c r="A50" s="631" t="s">
        <v>517</v>
      </c>
      <c r="B50" s="632" t="s">
        <v>1573</v>
      </c>
      <c r="C50" s="632" t="s">
        <v>1193</v>
      </c>
      <c r="D50" s="632" t="s">
        <v>1574</v>
      </c>
      <c r="E50" s="632" t="s">
        <v>1575</v>
      </c>
      <c r="F50" s="635"/>
      <c r="G50" s="635"/>
      <c r="H50" s="657">
        <v>0</v>
      </c>
      <c r="I50" s="635">
        <v>3</v>
      </c>
      <c r="J50" s="635">
        <v>533.90997776095401</v>
      </c>
      <c r="K50" s="657">
        <v>1</v>
      </c>
      <c r="L50" s="635">
        <v>3</v>
      </c>
      <c r="M50" s="636">
        <v>533.90997776095401</v>
      </c>
    </row>
    <row r="51" spans="1:13" ht="14.4" customHeight="1" x14ac:dyDescent="0.3">
      <c r="A51" s="631" t="s">
        <v>517</v>
      </c>
      <c r="B51" s="632" t="s">
        <v>1576</v>
      </c>
      <c r="C51" s="632" t="s">
        <v>1186</v>
      </c>
      <c r="D51" s="632" t="s">
        <v>1187</v>
      </c>
      <c r="E51" s="632" t="s">
        <v>1577</v>
      </c>
      <c r="F51" s="635"/>
      <c r="G51" s="635"/>
      <c r="H51" s="657">
        <v>0</v>
      </c>
      <c r="I51" s="635">
        <v>1</v>
      </c>
      <c r="J51" s="635">
        <v>162.36000000000004</v>
      </c>
      <c r="K51" s="657">
        <v>1</v>
      </c>
      <c r="L51" s="635">
        <v>1</v>
      </c>
      <c r="M51" s="636">
        <v>162.36000000000004</v>
      </c>
    </row>
    <row r="52" spans="1:13" ht="14.4" customHeight="1" x14ac:dyDescent="0.3">
      <c r="A52" s="631" t="s">
        <v>517</v>
      </c>
      <c r="B52" s="632" t="s">
        <v>1578</v>
      </c>
      <c r="C52" s="632" t="s">
        <v>1138</v>
      </c>
      <c r="D52" s="632" t="s">
        <v>1139</v>
      </c>
      <c r="E52" s="632" t="s">
        <v>1140</v>
      </c>
      <c r="F52" s="635"/>
      <c r="G52" s="635"/>
      <c r="H52" s="657">
        <v>0</v>
      </c>
      <c r="I52" s="635">
        <v>8</v>
      </c>
      <c r="J52" s="635">
        <v>684.17999999999984</v>
      </c>
      <c r="K52" s="657">
        <v>1</v>
      </c>
      <c r="L52" s="635">
        <v>8</v>
      </c>
      <c r="M52" s="636">
        <v>684.17999999999984</v>
      </c>
    </row>
    <row r="53" spans="1:13" ht="14.4" customHeight="1" x14ac:dyDescent="0.3">
      <c r="A53" s="631" t="s">
        <v>517</v>
      </c>
      <c r="B53" s="632" t="s">
        <v>1579</v>
      </c>
      <c r="C53" s="632" t="s">
        <v>1189</v>
      </c>
      <c r="D53" s="632" t="s">
        <v>1190</v>
      </c>
      <c r="E53" s="632" t="s">
        <v>1191</v>
      </c>
      <c r="F53" s="635"/>
      <c r="G53" s="635"/>
      <c r="H53" s="657">
        <v>0</v>
      </c>
      <c r="I53" s="635">
        <v>1</v>
      </c>
      <c r="J53" s="635">
        <v>411.0200000000001</v>
      </c>
      <c r="K53" s="657">
        <v>1</v>
      </c>
      <c r="L53" s="635">
        <v>1</v>
      </c>
      <c r="M53" s="636">
        <v>411.0200000000001</v>
      </c>
    </row>
    <row r="54" spans="1:13" ht="14.4" customHeight="1" x14ac:dyDescent="0.3">
      <c r="A54" s="631" t="s">
        <v>517</v>
      </c>
      <c r="B54" s="632" t="s">
        <v>1580</v>
      </c>
      <c r="C54" s="632" t="s">
        <v>1146</v>
      </c>
      <c r="D54" s="632" t="s">
        <v>1147</v>
      </c>
      <c r="E54" s="632" t="s">
        <v>1148</v>
      </c>
      <c r="F54" s="635"/>
      <c r="G54" s="635"/>
      <c r="H54" s="657">
        <v>0</v>
      </c>
      <c r="I54" s="635">
        <v>1</v>
      </c>
      <c r="J54" s="635">
        <v>89.25</v>
      </c>
      <c r="K54" s="657">
        <v>1</v>
      </c>
      <c r="L54" s="635">
        <v>1</v>
      </c>
      <c r="M54" s="636">
        <v>89.25</v>
      </c>
    </row>
    <row r="55" spans="1:13" ht="14.4" customHeight="1" x14ac:dyDescent="0.3">
      <c r="A55" s="631" t="s">
        <v>517</v>
      </c>
      <c r="B55" s="632" t="s">
        <v>1581</v>
      </c>
      <c r="C55" s="632" t="s">
        <v>1277</v>
      </c>
      <c r="D55" s="632" t="s">
        <v>1582</v>
      </c>
      <c r="E55" s="632" t="s">
        <v>1116</v>
      </c>
      <c r="F55" s="635"/>
      <c r="G55" s="635"/>
      <c r="H55" s="657">
        <v>0</v>
      </c>
      <c r="I55" s="635">
        <v>155</v>
      </c>
      <c r="J55" s="635">
        <v>6288.3489886509924</v>
      </c>
      <c r="K55" s="657">
        <v>1</v>
      </c>
      <c r="L55" s="635">
        <v>155</v>
      </c>
      <c r="M55" s="636">
        <v>6288.3489886509924</v>
      </c>
    </row>
    <row r="56" spans="1:13" ht="14.4" customHeight="1" x14ac:dyDescent="0.3">
      <c r="A56" s="631" t="s">
        <v>517</v>
      </c>
      <c r="B56" s="632" t="s">
        <v>1581</v>
      </c>
      <c r="C56" s="632" t="s">
        <v>1252</v>
      </c>
      <c r="D56" s="632" t="s">
        <v>1583</v>
      </c>
      <c r="E56" s="632" t="s">
        <v>1116</v>
      </c>
      <c r="F56" s="635"/>
      <c r="G56" s="635"/>
      <c r="H56" s="657">
        <v>0</v>
      </c>
      <c r="I56" s="635">
        <v>29</v>
      </c>
      <c r="J56" s="635">
        <v>1176.5301631847335</v>
      </c>
      <c r="K56" s="657">
        <v>1</v>
      </c>
      <c r="L56" s="635">
        <v>29</v>
      </c>
      <c r="M56" s="636">
        <v>1176.5301631847335</v>
      </c>
    </row>
    <row r="57" spans="1:13" ht="14.4" customHeight="1" x14ac:dyDescent="0.3">
      <c r="A57" s="631" t="s">
        <v>517</v>
      </c>
      <c r="B57" s="632" t="s">
        <v>1581</v>
      </c>
      <c r="C57" s="632" t="s">
        <v>1255</v>
      </c>
      <c r="D57" s="632" t="s">
        <v>1584</v>
      </c>
      <c r="E57" s="632" t="s">
        <v>1116</v>
      </c>
      <c r="F57" s="635"/>
      <c r="G57" s="635"/>
      <c r="H57" s="657">
        <v>0</v>
      </c>
      <c r="I57" s="635">
        <v>44</v>
      </c>
      <c r="J57" s="635">
        <v>2381.2798228507722</v>
      </c>
      <c r="K57" s="657">
        <v>1</v>
      </c>
      <c r="L57" s="635">
        <v>44</v>
      </c>
      <c r="M57" s="636">
        <v>2381.2798228507722</v>
      </c>
    </row>
    <row r="58" spans="1:13" ht="14.4" customHeight="1" x14ac:dyDescent="0.3">
      <c r="A58" s="631" t="s">
        <v>517</v>
      </c>
      <c r="B58" s="632" t="s">
        <v>1581</v>
      </c>
      <c r="C58" s="632" t="s">
        <v>1258</v>
      </c>
      <c r="D58" s="632" t="s">
        <v>1585</v>
      </c>
      <c r="E58" s="632" t="s">
        <v>1116</v>
      </c>
      <c r="F58" s="635"/>
      <c r="G58" s="635"/>
      <c r="H58" s="657">
        <v>0</v>
      </c>
      <c r="I58" s="635">
        <v>32</v>
      </c>
      <c r="J58" s="635">
        <v>1731.8399316942255</v>
      </c>
      <c r="K58" s="657">
        <v>1</v>
      </c>
      <c r="L58" s="635">
        <v>32</v>
      </c>
      <c r="M58" s="636">
        <v>1731.8399316942255</v>
      </c>
    </row>
    <row r="59" spans="1:13" ht="14.4" customHeight="1" x14ac:dyDescent="0.3">
      <c r="A59" s="631" t="s">
        <v>517</v>
      </c>
      <c r="B59" s="632" t="s">
        <v>1581</v>
      </c>
      <c r="C59" s="632" t="s">
        <v>1261</v>
      </c>
      <c r="D59" s="632" t="s">
        <v>1586</v>
      </c>
      <c r="E59" s="632" t="s">
        <v>1116</v>
      </c>
      <c r="F59" s="635"/>
      <c r="G59" s="635"/>
      <c r="H59" s="657">
        <v>0</v>
      </c>
      <c r="I59" s="635">
        <v>12</v>
      </c>
      <c r="J59" s="635">
        <v>653.52004250386699</v>
      </c>
      <c r="K59" s="657">
        <v>1</v>
      </c>
      <c r="L59" s="635">
        <v>12</v>
      </c>
      <c r="M59" s="636">
        <v>653.52004250386699</v>
      </c>
    </row>
    <row r="60" spans="1:13" ht="14.4" customHeight="1" x14ac:dyDescent="0.3">
      <c r="A60" s="631" t="s">
        <v>517</v>
      </c>
      <c r="B60" s="632" t="s">
        <v>1581</v>
      </c>
      <c r="C60" s="632" t="s">
        <v>1114</v>
      </c>
      <c r="D60" s="632" t="s">
        <v>1587</v>
      </c>
      <c r="E60" s="632" t="s">
        <v>1116</v>
      </c>
      <c r="F60" s="635"/>
      <c r="G60" s="635"/>
      <c r="H60" s="657">
        <v>0</v>
      </c>
      <c r="I60" s="635">
        <v>26</v>
      </c>
      <c r="J60" s="635">
        <v>1415.9601223881691</v>
      </c>
      <c r="K60" s="657">
        <v>1</v>
      </c>
      <c r="L60" s="635">
        <v>26</v>
      </c>
      <c r="M60" s="636">
        <v>1415.9601223881691</v>
      </c>
    </row>
    <row r="61" spans="1:13" ht="14.4" customHeight="1" x14ac:dyDescent="0.3">
      <c r="A61" s="631" t="s">
        <v>517</v>
      </c>
      <c r="B61" s="632" t="s">
        <v>1581</v>
      </c>
      <c r="C61" s="632" t="s">
        <v>1266</v>
      </c>
      <c r="D61" s="632" t="s">
        <v>1267</v>
      </c>
      <c r="E61" s="632" t="s">
        <v>1268</v>
      </c>
      <c r="F61" s="635"/>
      <c r="G61" s="635"/>
      <c r="H61" s="657">
        <v>0</v>
      </c>
      <c r="I61" s="635">
        <v>29</v>
      </c>
      <c r="J61" s="635">
        <v>12324.42</v>
      </c>
      <c r="K61" s="657">
        <v>1</v>
      </c>
      <c r="L61" s="635">
        <v>29</v>
      </c>
      <c r="M61" s="636">
        <v>12324.42</v>
      </c>
    </row>
    <row r="62" spans="1:13" ht="14.4" customHeight="1" x14ac:dyDescent="0.3">
      <c r="A62" s="631" t="s">
        <v>517</v>
      </c>
      <c r="B62" s="632" t="s">
        <v>1581</v>
      </c>
      <c r="C62" s="632" t="s">
        <v>1264</v>
      </c>
      <c r="D62" s="632" t="s">
        <v>1265</v>
      </c>
      <c r="E62" s="632" t="s">
        <v>1116</v>
      </c>
      <c r="F62" s="635"/>
      <c r="G62" s="635"/>
      <c r="H62" s="657">
        <v>0</v>
      </c>
      <c r="I62" s="635">
        <v>40</v>
      </c>
      <c r="J62" s="635">
        <v>1710.4000343987145</v>
      </c>
      <c r="K62" s="657">
        <v>1</v>
      </c>
      <c r="L62" s="635">
        <v>40</v>
      </c>
      <c r="M62" s="636">
        <v>1710.4000343987145</v>
      </c>
    </row>
    <row r="63" spans="1:13" ht="14.4" customHeight="1" x14ac:dyDescent="0.3">
      <c r="A63" s="631" t="s">
        <v>517</v>
      </c>
      <c r="B63" s="632" t="s">
        <v>1581</v>
      </c>
      <c r="C63" s="632" t="s">
        <v>1269</v>
      </c>
      <c r="D63" s="632" t="s">
        <v>1270</v>
      </c>
      <c r="E63" s="632" t="s">
        <v>1268</v>
      </c>
      <c r="F63" s="635"/>
      <c r="G63" s="635"/>
      <c r="H63" s="657">
        <v>0</v>
      </c>
      <c r="I63" s="635">
        <v>48</v>
      </c>
      <c r="J63" s="635">
        <v>8801.7550125579437</v>
      </c>
      <c r="K63" s="657">
        <v>1</v>
      </c>
      <c r="L63" s="635">
        <v>48</v>
      </c>
      <c r="M63" s="636">
        <v>8801.7550125579437</v>
      </c>
    </row>
    <row r="64" spans="1:13" ht="14.4" customHeight="1" x14ac:dyDescent="0.3">
      <c r="A64" s="631" t="s">
        <v>517</v>
      </c>
      <c r="B64" s="632" t="s">
        <v>1581</v>
      </c>
      <c r="C64" s="632" t="s">
        <v>527</v>
      </c>
      <c r="D64" s="632" t="s">
        <v>528</v>
      </c>
      <c r="E64" s="632" t="s">
        <v>529</v>
      </c>
      <c r="F64" s="635">
        <v>2</v>
      </c>
      <c r="G64" s="635">
        <v>443.37999999999994</v>
      </c>
      <c r="H64" s="657">
        <v>1</v>
      </c>
      <c r="I64" s="635"/>
      <c r="J64" s="635"/>
      <c r="K64" s="657">
        <v>0</v>
      </c>
      <c r="L64" s="635">
        <v>2</v>
      </c>
      <c r="M64" s="636">
        <v>443.37999999999994</v>
      </c>
    </row>
    <row r="65" spans="1:13" ht="14.4" customHeight="1" x14ac:dyDescent="0.3">
      <c r="A65" s="631" t="s">
        <v>517</v>
      </c>
      <c r="B65" s="632" t="s">
        <v>1581</v>
      </c>
      <c r="C65" s="632" t="s">
        <v>1284</v>
      </c>
      <c r="D65" s="632" t="s">
        <v>1588</v>
      </c>
      <c r="E65" s="632" t="s">
        <v>1116</v>
      </c>
      <c r="F65" s="635"/>
      <c r="G65" s="635"/>
      <c r="H65" s="657">
        <v>0</v>
      </c>
      <c r="I65" s="635">
        <v>136</v>
      </c>
      <c r="J65" s="635">
        <v>5517.5184893163359</v>
      </c>
      <c r="K65" s="657">
        <v>1</v>
      </c>
      <c r="L65" s="635">
        <v>136</v>
      </c>
      <c r="M65" s="636">
        <v>5517.5184893163359</v>
      </c>
    </row>
    <row r="66" spans="1:13" ht="14.4" customHeight="1" x14ac:dyDescent="0.3">
      <c r="A66" s="631" t="s">
        <v>517</v>
      </c>
      <c r="B66" s="632" t="s">
        <v>1581</v>
      </c>
      <c r="C66" s="632" t="s">
        <v>1271</v>
      </c>
      <c r="D66" s="632" t="s">
        <v>1272</v>
      </c>
      <c r="E66" s="632" t="s">
        <v>1273</v>
      </c>
      <c r="F66" s="635"/>
      <c r="G66" s="635"/>
      <c r="H66" s="657">
        <v>0</v>
      </c>
      <c r="I66" s="635">
        <v>2</v>
      </c>
      <c r="J66" s="635">
        <v>296.14</v>
      </c>
      <c r="K66" s="657">
        <v>1</v>
      </c>
      <c r="L66" s="635">
        <v>2</v>
      </c>
      <c r="M66" s="636">
        <v>296.14</v>
      </c>
    </row>
    <row r="67" spans="1:13" ht="14.4" customHeight="1" x14ac:dyDescent="0.3">
      <c r="A67" s="631" t="s">
        <v>517</v>
      </c>
      <c r="B67" s="632" t="s">
        <v>1581</v>
      </c>
      <c r="C67" s="632" t="s">
        <v>1274</v>
      </c>
      <c r="D67" s="632" t="s">
        <v>1275</v>
      </c>
      <c r="E67" s="632" t="s">
        <v>1273</v>
      </c>
      <c r="F67" s="635"/>
      <c r="G67" s="635"/>
      <c r="H67" s="657">
        <v>0</v>
      </c>
      <c r="I67" s="635">
        <v>1</v>
      </c>
      <c r="J67" s="635">
        <v>148.07</v>
      </c>
      <c r="K67" s="657">
        <v>1</v>
      </c>
      <c r="L67" s="635">
        <v>1</v>
      </c>
      <c r="M67" s="636">
        <v>148.07</v>
      </c>
    </row>
    <row r="68" spans="1:13" ht="14.4" customHeight="1" x14ac:dyDescent="0.3">
      <c r="A68" s="631" t="s">
        <v>517</v>
      </c>
      <c r="B68" s="632" t="s">
        <v>1581</v>
      </c>
      <c r="C68" s="632" t="s">
        <v>1280</v>
      </c>
      <c r="D68" s="632" t="s">
        <v>1589</v>
      </c>
      <c r="E68" s="632" t="s">
        <v>1273</v>
      </c>
      <c r="F68" s="635"/>
      <c r="G68" s="635"/>
      <c r="H68" s="657">
        <v>0</v>
      </c>
      <c r="I68" s="635">
        <v>1</v>
      </c>
      <c r="J68" s="635">
        <v>148.07000000000002</v>
      </c>
      <c r="K68" s="657">
        <v>1</v>
      </c>
      <c r="L68" s="635">
        <v>1</v>
      </c>
      <c r="M68" s="636">
        <v>148.07000000000002</v>
      </c>
    </row>
    <row r="69" spans="1:13" ht="14.4" customHeight="1" x14ac:dyDescent="0.3">
      <c r="A69" s="631" t="s">
        <v>517</v>
      </c>
      <c r="B69" s="632" t="s">
        <v>1581</v>
      </c>
      <c r="C69" s="632" t="s">
        <v>1201</v>
      </c>
      <c r="D69" s="632" t="s">
        <v>1202</v>
      </c>
      <c r="E69" s="632" t="s">
        <v>1203</v>
      </c>
      <c r="F69" s="635">
        <v>1</v>
      </c>
      <c r="G69" s="635">
        <v>186.73000000000002</v>
      </c>
      <c r="H69" s="657">
        <v>1</v>
      </c>
      <c r="I69" s="635"/>
      <c r="J69" s="635"/>
      <c r="K69" s="657">
        <v>0</v>
      </c>
      <c r="L69" s="635">
        <v>1</v>
      </c>
      <c r="M69" s="636">
        <v>186.73000000000002</v>
      </c>
    </row>
    <row r="70" spans="1:13" ht="14.4" customHeight="1" x14ac:dyDescent="0.3">
      <c r="A70" s="631" t="s">
        <v>517</v>
      </c>
      <c r="B70" s="632" t="s">
        <v>1581</v>
      </c>
      <c r="C70" s="632" t="s">
        <v>1204</v>
      </c>
      <c r="D70" s="632" t="s">
        <v>1205</v>
      </c>
      <c r="E70" s="632" t="s">
        <v>1203</v>
      </c>
      <c r="F70" s="635">
        <v>1</v>
      </c>
      <c r="G70" s="635">
        <v>186.73000000000002</v>
      </c>
      <c r="H70" s="657">
        <v>1</v>
      </c>
      <c r="I70" s="635"/>
      <c r="J70" s="635"/>
      <c r="K70" s="657">
        <v>0</v>
      </c>
      <c r="L70" s="635">
        <v>1</v>
      </c>
      <c r="M70" s="636">
        <v>186.73000000000002</v>
      </c>
    </row>
    <row r="71" spans="1:13" ht="14.4" customHeight="1" thickBot="1" x14ac:dyDescent="0.35">
      <c r="A71" s="637" t="s">
        <v>517</v>
      </c>
      <c r="B71" s="638" t="s">
        <v>1581</v>
      </c>
      <c r="C71" s="638" t="s">
        <v>1206</v>
      </c>
      <c r="D71" s="638" t="s">
        <v>1207</v>
      </c>
      <c r="E71" s="638" t="s">
        <v>1203</v>
      </c>
      <c r="F71" s="641">
        <v>1</v>
      </c>
      <c r="G71" s="641">
        <v>186.73000000000002</v>
      </c>
      <c r="H71" s="649">
        <v>1</v>
      </c>
      <c r="I71" s="641"/>
      <c r="J71" s="641"/>
      <c r="K71" s="649">
        <v>0</v>
      </c>
      <c r="L71" s="641">
        <v>1</v>
      </c>
      <c r="M71" s="642">
        <v>186.73000000000002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5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7" customWidth="1"/>
    <col min="2" max="2" width="34.21875" style="257" customWidth="1"/>
    <col min="3" max="3" width="11.109375" style="257" bestFit="1" customWidth="1"/>
    <col min="4" max="4" width="7.33203125" style="257" bestFit="1" customWidth="1"/>
    <col min="5" max="5" width="11.109375" style="257" bestFit="1" customWidth="1"/>
    <col min="6" max="6" width="5.33203125" style="257" customWidth="1"/>
    <col min="7" max="7" width="7.33203125" style="257" bestFit="1" customWidth="1"/>
    <col min="8" max="8" width="5.33203125" style="257" customWidth="1"/>
    <col min="9" max="9" width="11.109375" style="257" customWidth="1"/>
    <col min="10" max="10" width="5.33203125" style="257" customWidth="1"/>
    <col min="11" max="11" width="7.33203125" style="257" customWidth="1"/>
    <col min="12" max="12" width="5.33203125" style="257" customWidth="1"/>
    <col min="13" max="13" width="0" style="257" hidden="1" customWidth="1"/>
    <col min="14" max="16384" width="8.88671875" style="257"/>
  </cols>
  <sheetData>
    <row r="1" spans="1:14" ht="18.600000000000001" customHeight="1" thickBot="1" x14ac:dyDescent="0.4">
      <c r="A1" s="496" t="s">
        <v>178</v>
      </c>
      <c r="B1" s="496"/>
      <c r="C1" s="496"/>
      <c r="D1" s="496"/>
      <c r="E1" s="496"/>
      <c r="F1" s="496"/>
      <c r="G1" s="496"/>
      <c r="H1" s="496"/>
      <c r="I1" s="459"/>
      <c r="J1" s="459"/>
      <c r="K1" s="459"/>
      <c r="L1" s="459"/>
    </row>
    <row r="2" spans="1:14" ht="14.4" customHeight="1" thickBot="1" x14ac:dyDescent="0.35">
      <c r="A2" s="386" t="s">
        <v>321</v>
      </c>
      <c r="B2" s="339"/>
      <c r="C2" s="339"/>
      <c r="D2" s="339"/>
      <c r="E2" s="339"/>
      <c r="F2" s="339"/>
      <c r="G2" s="339"/>
      <c r="H2" s="339"/>
    </row>
    <row r="3" spans="1:14" ht="14.4" customHeight="1" thickBot="1" x14ac:dyDescent="0.35">
      <c r="A3" s="272"/>
      <c r="B3" s="272"/>
      <c r="C3" s="507" t="s">
        <v>15</v>
      </c>
      <c r="D3" s="506"/>
      <c r="E3" s="506" t="s">
        <v>16</v>
      </c>
      <c r="F3" s="506"/>
      <c r="G3" s="506"/>
      <c r="H3" s="506"/>
      <c r="I3" s="506" t="s">
        <v>191</v>
      </c>
      <c r="J3" s="506"/>
      <c r="K3" s="506"/>
      <c r="L3" s="508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13">
        <v>59</v>
      </c>
      <c r="B5" s="614" t="s">
        <v>1459</v>
      </c>
      <c r="C5" s="617">
        <v>439259.35</v>
      </c>
      <c r="D5" s="617">
        <v>133</v>
      </c>
      <c r="E5" s="617">
        <v>249699.75</v>
      </c>
      <c r="F5" s="667">
        <v>0.56845631174384792</v>
      </c>
      <c r="G5" s="617">
        <v>67</v>
      </c>
      <c r="H5" s="667">
        <v>0.50375939849624063</v>
      </c>
      <c r="I5" s="617">
        <v>189559.59999999998</v>
      </c>
      <c r="J5" s="667">
        <v>0.43154368825615208</v>
      </c>
      <c r="K5" s="617">
        <v>66</v>
      </c>
      <c r="L5" s="667">
        <v>0.49624060150375937</v>
      </c>
      <c r="M5" s="617" t="s">
        <v>74</v>
      </c>
      <c r="N5" s="280"/>
    </row>
    <row r="6" spans="1:14" ht="14.4" customHeight="1" x14ac:dyDescent="0.3">
      <c r="A6" s="613">
        <v>59</v>
      </c>
      <c r="B6" s="614" t="s">
        <v>1591</v>
      </c>
      <c r="C6" s="617">
        <v>439259.35</v>
      </c>
      <c r="D6" s="617">
        <v>125</v>
      </c>
      <c r="E6" s="617">
        <v>249699.75</v>
      </c>
      <c r="F6" s="667">
        <v>0.56845631174384792</v>
      </c>
      <c r="G6" s="617">
        <v>61</v>
      </c>
      <c r="H6" s="667">
        <v>0.48799999999999999</v>
      </c>
      <c r="I6" s="617">
        <v>189559.59999999998</v>
      </c>
      <c r="J6" s="667">
        <v>0.43154368825615208</v>
      </c>
      <c r="K6" s="617">
        <v>64</v>
      </c>
      <c r="L6" s="667">
        <v>0.51200000000000001</v>
      </c>
      <c r="M6" s="617" t="s">
        <v>1</v>
      </c>
      <c r="N6" s="280"/>
    </row>
    <row r="7" spans="1:14" ht="14.4" customHeight="1" x14ac:dyDescent="0.3">
      <c r="A7" s="613">
        <v>59</v>
      </c>
      <c r="B7" s="614" t="s">
        <v>1592</v>
      </c>
      <c r="C7" s="617">
        <v>0</v>
      </c>
      <c r="D7" s="617">
        <v>8</v>
      </c>
      <c r="E7" s="617">
        <v>0</v>
      </c>
      <c r="F7" s="667" t="s">
        <v>514</v>
      </c>
      <c r="G7" s="617">
        <v>6</v>
      </c>
      <c r="H7" s="667">
        <v>0.75</v>
      </c>
      <c r="I7" s="617">
        <v>0</v>
      </c>
      <c r="J7" s="667" t="s">
        <v>514</v>
      </c>
      <c r="K7" s="617">
        <v>2</v>
      </c>
      <c r="L7" s="667">
        <v>0.25</v>
      </c>
      <c r="M7" s="617" t="s">
        <v>1</v>
      </c>
      <c r="N7" s="280"/>
    </row>
    <row r="8" spans="1:14" ht="14.4" customHeight="1" x14ac:dyDescent="0.3">
      <c r="A8" s="613" t="s">
        <v>512</v>
      </c>
      <c r="B8" s="614" t="s">
        <v>3</v>
      </c>
      <c r="C8" s="617">
        <v>439259.35</v>
      </c>
      <c r="D8" s="617">
        <v>133</v>
      </c>
      <c r="E8" s="617">
        <v>249699.75</v>
      </c>
      <c r="F8" s="667">
        <v>0.56845631174384792</v>
      </c>
      <c r="G8" s="617">
        <v>67</v>
      </c>
      <c r="H8" s="667">
        <v>0.50375939849624063</v>
      </c>
      <c r="I8" s="617">
        <v>189559.59999999998</v>
      </c>
      <c r="J8" s="667">
        <v>0.43154368825615208</v>
      </c>
      <c r="K8" s="617">
        <v>66</v>
      </c>
      <c r="L8" s="667">
        <v>0.49624060150375937</v>
      </c>
      <c r="M8" s="617" t="s">
        <v>516</v>
      </c>
      <c r="N8" s="280"/>
    </row>
    <row r="10" spans="1:14" ht="14.4" customHeight="1" x14ac:dyDescent="0.3">
      <c r="A10" s="613">
        <v>59</v>
      </c>
      <c r="B10" s="614" t="s">
        <v>1459</v>
      </c>
      <c r="C10" s="617" t="s">
        <v>514</v>
      </c>
      <c r="D10" s="617" t="s">
        <v>514</v>
      </c>
      <c r="E10" s="617" t="s">
        <v>514</v>
      </c>
      <c r="F10" s="667" t="s">
        <v>514</v>
      </c>
      <c r="G10" s="617" t="s">
        <v>514</v>
      </c>
      <c r="H10" s="667" t="s">
        <v>514</v>
      </c>
      <c r="I10" s="617" t="s">
        <v>514</v>
      </c>
      <c r="J10" s="667" t="s">
        <v>514</v>
      </c>
      <c r="K10" s="617" t="s">
        <v>514</v>
      </c>
      <c r="L10" s="667" t="s">
        <v>514</v>
      </c>
      <c r="M10" s="617" t="s">
        <v>74</v>
      </c>
      <c r="N10" s="280"/>
    </row>
    <row r="11" spans="1:14" ht="14.4" customHeight="1" x14ac:dyDescent="0.3">
      <c r="A11" s="613">
        <v>89301594</v>
      </c>
      <c r="B11" s="614" t="s">
        <v>1591</v>
      </c>
      <c r="C11" s="617">
        <v>439259.35</v>
      </c>
      <c r="D11" s="617">
        <v>125</v>
      </c>
      <c r="E11" s="617">
        <v>249699.75</v>
      </c>
      <c r="F11" s="667">
        <v>0.56845631174384792</v>
      </c>
      <c r="G11" s="617">
        <v>61</v>
      </c>
      <c r="H11" s="667">
        <v>0.48799999999999999</v>
      </c>
      <c r="I11" s="617">
        <v>189559.59999999998</v>
      </c>
      <c r="J11" s="667">
        <v>0.43154368825615208</v>
      </c>
      <c r="K11" s="617">
        <v>64</v>
      </c>
      <c r="L11" s="667">
        <v>0.51200000000000001</v>
      </c>
      <c r="M11" s="617" t="s">
        <v>1</v>
      </c>
      <c r="N11" s="280"/>
    </row>
    <row r="12" spans="1:14" ht="14.4" customHeight="1" x14ac:dyDescent="0.3">
      <c r="A12" s="613">
        <v>89301594</v>
      </c>
      <c r="B12" s="614" t="s">
        <v>1592</v>
      </c>
      <c r="C12" s="617">
        <v>0</v>
      </c>
      <c r="D12" s="617">
        <v>8</v>
      </c>
      <c r="E12" s="617">
        <v>0</v>
      </c>
      <c r="F12" s="667" t="s">
        <v>514</v>
      </c>
      <c r="G12" s="617">
        <v>6</v>
      </c>
      <c r="H12" s="667">
        <v>0.75</v>
      </c>
      <c r="I12" s="617">
        <v>0</v>
      </c>
      <c r="J12" s="667" t="s">
        <v>514</v>
      </c>
      <c r="K12" s="617">
        <v>2</v>
      </c>
      <c r="L12" s="667">
        <v>0.25</v>
      </c>
      <c r="M12" s="617" t="s">
        <v>1</v>
      </c>
      <c r="N12" s="280"/>
    </row>
    <row r="13" spans="1:14" ht="14.4" customHeight="1" x14ac:dyDescent="0.3">
      <c r="A13" s="613" t="s">
        <v>1593</v>
      </c>
      <c r="B13" s="614" t="s">
        <v>1594</v>
      </c>
      <c r="C13" s="617">
        <v>439259.35</v>
      </c>
      <c r="D13" s="617">
        <v>133</v>
      </c>
      <c r="E13" s="617">
        <v>249699.75</v>
      </c>
      <c r="F13" s="667">
        <v>0.56845631174384792</v>
      </c>
      <c r="G13" s="617">
        <v>67</v>
      </c>
      <c r="H13" s="667">
        <v>0.50375939849624063</v>
      </c>
      <c r="I13" s="617">
        <v>189559.59999999998</v>
      </c>
      <c r="J13" s="667">
        <v>0.43154368825615208</v>
      </c>
      <c r="K13" s="617">
        <v>66</v>
      </c>
      <c r="L13" s="667">
        <v>0.49624060150375937</v>
      </c>
      <c r="M13" s="617" t="s">
        <v>520</v>
      </c>
      <c r="N13" s="280"/>
    </row>
    <row r="14" spans="1:14" ht="14.4" customHeight="1" x14ac:dyDescent="0.3">
      <c r="A14" s="613" t="s">
        <v>514</v>
      </c>
      <c r="B14" s="614" t="s">
        <v>514</v>
      </c>
      <c r="C14" s="617" t="s">
        <v>514</v>
      </c>
      <c r="D14" s="617" t="s">
        <v>514</v>
      </c>
      <c r="E14" s="617" t="s">
        <v>514</v>
      </c>
      <c r="F14" s="667" t="s">
        <v>514</v>
      </c>
      <c r="G14" s="617" t="s">
        <v>514</v>
      </c>
      <c r="H14" s="667" t="s">
        <v>514</v>
      </c>
      <c r="I14" s="617" t="s">
        <v>514</v>
      </c>
      <c r="J14" s="667" t="s">
        <v>514</v>
      </c>
      <c r="K14" s="617" t="s">
        <v>514</v>
      </c>
      <c r="L14" s="667" t="s">
        <v>514</v>
      </c>
      <c r="M14" s="617" t="s">
        <v>521</v>
      </c>
      <c r="N14" s="280"/>
    </row>
    <row r="15" spans="1:14" ht="14.4" customHeight="1" x14ac:dyDescent="0.3">
      <c r="A15" s="613" t="s">
        <v>512</v>
      </c>
      <c r="B15" s="614" t="s">
        <v>1595</v>
      </c>
      <c r="C15" s="617">
        <v>439259.35</v>
      </c>
      <c r="D15" s="617">
        <v>133</v>
      </c>
      <c r="E15" s="617">
        <v>249699.75</v>
      </c>
      <c r="F15" s="667">
        <v>0.56845631174384792</v>
      </c>
      <c r="G15" s="617">
        <v>67</v>
      </c>
      <c r="H15" s="667">
        <v>0.50375939849624063</v>
      </c>
      <c r="I15" s="617">
        <v>189559.59999999998</v>
      </c>
      <c r="J15" s="667">
        <v>0.43154368825615208</v>
      </c>
      <c r="K15" s="617">
        <v>66</v>
      </c>
      <c r="L15" s="667">
        <v>0.49624060150375937</v>
      </c>
      <c r="M15" s="617" t="s">
        <v>516</v>
      </c>
      <c r="N15" s="280"/>
    </row>
  </sheetData>
  <autoFilter ref="A4:M4"/>
  <mergeCells count="4">
    <mergeCell ref="E3:H3"/>
    <mergeCell ref="C3:D3"/>
    <mergeCell ref="I3:L3"/>
    <mergeCell ref="A1:L1"/>
  </mergeCells>
  <conditionalFormatting sqref="F4 F9 F16:F1048576">
    <cfRule type="cellIs" dxfId="51" priority="15" stopIfTrue="1" operator="lessThan">
      <formula>0.6</formula>
    </cfRule>
  </conditionalFormatting>
  <conditionalFormatting sqref="B5:B8">
    <cfRule type="expression" dxfId="50" priority="10">
      <formula>AND(LEFT(M5,6)&lt;&gt;"mezera",M5&lt;&gt;"")</formula>
    </cfRule>
  </conditionalFormatting>
  <conditionalFormatting sqref="A5:A8">
    <cfRule type="expression" dxfId="49" priority="8">
      <formula>AND(M5&lt;&gt;"",M5&lt;&gt;"mezeraKL")</formula>
    </cfRule>
  </conditionalFormatting>
  <conditionalFormatting sqref="F5:F8">
    <cfRule type="cellIs" dxfId="48" priority="7" operator="lessThan">
      <formula>0.6</formula>
    </cfRule>
  </conditionalFormatting>
  <conditionalFormatting sqref="B5:L8">
    <cfRule type="expression" dxfId="47" priority="9">
      <formula>OR($M5="KL",$M5="SumaKL")</formula>
    </cfRule>
    <cfRule type="expression" dxfId="46" priority="11">
      <formula>$M5="SumaNS"</formula>
    </cfRule>
  </conditionalFormatting>
  <conditionalFormatting sqref="A5:L8">
    <cfRule type="expression" dxfId="45" priority="12">
      <formula>$M5&lt;&gt;""</formula>
    </cfRule>
  </conditionalFormatting>
  <conditionalFormatting sqref="B10:B15">
    <cfRule type="expression" dxfId="44" priority="4">
      <formula>AND(LEFT(M10,6)&lt;&gt;"mezera",M10&lt;&gt;"")</formula>
    </cfRule>
  </conditionalFormatting>
  <conditionalFormatting sqref="A10:A15">
    <cfRule type="expression" dxfId="43" priority="2">
      <formula>AND(M10&lt;&gt;"",M10&lt;&gt;"mezeraKL")</formula>
    </cfRule>
  </conditionalFormatting>
  <conditionalFormatting sqref="F10:F15">
    <cfRule type="cellIs" dxfId="42" priority="1" operator="lessThan">
      <formula>0.6</formula>
    </cfRule>
  </conditionalFormatting>
  <conditionalFormatting sqref="B10:L15">
    <cfRule type="expression" dxfId="41" priority="3">
      <formula>OR($M10="KL",$M10="SumaKL")</formula>
    </cfRule>
    <cfRule type="expression" dxfId="40" priority="5">
      <formula>$M10="SumaNS"</formula>
    </cfRule>
  </conditionalFormatting>
  <conditionalFormatting sqref="A10:L15">
    <cfRule type="expression" dxfId="39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7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7" customWidth="1"/>
    <col min="2" max="2" width="11.109375" style="340" bestFit="1" customWidth="1"/>
    <col min="3" max="3" width="11.109375" style="257" hidden="1" customWidth="1"/>
    <col min="4" max="4" width="7.33203125" style="340" bestFit="1" customWidth="1"/>
    <col min="5" max="5" width="7.33203125" style="257" hidden="1" customWidth="1"/>
    <col min="6" max="6" width="11.109375" style="340" bestFit="1" customWidth="1"/>
    <col min="7" max="7" width="5.33203125" style="343" customWidth="1"/>
    <col min="8" max="8" width="7.33203125" style="340" bestFit="1" customWidth="1"/>
    <col min="9" max="9" width="5.33203125" style="343" customWidth="1"/>
    <col min="10" max="10" width="11.109375" style="340" customWidth="1"/>
    <col min="11" max="11" width="5.33203125" style="343" customWidth="1"/>
    <col min="12" max="12" width="7.33203125" style="340" customWidth="1"/>
    <col min="13" max="13" width="5.33203125" style="343" customWidth="1"/>
    <col min="14" max="14" width="0" style="257" hidden="1" customWidth="1"/>
    <col min="15" max="16384" width="8.88671875" style="257"/>
  </cols>
  <sheetData>
    <row r="1" spans="1:13" ht="18.600000000000001" customHeight="1" thickBot="1" x14ac:dyDescent="0.4">
      <c r="A1" s="496" t="s">
        <v>192</v>
      </c>
      <c r="B1" s="496"/>
      <c r="C1" s="496"/>
      <c r="D1" s="496"/>
      <c r="E1" s="496"/>
      <c r="F1" s="496"/>
      <c r="G1" s="496"/>
      <c r="H1" s="496"/>
      <c r="I1" s="496"/>
      <c r="J1" s="459"/>
      <c r="K1" s="459"/>
      <c r="L1" s="459"/>
      <c r="M1" s="459"/>
    </row>
    <row r="2" spans="1:13" ht="14.4" customHeight="1" thickBot="1" x14ac:dyDescent="0.35">
      <c r="A2" s="386" t="s">
        <v>321</v>
      </c>
      <c r="B2" s="347"/>
      <c r="C2" s="339"/>
      <c r="D2" s="347"/>
      <c r="E2" s="339"/>
      <c r="F2" s="347"/>
      <c r="G2" s="348"/>
      <c r="H2" s="347"/>
      <c r="I2" s="348"/>
    </row>
    <row r="3" spans="1:13" ht="14.4" customHeight="1" thickBot="1" x14ac:dyDescent="0.35">
      <c r="A3" s="272"/>
      <c r="B3" s="507" t="s">
        <v>15</v>
      </c>
      <c r="C3" s="509"/>
      <c r="D3" s="506"/>
      <c r="E3" s="271"/>
      <c r="F3" s="506" t="s">
        <v>16</v>
      </c>
      <c r="G3" s="506"/>
      <c r="H3" s="506"/>
      <c r="I3" s="506"/>
      <c r="J3" s="506" t="s">
        <v>191</v>
      </c>
      <c r="K3" s="506"/>
      <c r="L3" s="506"/>
      <c r="M3" s="508"/>
    </row>
    <row r="4" spans="1:13" ht="14.4" customHeight="1" thickBot="1" x14ac:dyDescent="0.35">
      <c r="A4" s="668" t="s">
        <v>168</v>
      </c>
      <c r="B4" s="672" t="s">
        <v>19</v>
      </c>
      <c r="C4" s="673"/>
      <c r="D4" s="672" t="s">
        <v>20</v>
      </c>
      <c r="E4" s="673"/>
      <c r="F4" s="672" t="s">
        <v>19</v>
      </c>
      <c r="G4" s="680" t="s">
        <v>2</v>
      </c>
      <c r="H4" s="672" t="s">
        <v>20</v>
      </c>
      <c r="I4" s="680" t="s">
        <v>2</v>
      </c>
      <c r="J4" s="672" t="s">
        <v>19</v>
      </c>
      <c r="K4" s="680" t="s">
        <v>2</v>
      </c>
      <c r="L4" s="672" t="s">
        <v>20</v>
      </c>
      <c r="M4" s="681" t="s">
        <v>2</v>
      </c>
    </row>
    <row r="5" spans="1:13" ht="14.4" customHeight="1" x14ac:dyDescent="0.3">
      <c r="A5" s="669" t="s">
        <v>1596</v>
      </c>
      <c r="B5" s="674">
        <v>126097.57</v>
      </c>
      <c r="C5" s="626">
        <v>1</v>
      </c>
      <c r="D5" s="677">
        <v>46</v>
      </c>
      <c r="E5" s="685" t="s">
        <v>1596</v>
      </c>
      <c r="F5" s="674">
        <v>62432.44</v>
      </c>
      <c r="G5" s="648">
        <v>0.49511215799003899</v>
      </c>
      <c r="H5" s="629">
        <v>19</v>
      </c>
      <c r="I5" s="682">
        <v>0.41304347826086957</v>
      </c>
      <c r="J5" s="688">
        <v>63665.13</v>
      </c>
      <c r="K5" s="648">
        <v>0.50488784200996095</v>
      </c>
      <c r="L5" s="629">
        <v>27</v>
      </c>
      <c r="M5" s="682">
        <v>0.58695652173913049</v>
      </c>
    </row>
    <row r="6" spans="1:13" ht="14.4" customHeight="1" x14ac:dyDescent="0.3">
      <c r="A6" s="670" t="s">
        <v>1597</v>
      </c>
      <c r="B6" s="675">
        <v>2843.1000000000004</v>
      </c>
      <c r="C6" s="632">
        <v>1</v>
      </c>
      <c r="D6" s="678">
        <v>9</v>
      </c>
      <c r="E6" s="686" t="s">
        <v>1597</v>
      </c>
      <c r="F6" s="675">
        <v>0</v>
      </c>
      <c r="G6" s="657">
        <v>0</v>
      </c>
      <c r="H6" s="635">
        <v>6</v>
      </c>
      <c r="I6" s="683">
        <v>0.66666666666666663</v>
      </c>
      <c r="J6" s="689">
        <v>2843.1000000000004</v>
      </c>
      <c r="K6" s="657">
        <v>1</v>
      </c>
      <c r="L6" s="635">
        <v>3</v>
      </c>
      <c r="M6" s="683">
        <v>0.33333333333333331</v>
      </c>
    </row>
    <row r="7" spans="1:13" ht="14.4" customHeight="1" thickBot="1" x14ac:dyDescent="0.35">
      <c r="A7" s="671" t="s">
        <v>1598</v>
      </c>
      <c r="B7" s="676">
        <v>310318.68</v>
      </c>
      <c r="C7" s="638">
        <v>1</v>
      </c>
      <c r="D7" s="679">
        <v>78</v>
      </c>
      <c r="E7" s="687" t="s">
        <v>1598</v>
      </c>
      <c r="F7" s="676">
        <v>187267.31</v>
      </c>
      <c r="G7" s="649">
        <v>0.60346773194575332</v>
      </c>
      <c r="H7" s="641">
        <v>42</v>
      </c>
      <c r="I7" s="684">
        <v>0.53846153846153844</v>
      </c>
      <c r="J7" s="690">
        <v>123051.37</v>
      </c>
      <c r="K7" s="649">
        <v>0.39653226805424668</v>
      </c>
      <c r="L7" s="641">
        <v>36</v>
      </c>
      <c r="M7" s="684">
        <v>0.46153846153846156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38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57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7" hidden="1" customWidth="1" outlineLevel="1"/>
    <col min="2" max="2" width="28.33203125" style="257" hidden="1" customWidth="1" outlineLevel="1"/>
    <col min="3" max="3" width="9" style="257" customWidth="1" collapsed="1"/>
    <col min="4" max="4" width="18.77734375" style="351" customWidth="1"/>
    <col min="5" max="5" width="13.5546875" style="341" customWidth="1"/>
    <col min="6" max="6" width="6" style="257" bestFit="1" customWidth="1"/>
    <col min="7" max="7" width="8.77734375" style="257" customWidth="1"/>
    <col min="8" max="8" width="5" style="257" bestFit="1" customWidth="1"/>
    <col min="9" max="9" width="8.5546875" style="257" hidden="1" customWidth="1" outlineLevel="1"/>
    <col min="10" max="10" width="25.77734375" style="257" customWidth="1" collapsed="1"/>
    <col min="11" max="11" width="8.77734375" style="257" customWidth="1"/>
    <col min="12" max="12" width="7.77734375" style="342" customWidth="1"/>
    <col min="13" max="13" width="11.109375" style="342" customWidth="1"/>
    <col min="14" max="14" width="7.77734375" style="257" customWidth="1"/>
    <col min="15" max="15" width="7.77734375" style="352" customWidth="1"/>
    <col min="16" max="16" width="11.109375" style="342" customWidth="1"/>
    <col min="17" max="17" width="5.44140625" style="343" bestFit="1" customWidth="1"/>
    <col min="18" max="18" width="7.77734375" style="257" customWidth="1"/>
    <col min="19" max="19" width="5.44140625" style="343" bestFit="1" customWidth="1"/>
    <col min="20" max="20" width="7.77734375" style="352" customWidth="1"/>
    <col min="21" max="21" width="5.44140625" style="343" bestFit="1" customWidth="1"/>
    <col min="22" max="16384" width="8.88671875" style="257"/>
  </cols>
  <sheetData>
    <row r="1" spans="1:21" ht="18.600000000000001" customHeight="1" thickBot="1" x14ac:dyDescent="0.4">
      <c r="A1" s="487" t="s">
        <v>1669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  <c r="T1" s="459"/>
      <c r="U1" s="459"/>
    </row>
    <row r="2" spans="1:21" ht="14.4" customHeight="1" thickBot="1" x14ac:dyDescent="0.35">
      <c r="A2" s="386" t="s">
        <v>321</v>
      </c>
      <c r="B2" s="349"/>
      <c r="C2" s="339"/>
      <c r="D2" s="339"/>
      <c r="E2" s="350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</row>
    <row r="3" spans="1:21" ht="14.4" customHeight="1" thickBot="1" x14ac:dyDescent="0.35">
      <c r="A3" s="513"/>
      <c r="B3" s="514"/>
      <c r="C3" s="514"/>
      <c r="D3" s="514"/>
      <c r="E3" s="514"/>
      <c r="F3" s="514"/>
      <c r="G3" s="514"/>
      <c r="H3" s="514"/>
      <c r="I3" s="514"/>
      <c r="J3" s="514"/>
      <c r="K3" s="515" t="s">
        <v>160</v>
      </c>
      <c r="L3" s="516"/>
      <c r="M3" s="70">
        <f>SUBTOTAL(9,M7:M1048576)</f>
        <v>439259.34999999992</v>
      </c>
      <c r="N3" s="70">
        <f>SUBTOTAL(9,N7:N1048576)</f>
        <v>5243</v>
      </c>
      <c r="O3" s="70">
        <f>SUBTOTAL(9,O7:O1048576)</f>
        <v>133</v>
      </c>
      <c r="P3" s="70">
        <f>SUBTOTAL(9,P7:P1048576)</f>
        <v>249699.74999999997</v>
      </c>
      <c r="Q3" s="71">
        <f>IF(M3=0,0,P3/M3)</f>
        <v>0.56845631174384792</v>
      </c>
      <c r="R3" s="70">
        <f>SUBTOTAL(9,R7:R1048576)</f>
        <v>2979</v>
      </c>
      <c r="S3" s="71">
        <f>IF(N3=0,0,R3/N3)</f>
        <v>0.56818615296585928</v>
      </c>
      <c r="T3" s="70">
        <f>SUBTOTAL(9,T7:T1048576)</f>
        <v>67</v>
      </c>
      <c r="U3" s="72">
        <f>IF(O3=0,0,T3/O3)</f>
        <v>0.50375939849624063</v>
      </c>
    </row>
    <row r="4" spans="1:21" ht="14.4" customHeight="1" x14ac:dyDescent="0.3">
      <c r="A4" s="73"/>
      <c r="B4" s="74"/>
      <c r="C4" s="74"/>
      <c r="D4" s="75"/>
      <c r="E4" s="272"/>
      <c r="F4" s="74"/>
      <c r="G4" s="74"/>
      <c r="H4" s="74"/>
      <c r="I4" s="74"/>
      <c r="J4" s="74"/>
      <c r="K4" s="74"/>
      <c r="L4" s="74"/>
      <c r="M4" s="517" t="s">
        <v>15</v>
      </c>
      <c r="N4" s="518"/>
      <c r="O4" s="518"/>
      <c r="P4" s="519" t="s">
        <v>21</v>
      </c>
      <c r="Q4" s="518"/>
      <c r="R4" s="518"/>
      <c r="S4" s="518"/>
      <c r="T4" s="518"/>
      <c r="U4" s="520"/>
    </row>
    <row r="5" spans="1:21" ht="14.4" customHeight="1" thickBot="1" x14ac:dyDescent="0.35">
      <c r="A5" s="76"/>
      <c r="B5" s="77"/>
      <c r="C5" s="74"/>
      <c r="D5" s="75"/>
      <c r="E5" s="27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10" t="s">
        <v>22</v>
      </c>
      <c r="Q5" s="511"/>
      <c r="R5" s="510" t="s">
        <v>13</v>
      </c>
      <c r="S5" s="511"/>
      <c r="T5" s="510" t="s">
        <v>20</v>
      </c>
      <c r="U5" s="512"/>
    </row>
    <row r="6" spans="1:21" s="341" customFormat="1" ht="14.4" customHeight="1" thickBot="1" x14ac:dyDescent="0.35">
      <c r="A6" s="691" t="s">
        <v>23</v>
      </c>
      <c r="B6" s="692" t="s">
        <v>5</v>
      </c>
      <c r="C6" s="691" t="s">
        <v>24</v>
      </c>
      <c r="D6" s="692" t="s">
        <v>6</v>
      </c>
      <c r="E6" s="692" t="s">
        <v>194</v>
      </c>
      <c r="F6" s="692" t="s">
        <v>25</v>
      </c>
      <c r="G6" s="692" t="s">
        <v>26</v>
      </c>
      <c r="H6" s="692" t="s">
        <v>8</v>
      </c>
      <c r="I6" s="692" t="s">
        <v>10</v>
      </c>
      <c r="J6" s="692" t="s">
        <v>11</v>
      </c>
      <c r="K6" s="692" t="s">
        <v>12</v>
      </c>
      <c r="L6" s="692" t="s">
        <v>27</v>
      </c>
      <c r="M6" s="693" t="s">
        <v>14</v>
      </c>
      <c r="N6" s="694" t="s">
        <v>28</v>
      </c>
      <c r="O6" s="694" t="s">
        <v>28</v>
      </c>
      <c r="P6" s="694" t="s">
        <v>14</v>
      </c>
      <c r="Q6" s="694" t="s">
        <v>2</v>
      </c>
      <c r="R6" s="694" t="s">
        <v>28</v>
      </c>
      <c r="S6" s="694" t="s">
        <v>2</v>
      </c>
      <c r="T6" s="694" t="s">
        <v>28</v>
      </c>
      <c r="U6" s="695" t="s">
        <v>2</v>
      </c>
    </row>
    <row r="7" spans="1:21" ht="14.4" customHeight="1" x14ac:dyDescent="0.3">
      <c r="A7" s="696">
        <v>59</v>
      </c>
      <c r="B7" s="697" t="s">
        <v>1459</v>
      </c>
      <c r="C7" s="697">
        <v>89301594</v>
      </c>
      <c r="D7" s="698" t="s">
        <v>1668</v>
      </c>
      <c r="E7" s="699" t="s">
        <v>1596</v>
      </c>
      <c r="F7" s="697" t="s">
        <v>1591</v>
      </c>
      <c r="G7" s="697" t="s">
        <v>1599</v>
      </c>
      <c r="H7" s="697" t="s">
        <v>514</v>
      </c>
      <c r="I7" s="697" t="s">
        <v>1600</v>
      </c>
      <c r="J7" s="697" t="s">
        <v>1601</v>
      </c>
      <c r="K7" s="697"/>
      <c r="L7" s="700">
        <v>0</v>
      </c>
      <c r="M7" s="700">
        <v>0</v>
      </c>
      <c r="N7" s="697">
        <v>7</v>
      </c>
      <c r="O7" s="701">
        <v>0.5</v>
      </c>
      <c r="P7" s="700"/>
      <c r="Q7" s="702"/>
      <c r="R7" s="697"/>
      <c r="S7" s="702">
        <v>0</v>
      </c>
      <c r="T7" s="701"/>
      <c r="U7" s="238">
        <v>0</v>
      </c>
    </row>
    <row r="8" spans="1:21" ht="14.4" customHeight="1" x14ac:dyDescent="0.3">
      <c r="A8" s="631">
        <v>59</v>
      </c>
      <c r="B8" s="632" t="s">
        <v>1459</v>
      </c>
      <c r="C8" s="632">
        <v>89301594</v>
      </c>
      <c r="D8" s="703" t="s">
        <v>1668</v>
      </c>
      <c r="E8" s="704" t="s">
        <v>1596</v>
      </c>
      <c r="F8" s="632" t="s">
        <v>1591</v>
      </c>
      <c r="G8" s="632" t="s">
        <v>1602</v>
      </c>
      <c r="H8" s="632" t="s">
        <v>1104</v>
      </c>
      <c r="I8" s="632" t="s">
        <v>1277</v>
      </c>
      <c r="J8" s="632" t="s">
        <v>1582</v>
      </c>
      <c r="K8" s="632" t="s">
        <v>1116</v>
      </c>
      <c r="L8" s="633">
        <v>32.6</v>
      </c>
      <c r="M8" s="633">
        <v>260.8</v>
      </c>
      <c r="N8" s="632">
        <v>8</v>
      </c>
      <c r="O8" s="705">
        <v>0.5</v>
      </c>
      <c r="P8" s="633"/>
      <c r="Q8" s="657">
        <v>0</v>
      </c>
      <c r="R8" s="632"/>
      <c r="S8" s="657">
        <v>0</v>
      </c>
      <c r="T8" s="705"/>
      <c r="U8" s="683">
        <v>0</v>
      </c>
    </row>
    <row r="9" spans="1:21" ht="14.4" customHeight="1" x14ac:dyDescent="0.3">
      <c r="A9" s="631">
        <v>59</v>
      </c>
      <c r="B9" s="632" t="s">
        <v>1459</v>
      </c>
      <c r="C9" s="632">
        <v>89301594</v>
      </c>
      <c r="D9" s="703" t="s">
        <v>1668</v>
      </c>
      <c r="E9" s="704" t="s">
        <v>1596</v>
      </c>
      <c r="F9" s="632" t="s">
        <v>1591</v>
      </c>
      <c r="G9" s="632" t="s">
        <v>1602</v>
      </c>
      <c r="H9" s="632" t="s">
        <v>1104</v>
      </c>
      <c r="I9" s="632" t="s">
        <v>1252</v>
      </c>
      <c r="J9" s="632" t="s">
        <v>1583</v>
      </c>
      <c r="K9" s="632" t="s">
        <v>1116</v>
      </c>
      <c r="L9" s="633">
        <v>32.380000000000003</v>
      </c>
      <c r="M9" s="633">
        <v>323.8</v>
      </c>
      <c r="N9" s="632">
        <v>10</v>
      </c>
      <c r="O9" s="705">
        <v>0.5</v>
      </c>
      <c r="P9" s="633"/>
      <c r="Q9" s="657">
        <v>0</v>
      </c>
      <c r="R9" s="632"/>
      <c r="S9" s="657">
        <v>0</v>
      </c>
      <c r="T9" s="705"/>
      <c r="U9" s="683">
        <v>0</v>
      </c>
    </row>
    <row r="10" spans="1:21" ht="14.4" customHeight="1" x14ac:dyDescent="0.3">
      <c r="A10" s="631">
        <v>59</v>
      </c>
      <c r="B10" s="632" t="s">
        <v>1459</v>
      </c>
      <c r="C10" s="632">
        <v>89301594</v>
      </c>
      <c r="D10" s="703" t="s">
        <v>1668</v>
      </c>
      <c r="E10" s="704" t="s">
        <v>1596</v>
      </c>
      <c r="F10" s="632" t="s">
        <v>1591</v>
      </c>
      <c r="G10" s="632" t="s">
        <v>1602</v>
      </c>
      <c r="H10" s="632" t="s">
        <v>1104</v>
      </c>
      <c r="I10" s="632" t="s">
        <v>1603</v>
      </c>
      <c r="J10" s="632" t="s">
        <v>1604</v>
      </c>
      <c r="K10" s="632" t="s">
        <v>1605</v>
      </c>
      <c r="L10" s="633">
        <v>189.56</v>
      </c>
      <c r="M10" s="633">
        <v>21609.839999999997</v>
      </c>
      <c r="N10" s="632">
        <v>114</v>
      </c>
      <c r="O10" s="705">
        <v>7.5</v>
      </c>
      <c r="P10" s="633">
        <v>2085.16</v>
      </c>
      <c r="Q10" s="657">
        <v>9.6491228070175447E-2</v>
      </c>
      <c r="R10" s="632">
        <v>11</v>
      </c>
      <c r="S10" s="657">
        <v>9.6491228070175433E-2</v>
      </c>
      <c r="T10" s="705">
        <v>1.5</v>
      </c>
      <c r="U10" s="683">
        <v>0.2</v>
      </c>
    </row>
    <row r="11" spans="1:21" ht="14.4" customHeight="1" x14ac:dyDescent="0.3">
      <c r="A11" s="631">
        <v>59</v>
      </c>
      <c r="B11" s="632" t="s">
        <v>1459</v>
      </c>
      <c r="C11" s="632">
        <v>89301594</v>
      </c>
      <c r="D11" s="703" t="s">
        <v>1668</v>
      </c>
      <c r="E11" s="704" t="s">
        <v>1596</v>
      </c>
      <c r="F11" s="632" t="s">
        <v>1591</v>
      </c>
      <c r="G11" s="632" t="s">
        <v>1602</v>
      </c>
      <c r="H11" s="632" t="s">
        <v>1104</v>
      </c>
      <c r="I11" s="632" t="s">
        <v>1603</v>
      </c>
      <c r="J11" s="632" t="s">
        <v>1604</v>
      </c>
      <c r="K11" s="632" t="s">
        <v>1605</v>
      </c>
      <c r="L11" s="633">
        <v>194.26</v>
      </c>
      <c r="M11" s="633">
        <v>13403.939999999999</v>
      </c>
      <c r="N11" s="632">
        <v>69</v>
      </c>
      <c r="O11" s="705">
        <v>8</v>
      </c>
      <c r="P11" s="633">
        <v>3496.68</v>
      </c>
      <c r="Q11" s="657">
        <v>0.2608695652173913</v>
      </c>
      <c r="R11" s="632">
        <v>18</v>
      </c>
      <c r="S11" s="657">
        <v>0.2608695652173913</v>
      </c>
      <c r="T11" s="705">
        <v>3</v>
      </c>
      <c r="U11" s="683">
        <v>0.375</v>
      </c>
    </row>
    <row r="12" spans="1:21" ht="14.4" customHeight="1" x14ac:dyDescent="0.3">
      <c r="A12" s="631">
        <v>59</v>
      </c>
      <c r="B12" s="632" t="s">
        <v>1459</v>
      </c>
      <c r="C12" s="632">
        <v>89301594</v>
      </c>
      <c r="D12" s="703" t="s">
        <v>1668</v>
      </c>
      <c r="E12" s="704" t="s">
        <v>1596</v>
      </c>
      <c r="F12" s="632" t="s">
        <v>1591</v>
      </c>
      <c r="G12" s="632" t="s">
        <v>1602</v>
      </c>
      <c r="H12" s="632" t="s">
        <v>1104</v>
      </c>
      <c r="I12" s="632" t="s">
        <v>1258</v>
      </c>
      <c r="J12" s="632" t="s">
        <v>1585</v>
      </c>
      <c r="K12" s="632" t="s">
        <v>1116</v>
      </c>
      <c r="L12" s="633">
        <v>21.06</v>
      </c>
      <c r="M12" s="633">
        <v>1158.3</v>
      </c>
      <c r="N12" s="632">
        <v>55</v>
      </c>
      <c r="O12" s="705">
        <v>1.5</v>
      </c>
      <c r="P12" s="633">
        <v>842.4</v>
      </c>
      <c r="Q12" s="657">
        <v>0.72727272727272729</v>
      </c>
      <c r="R12" s="632">
        <v>40</v>
      </c>
      <c r="S12" s="657">
        <v>0.72727272727272729</v>
      </c>
      <c r="T12" s="705">
        <v>1</v>
      </c>
      <c r="U12" s="683">
        <v>0.66666666666666663</v>
      </c>
    </row>
    <row r="13" spans="1:21" ht="14.4" customHeight="1" x14ac:dyDescent="0.3">
      <c r="A13" s="631">
        <v>59</v>
      </c>
      <c r="B13" s="632" t="s">
        <v>1459</v>
      </c>
      <c r="C13" s="632">
        <v>89301594</v>
      </c>
      <c r="D13" s="703" t="s">
        <v>1668</v>
      </c>
      <c r="E13" s="704" t="s">
        <v>1596</v>
      </c>
      <c r="F13" s="632" t="s">
        <v>1591</v>
      </c>
      <c r="G13" s="632" t="s">
        <v>1602</v>
      </c>
      <c r="H13" s="632" t="s">
        <v>1104</v>
      </c>
      <c r="I13" s="632" t="s">
        <v>1261</v>
      </c>
      <c r="J13" s="632" t="s">
        <v>1586</v>
      </c>
      <c r="K13" s="632" t="s">
        <v>1116</v>
      </c>
      <c r="L13" s="633">
        <v>26.33</v>
      </c>
      <c r="M13" s="633">
        <v>394.95</v>
      </c>
      <c r="N13" s="632">
        <v>15</v>
      </c>
      <c r="O13" s="705">
        <v>0.5</v>
      </c>
      <c r="P13" s="633">
        <v>394.95</v>
      </c>
      <c r="Q13" s="657">
        <v>1</v>
      </c>
      <c r="R13" s="632">
        <v>15</v>
      </c>
      <c r="S13" s="657">
        <v>1</v>
      </c>
      <c r="T13" s="705">
        <v>0.5</v>
      </c>
      <c r="U13" s="683">
        <v>1</v>
      </c>
    </row>
    <row r="14" spans="1:21" ht="14.4" customHeight="1" x14ac:dyDescent="0.3">
      <c r="A14" s="631">
        <v>59</v>
      </c>
      <c r="B14" s="632" t="s">
        <v>1459</v>
      </c>
      <c r="C14" s="632">
        <v>89301594</v>
      </c>
      <c r="D14" s="703" t="s">
        <v>1668</v>
      </c>
      <c r="E14" s="704" t="s">
        <v>1596</v>
      </c>
      <c r="F14" s="632" t="s">
        <v>1591</v>
      </c>
      <c r="G14" s="632" t="s">
        <v>1602</v>
      </c>
      <c r="H14" s="632" t="s">
        <v>1104</v>
      </c>
      <c r="I14" s="632" t="s">
        <v>1114</v>
      </c>
      <c r="J14" s="632" t="s">
        <v>1587</v>
      </c>
      <c r="K14" s="632" t="s">
        <v>1116</v>
      </c>
      <c r="L14" s="633">
        <v>26.33</v>
      </c>
      <c r="M14" s="633">
        <v>1184.8499999999999</v>
      </c>
      <c r="N14" s="632">
        <v>45</v>
      </c>
      <c r="O14" s="705">
        <v>2</v>
      </c>
      <c r="P14" s="633">
        <v>394.95</v>
      </c>
      <c r="Q14" s="657">
        <v>0.33333333333333337</v>
      </c>
      <c r="R14" s="632">
        <v>15</v>
      </c>
      <c r="S14" s="657">
        <v>0.33333333333333331</v>
      </c>
      <c r="T14" s="705">
        <v>0.5</v>
      </c>
      <c r="U14" s="683">
        <v>0.25</v>
      </c>
    </row>
    <row r="15" spans="1:21" ht="14.4" customHeight="1" x14ac:dyDescent="0.3">
      <c r="A15" s="631">
        <v>59</v>
      </c>
      <c r="B15" s="632" t="s">
        <v>1459</v>
      </c>
      <c r="C15" s="632">
        <v>89301594</v>
      </c>
      <c r="D15" s="703" t="s">
        <v>1668</v>
      </c>
      <c r="E15" s="704" t="s">
        <v>1596</v>
      </c>
      <c r="F15" s="632" t="s">
        <v>1591</v>
      </c>
      <c r="G15" s="632" t="s">
        <v>1602</v>
      </c>
      <c r="H15" s="632" t="s">
        <v>1104</v>
      </c>
      <c r="I15" s="632" t="s">
        <v>1269</v>
      </c>
      <c r="J15" s="632" t="s">
        <v>1270</v>
      </c>
      <c r="K15" s="632" t="s">
        <v>1268</v>
      </c>
      <c r="L15" s="633">
        <v>105.31</v>
      </c>
      <c r="M15" s="633">
        <v>71294.87</v>
      </c>
      <c r="N15" s="632">
        <v>677</v>
      </c>
      <c r="O15" s="705">
        <v>18.5</v>
      </c>
      <c r="P15" s="633">
        <v>46757.64</v>
      </c>
      <c r="Q15" s="657">
        <v>0.65583456425406206</v>
      </c>
      <c r="R15" s="632">
        <v>444</v>
      </c>
      <c r="S15" s="657">
        <v>0.65583456425406206</v>
      </c>
      <c r="T15" s="705">
        <v>11</v>
      </c>
      <c r="U15" s="683">
        <v>0.59459459459459463</v>
      </c>
    </row>
    <row r="16" spans="1:21" ht="14.4" customHeight="1" x14ac:dyDescent="0.3">
      <c r="A16" s="631">
        <v>59</v>
      </c>
      <c r="B16" s="632" t="s">
        <v>1459</v>
      </c>
      <c r="C16" s="632">
        <v>89301594</v>
      </c>
      <c r="D16" s="703" t="s">
        <v>1668</v>
      </c>
      <c r="E16" s="704" t="s">
        <v>1596</v>
      </c>
      <c r="F16" s="632" t="s">
        <v>1591</v>
      </c>
      <c r="G16" s="632" t="s">
        <v>1602</v>
      </c>
      <c r="H16" s="632" t="s">
        <v>1104</v>
      </c>
      <c r="I16" s="632" t="s">
        <v>1606</v>
      </c>
      <c r="J16" s="632" t="s">
        <v>1607</v>
      </c>
      <c r="K16" s="632" t="s">
        <v>1268</v>
      </c>
      <c r="L16" s="633">
        <v>108.47</v>
      </c>
      <c r="M16" s="633">
        <v>13124.869999999999</v>
      </c>
      <c r="N16" s="632">
        <v>121</v>
      </c>
      <c r="O16" s="705">
        <v>3.5</v>
      </c>
      <c r="P16" s="633">
        <v>8460.66</v>
      </c>
      <c r="Q16" s="657">
        <v>0.64462809917355379</v>
      </c>
      <c r="R16" s="632">
        <v>78</v>
      </c>
      <c r="S16" s="657">
        <v>0.64462809917355368</v>
      </c>
      <c r="T16" s="705">
        <v>1.5</v>
      </c>
      <c r="U16" s="683">
        <v>0.42857142857142855</v>
      </c>
    </row>
    <row r="17" spans="1:21" ht="14.4" customHeight="1" x14ac:dyDescent="0.3">
      <c r="A17" s="631">
        <v>59</v>
      </c>
      <c r="B17" s="632" t="s">
        <v>1459</v>
      </c>
      <c r="C17" s="632">
        <v>89301594</v>
      </c>
      <c r="D17" s="703" t="s">
        <v>1668</v>
      </c>
      <c r="E17" s="704" t="s">
        <v>1596</v>
      </c>
      <c r="F17" s="632" t="s">
        <v>1591</v>
      </c>
      <c r="G17" s="632" t="s">
        <v>1602</v>
      </c>
      <c r="H17" s="632" t="s">
        <v>1104</v>
      </c>
      <c r="I17" s="632" t="s">
        <v>1608</v>
      </c>
      <c r="J17" s="632" t="s">
        <v>1609</v>
      </c>
      <c r="K17" s="632" t="s">
        <v>1116</v>
      </c>
      <c r="L17" s="633">
        <v>21.91</v>
      </c>
      <c r="M17" s="633">
        <v>328.65</v>
      </c>
      <c r="N17" s="632">
        <v>15</v>
      </c>
      <c r="O17" s="705">
        <v>0.5</v>
      </c>
      <c r="P17" s="633"/>
      <c r="Q17" s="657">
        <v>0</v>
      </c>
      <c r="R17" s="632"/>
      <c r="S17" s="657">
        <v>0</v>
      </c>
      <c r="T17" s="705"/>
      <c r="U17" s="683">
        <v>0</v>
      </c>
    </row>
    <row r="18" spans="1:21" ht="14.4" customHeight="1" x14ac:dyDescent="0.3">
      <c r="A18" s="631">
        <v>59</v>
      </c>
      <c r="B18" s="632" t="s">
        <v>1459</v>
      </c>
      <c r="C18" s="632">
        <v>89301594</v>
      </c>
      <c r="D18" s="703" t="s">
        <v>1668</v>
      </c>
      <c r="E18" s="704" t="s">
        <v>1596</v>
      </c>
      <c r="F18" s="632" t="s">
        <v>1591</v>
      </c>
      <c r="G18" s="632" t="s">
        <v>1602</v>
      </c>
      <c r="H18" s="632" t="s">
        <v>1104</v>
      </c>
      <c r="I18" s="632" t="s">
        <v>1284</v>
      </c>
      <c r="J18" s="632" t="s">
        <v>1588</v>
      </c>
      <c r="K18" s="632" t="s">
        <v>1116</v>
      </c>
      <c r="L18" s="633">
        <v>32.380000000000003</v>
      </c>
      <c r="M18" s="633">
        <v>259.04000000000002</v>
      </c>
      <c r="N18" s="632">
        <v>8</v>
      </c>
      <c r="O18" s="705">
        <v>0.5</v>
      </c>
      <c r="P18" s="633"/>
      <c r="Q18" s="657">
        <v>0</v>
      </c>
      <c r="R18" s="632"/>
      <c r="S18" s="657">
        <v>0</v>
      </c>
      <c r="T18" s="705"/>
      <c r="U18" s="683">
        <v>0</v>
      </c>
    </row>
    <row r="19" spans="1:21" ht="14.4" customHeight="1" x14ac:dyDescent="0.3">
      <c r="A19" s="631">
        <v>59</v>
      </c>
      <c r="B19" s="632" t="s">
        <v>1459</v>
      </c>
      <c r="C19" s="632">
        <v>89301594</v>
      </c>
      <c r="D19" s="703" t="s">
        <v>1668</v>
      </c>
      <c r="E19" s="704" t="s">
        <v>1596</v>
      </c>
      <c r="F19" s="632" t="s">
        <v>1591</v>
      </c>
      <c r="G19" s="632" t="s">
        <v>1602</v>
      </c>
      <c r="H19" s="632" t="s">
        <v>1104</v>
      </c>
      <c r="I19" s="632" t="s">
        <v>1274</v>
      </c>
      <c r="J19" s="632" t="s">
        <v>1275</v>
      </c>
      <c r="K19" s="632" t="s">
        <v>1273</v>
      </c>
      <c r="L19" s="633">
        <v>84.19</v>
      </c>
      <c r="M19" s="633">
        <v>168.38</v>
      </c>
      <c r="N19" s="632">
        <v>2</v>
      </c>
      <c r="O19" s="705">
        <v>0.5</v>
      </c>
      <c r="P19" s="633"/>
      <c r="Q19" s="657">
        <v>0</v>
      </c>
      <c r="R19" s="632"/>
      <c r="S19" s="657">
        <v>0</v>
      </c>
      <c r="T19" s="705"/>
      <c r="U19" s="683">
        <v>0</v>
      </c>
    </row>
    <row r="20" spans="1:21" ht="14.4" customHeight="1" x14ac:dyDescent="0.3">
      <c r="A20" s="631">
        <v>59</v>
      </c>
      <c r="B20" s="632" t="s">
        <v>1459</v>
      </c>
      <c r="C20" s="632">
        <v>89301594</v>
      </c>
      <c r="D20" s="703" t="s">
        <v>1668</v>
      </c>
      <c r="E20" s="704" t="s">
        <v>1596</v>
      </c>
      <c r="F20" s="632" t="s">
        <v>1591</v>
      </c>
      <c r="G20" s="632" t="s">
        <v>1602</v>
      </c>
      <c r="H20" s="632" t="s">
        <v>1104</v>
      </c>
      <c r="I20" s="632" t="s">
        <v>1271</v>
      </c>
      <c r="J20" s="632" t="s">
        <v>1272</v>
      </c>
      <c r="K20" s="632" t="s">
        <v>1273</v>
      </c>
      <c r="L20" s="633">
        <v>84.19</v>
      </c>
      <c r="M20" s="633">
        <v>168.38</v>
      </c>
      <c r="N20" s="632">
        <v>2</v>
      </c>
      <c r="O20" s="705">
        <v>0.5</v>
      </c>
      <c r="P20" s="633"/>
      <c r="Q20" s="657">
        <v>0</v>
      </c>
      <c r="R20" s="632"/>
      <c r="S20" s="657">
        <v>0</v>
      </c>
      <c r="T20" s="705"/>
      <c r="U20" s="683">
        <v>0</v>
      </c>
    </row>
    <row r="21" spans="1:21" ht="14.4" customHeight="1" x14ac:dyDescent="0.3">
      <c r="A21" s="631">
        <v>59</v>
      </c>
      <c r="B21" s="632" t="s">
        <v>1459</v>
      </c>
      <c r="C21" s="632">
        <v>89301594</v>
      </c>
      <c r="D21" s="703" t="s">
        <v>1668</v>
      </c>
      <c r="E21" s="704" t="s">
        <v>1596</v>
      </c>
      <c r="F21" s="632" t="s">
        <v>1591</v>
      </c>
      <c r="G21" s="632" t="s">
        <v>1602</v>
      </c>
      <c r="H21" s="632" t="s">
        <v>1104</v>
      </c>
      <c r="I21" s="632" t="s">
        <v>1610</v>
      </c>
      <c r="J21" s="632" t="s">
        <v>1611</v>
      </c>
      <c r="K21" s="632" t="s">
        <v>1612</v>
      </c>
      <c r="L21" s="633">
        <v>241.69</v>
      </c>
      <c r="M21" s="633">
        <v>2416.9</v>
      </c>
      <c r="N21" s="632">
        <v>10</v>
      </c>
      <c r="O21" s="705">
        <v>1</v>
      </c>
      <c r="P21" s="633"/>
      <c r="Q21" s="657">
        <v>0</v>
      </c>
      <c r="R21" s="632"/>
      <c r="S21" s="657">
        <v>0</v>
      </c>
      <c r="T21" s="705"/>
      <c r="U21" s="683">
        <v>0</v>
      </c>
    </row>
    <row r="22" spans="1:21" ht="14.4" customHeight="1" x14ac:dyDescent="0.3">
      <c r="A22" s="631">
        <v>59</v>
      </c>
      <c r="B22" s="632" t="s">
        <v>1459</v>
      </c>
      <c r="C22" s="632">
        <v>89301594</v>
      </c>
      <c r="D22" s="703" t="s">
        <v>1668</v>
      </c>
      <c r="E22" s="704" t="s">
        <v>1597</v>
      </c>
      <c r="F22" s="632" t="s">
        <v>1591</v>
      </c>
      <c r="G22" s="632" t="s">
        <v>1602</v>
      </c>
      <c r="H22" s="632" t="s">
        <v>1104</v>
      </c>
      <c r="I22" s="632" t="s">
        <v>1613</v>
      </c>
      <c r="J22" s="632" t="s">
        <v>1614</v>
      </c>
      <c r="K22" s="632" t="s">
        <v>1116</v>
      </c>
      <c r="L22" s="633">
        <v>31.59</v>
      </c>
      <c r="M22" s="633">
        <v>947.7</v>
      </c>
      <c r="N22" s="632">
        <v>30</v>
      </c>
      <c r="O22" s="705">
        <v>1</v>
      </c>
      <c r="P22" s="633"/>
      <c r="Q22" s="657">
        <v>0</v>
      </c>
      <c r="R22" s="632"/>
      <c r="S22" s="657">
        <v>0</v>
      </c>
      <c r="T22" s="705"/>
      <c r="U22" s="683">
        <v>0</v>
      </c>
    </row>
    <row r="23" spans="1:21" ht="14.4" customHeight="1" x14ac:dyDescent="0.3">
      <c r="A23" s="631">
        <v>59</v>
      </c>
      <c r="B23" s="632" t="s">
        <v>1459</v>
      </c>
      <c r="C23" s="632">
        <v>89301594</v>
      </c>
      <c r="D23" s="703" t="s">
        <v>1668</v>
      </c>
      <c r="E23" s="704" t="s">
        <v>1597</v>
      </c>
      <c r="F23" s="632" t="s">
        <v>1591</v>
      </c>
      <c r="G23" s="632" t="s">
        <v>1602</v>
      </c>
      <c r="H23" s="632" t="s">
        <v>1104</v>
      </c>
      <c r="I23" s="632" t="s">
        <v>1615</v>
      </c>
      <c r="J23" s="632" t="s">
        <v>1616</v>
      </c>
      <c r="K23" s="632" t="s">
        <v>1116</v>
      </c>
      <c r="L23" s="633">
        <v>31.59</v>
      </c>
      <c r="M23" s="633">
        <v>947.7</v>
      </c>
      <c r="N23" s="632">
        <v>30</v>
      </c>
      <c r="O23" s="705">
        <v>0.5</v>
      </c>
      <c r="P23" s="633"/>
      <c r="Q23" s="657">
        <v>0</v>
      </c>
      <c r="R23" s="632"/>
      <c r="S23" s="657">
        <v>0</v>
      </c>
      <c r="T23" s="705"/>
      <c r="U23" s="683">
        <v>0</v>
      </c>
    </row>
    <row r="24" spans="1:21" ht="14.4" customHeight="1" x14ac:dyDescent="0.3">
      <c r="A24" s="631">
        <v>59</v>
      </c>
      <c r="B24" s="632" t="s">
        <v>1459</v>
      </c>
      <c r="C24" s="632">
        <v>89301594</v>
      </c>
      <c r="D24" s="703" t="s">
        <v>1668</v>
      </c>
      <c r="E24" s="704" t="s">
        <v>1597</v>
      </c>
      <c r="F24" s="632" t="s">
        <v>1591</v>
      </c>
      <c r="G24" s="632" t="s">
        <v>1602</v>
      </c>
      <c r="H24" s="632" t="s">
        <v>1104</v>
      </c>
      <c r="I24" s="632" t="s">
        <v>1617</v>
      </c>
      <c r="J24" s="632" t="s">
        <v>1618</v>
      </c>
      <c r="K24" s="632" t="s">
        <v>1116</v>
      </c>
      <c r="L24" s="633">
        <v>31.59</v>
      </c>
      <c r="M24" s="633">
        <v>947.7</v>
      </c>
      <c r="N24" s="632">
        <v>30</v>
      </c>
      <c r="O24" s="705">
        <v>0.5</v>
      </c>
      <c r="P24" s="633"/>
      <c r="Q24" s="657">
        <v>0</v>
      </c>
      <c r="R24" s="632"/>
      <c r="S24" s="657">
        <v>0</v>
      </c>
      <c r="T24" s="705"/>
      <c r="U24" s="683">
        <v>0</v>
      </c>
    </row>
    <row r="25" spans="1:21" ht="14.4" customHeight="1" x14ac:dyDescent="0.3">
      <c r="A25" s="631">
        <v>59</v>
      </c>
      <c r="B25" s="632" t="s">
        <v>1459</v>
      </c>
      <c r="C25" s="632">
        <v>89301594</v>
      </c>
      <c r="D25" s="703" t="s">
        <v>1668</v>
      </c>
      <c r="E25" s="704" t="s">
        <v>1597</v>
      </c>
      <c r="F25" s="632" t="s">
        <v>1592</v>
      </c>
      <c r="G25" s="632" t="s">
        <v>1599</v>
      </c>
      <c r="H25" s="632" t="s">
        <v>514</v>
      </c>
      <c r="I25" s="632" t="s">
        <v>1619</v>
      </c>
      <c r="J25" s="632" t="s">
        <v>1601</v>
      </c>
      <c r="K25" s="632"/>
      <c r="L25" s="633">
        <v>0</v>
      </c>
      <c r="M25" s="633">
        <v>0</v>
      </c>
      <c r="N25" s="632">
        <v>2</v>
      </c>
      <c r="O25" s="705">
        <v>2</v>
      </c>
      <c r="P25" s="633">
        <v>0</v>
      </c>
      <c r="Q25" s="657"/>
      <c r="R25" s="632">
        <v>2</v>
      </c>
      <c r="S25" s="657">
        <v>1</v>
      </c>
      <c r="T25" s="705">
        <v>2</v>
      </c>
      <c r="U25" s="683">
        <v>1</v>
      </c>
    </row>
    <row r="26" spans="1:21" ht="14.4" customHeight="1" x14ac:dyDescent="0.3">
      <c r="A26" s="631">
        <v>59</v>
      </c>
      <c r="B26" s="632" t="s">
        <v>1459</v>
      </c>
      <c r="C26" s="632">
        <v>89301594</v>
      </c>
      <c r="D26" s="703" t="s">
        <v>1668</v>
      </c>
      <c r="E26" s="704" t="s">
        <v>1597</v>
      </c>
      <c r="F26" s="632" t="s">
        <v>1592</v>
      </c>
      <c r="G26" s="632" t="s">
        <v>1599</v>
      </c>
      <c r="H26" s="632" t="s">
        <v>514</v>
      </c>
      <c r="I26" s="632" t="s">
        <v>1620</v>
      </c>
      <c r="J26" s="632" t="s">
        <v>1601</v>
      </c>
      <c r="K26" s="632"/>
      <c r="L26" s="633">
        <v>0</v>
      </c>
      <c r="M26" s="633">
        <v>0</v>
      </c>
      <c r="N26" s="632">
        <v>4</v>
      </c>
      <c r="O26" s="705">
        <v>4</v>
      </c>
      <c r="P26" s="633">
        <v>0</v>
      </c>
      <c r="Q26" s="657"/>
      <c r="R26" s="632">
        <v>3</v>
      </c>
      <c r="S26" s="657">
        <v>0.75</v>
      </c>
      <c r="T26" s="705">
        <v>3</v>
      </c>
      <c r="U26" s="683">
        <v>0.75</v>
      </c>
    </row>
    <row r="27" spans="1:21" ht="14.4" customHeight="1" x14ac:dyDescent="0.3">
      <c r="A27" s="631">
        <v>59</v>
      </c>
      <c r="B27" s="632" t="s">
        <v>1459</v>
      </c>
      <c r="C27" s="632">
        <v>89301594</v>
      </c>
      <c r="D27" s="703" t="s">
        <v>1668</v>
      </c>
      <c r="E27" s="704" t="s">
        <v>1597</v>
      </c>
      <c r="F27" s="632" t="s">
        <v>1592</v>
      </c>
      <c r="G27" s="632" t="s">
        <v>1599</v>
      </c>
      <c r="H27" s="632" t="s">
        <v>514</v>
      </c>
      <c r="I27" s="632" t="s">
        <v>1621</v>
      </c>
      <c r="J27" s="632" t="s">
        <v>1601</v>
      </c>
      <c r="K27" s="632"/>
      <c r="L27" s="633">
        <v>0</v>
      </c>
      <c r="M27" s="633">
        <v>0</v>
      </c>
      <c r="N27" s="632">
        <v>1</v>
      </c>
      <c r="O27" s="705">
        <v>1</v>
      </c>
      <c r="P27" s="633">
        <v>0</v>
      </c>
      <c r="Q27" s="657"/>
      <c r="R27" s="632">
        <v>1</v>
      </c>
      <c r="S27" s="657">
        <v>1</v>
      </c>
      <c r="T27" s="705">
        <v>1</v>
      </c>
      <c r="U27" s="683">
        <v>1</v>
      </c>
    </row>
    <row r="28" spans="1:21" ht="14.4" customHeight="1" x14ac:dyDescent="0.3">
      <c r="A28" s="631">
        <v>59</v>
      </c>
      <c r="B28" s="632" t="s">
        <v>1459</v>
      </c>
      <c r="C28" s="632">
        <v>89301594</v>
      </c>
      <c r="D28" s="703" t="s">
        <v>1668</v>
      </c>
      <c r="E28" s="704" t="s">
        <v>1598</v>
      </c>
      <c r="F28" s="632" t="s">
        <v>1591</v>
      </c>
      <c r="G28" s="632" t="s">
        <v>1622</v>
      </c>
      <c r="H28" s="632" t="s">
        <v>514</v>
      </c>
      <c r="I28" s="632" t="s">
        <v>1623</v>
      </c>
      <c r="J28" s="632" t="s">
        <v>1624</v>
      </c>
      <c r="K28" s="632" t="s">
        <v>1625</v>
      </c>
      <c r="L28" s="633">
        <v>285.75</v>
      </c>
      <c r="M28" s="633">
        <v>285.75</v>
      </c>
      <c r="N28" s="632">
        <v>1</v>
      </c>
      <c r="O28" s="705">
        <v>0.5</v>
      </c>
      <c r="P28" s="633"/>
      <c r="Q28" s="657">
        <v>0</v>
      </c>
      <c r="R28" s="632"/>
      <c r="S28" s="657">
        <v>0</v>
      </c>
      <c r="T28" s="705"/>
      <c r="U28" s="683">
        <v>0</v>
      </c>
    </row>
    <row r="29" spans="1:21" ht="14.4" customHeight="1" x14ac:dyDescent="0.3">
      <c r="A29" s="631">
        <v>59</v>
      </c>
      <c r="B29" s="632" t="s">
        <v>1459</v>
      </c>
      <c r="C29" s="632">
        <v>89301594</v>
      </c>
      <c r="D29" s="703" t="s">
        <v>1668</v>
      </c>
      <c r="E29" s="704" t="s">
        <v>1598</v>
      </c>
      <c r="F29" s="632" t="s">
        <v>1591</v>
      </c>
      <c r="G29" s="632" t="s">
        <v>1626</v>
      </c>
      <c r="H29" s="632" t="s">
        <v>514</v>
      </c>
      <c r="I29" s="632" t="s">
        <v>1627</v>
      </c>
      <c r="J29" s="632" t="s">
        <v>1628</v>
      </c>
      <c r="K29" s="632" t="s">
        <v>1629</v>
      </c>
      <c r="L29" s="633">
        <v>1720.7</v>
      </c>
      <c r="M29" s="633">
        <v>10324.200000000001</v>
      </c>
      <c r="N29" s="632">
        <v>6</v>
      </c>
      <c r="O29" s="705">
        <v>1</v>
      </c>
      <c r="P29" s="633"/>
      <c r="Q29" s="657">
        <v>0</v>
      </c>
      <c r="R29" s="632"/>
      <c r="S29" s="657">
        <v>0</v>
      </c>
      <c r="T29" s="705"/>
      <c r="U29" s="683">
        <v>0</v>
      </c>
    </row>
    <row r="30" spans="1:21" ht="14.4" customHeight="1" x14ac:dyDescent="0.3">
      <c r="A30" s="631">
        <v>59</v>
      </c>
      <c r="B30" s="632" t="s">
        <v>1459</v>
      </c>
      <c r="C30" s="632">
        <v>89301594</v>
      </c>
      <c r="D30" s="703" t="s">
        <v>1668</v>
      </c>
      <c r="E30" s="704" t="s">
        <v>1598</v>
      </c>
      <c r="F30" s="632" t="s">
        <v>1591</v>
      </c>
      <c r="G30" s="632" t="s">
        <v>1599</v>
      </c>
      <c r="H30" s="632" t="s">
        <v>514</v>
      </c>
      <c r="I30" s="632" t="s">
        <v>1600</v>
      </c>
      <c r="J30" s="632" t="s">
        <v>1601</v>
      </c>
      <c r="K30" s="632"/>
      <c r="L30" s="633">
        <v>0</v>
      </c>
      <c r="M30" s="633">
        <v>0</v>
      </c>
      <c r="N30" s="632">
        <v>485</v>
      </c>
      <c r="O30" s="705">
        <v>6.5</v>
      </c>
      <c r="P30" s="633">
        <v>0</v>
      </c>
      <c r="Q30" s="657"/>
      <c r="R30" s="632">
        <v>425</v>
      </c>
      <c r="S30" s="657">
        <v>0.87628865979381443</v>
      </c>
      <c r="T30" s="705">
        <v>6</v>
      </c>
      <c r="U30" s="683">
        <v>0.92307692307692313</v>
      </c>
    </row>
    <row r="31" spans="1:21" ht="14.4" customHeight="1" x14ac:dyDescent="0.3">
      <c r="A31" s="631">
        <v>59</v>
      </c>
      <c r="B31" s="632" t="s">
        <v>1459</v>
      </c>
      <c r="C31" s="632">
        <v>89301594</v>
      </c>
      <c r="D31" s="703" t="s">
        <v>1668</v>
      </c>
      <c r="E31" s="704" t="s">
        <v>1598</v>
      </c>
      <c r="F31" s="632" t="s">
        <v>1591</v>
      </c>
      <c r="G31" s="632" t="s">
        <v>1630</v>
      </c>
      <c r="H31" s="632" t="s">
        <v>514</v>
      </c>
      <c r="I31" s="632" t="s">
        <v>1631</v>
      </c>
      <c r="J31" s="632" t="s">
        <v>1632</v>
      </c>
      <c r="K31" s="632" t="s">
        <v>1633</v>
      </c>
      <c r="L31" s="633">
        <v>0</v>
      </c>
      <c r="M31" s="633">
        <v>0</v>
      </c>
      <c r="N31" s="632">
        <v>1</v>
      </c>
      <c r="O31" s="705">
        <v>0.5</v>
      </c>
      <c r="P31" s="633"/>
      <c r="Q31" s="657"/>
      <c r="R31" s="632"/>
      <c r="S31" s="657">
        <v>0</v>
      </c>
      <c r="T31" s="705"/>
      <c r="U31" s="683">
        <v>0</v>
      </c>
    </row>
    <row r="32" spans="1:21" ht="14.4" customHeight="1" x14ac:dyDescent="0.3">
      <c r="A32" s="631">
        <v>59</v>
      </c>
      <c r="B32" s="632" t="s">
        <v>1459</v>
      </c>
      <c r="C32" s="632">
        <v>89301594</v>
      </c>
      <c r="D32" s="703" t="s">
        <v>1668</v>
      </c>
      <c r="E32" s="704" t="s">
        <v>1598</v>
      </c>
      <c r="F32" s="632" t="s">
        <v>1591</v>
      </c>
      <c r="G32" s="632" t="s">
        <v>1634</v>
      </c>
      <c r="H32" s="632" t="s">
        <v>514</v>
      </c>
      <c r="I32" s="632" t="s">
        <v>1635</v>
      </c>
      <c r="J32" s="632" t="s">
        <v>1636</v>
      </c>
      <c r="K32" s="632" t="s">
        <v>1637</v>
      </c>
      <c r="L32" s="633">
        <v>0</v>
      </c>
      <c r="M32" s="633">
        <v>0</v>
      </c>
      <c r="N32" s="632">
        <v>3</v>
      </c>
      <c r="O32" s="705">
        <v>0.5</v>
      </c>
      <c r="P32" s="633"/>
      <c r="Q32" s="657"/>
      <c r="R32" s="632"/>
      <c r="S32" s="657">
        <v>0</v>
      </c>
      <c r="T32" s="705"/>
      <c r="U32" s="683">
        <v>0</v>
      </c>
    </row>
    <row r="33" spans="1:21" ht="14.4" customHeight="1" x14ac:dyDescent="0.3">
      <c r="A33" s="631">
        <v>59</v>
      </c>
      <c r="B33" s="632" t="s">
        <v>1459</v>
      </c>
      <c r="C33" s="632">
        <v>89301594</v>
      </c>
      <c r="D33" s="703" t="s">
        <v>1668</v>
      </c>
      <c r="E33" s="704" t="s">
        <v>1598</v>
      </c>
      <c r="F33" s="632" t="s">
        <v>1591</v>
      </c>
      <c r="G33" s="632" t="s">
        <v>1638</v>
      </c>
      <c r="H33" s="632" t="s">
        <v>514</v>
      </c>
      <c r="I33" s="632" t="s">
        <v>1639</v>
      </c>
      <c r="J33" s="632" t="s">
        <v>1640</v>
      </c>
      <c r="K33" s="632" t="s">
        <v>1641</v>
      </c>
      <c r="L33" s="633">
        <v>0</v>
      </c>
      <c r="M33" s="633">
        <v>0</v>
      </c>
      <c r="N33" s="632">
        <v>1</v>
      </c>
      <c r="O33" s="705">
        <v>0.5</v>
      </c>
      <c r="P33" s="633"/>
      <c r="Q33" s="657"/>
      <c r="R33" s="632"/>
      <c r="S33" s="657">
        <v>0</v>
      </c>
      <c r="T33" s="705"/>
      <c r="U33" s="683">
        <v>0</v>
      </c>
    </row>
    <row r="34" spans="1:21" ht="14.4" customHeight="1" x14ac:dyDescent="0.3">
      <c r="A34" s="631">
        <v>59</v>
      </c>
      <c r="B34" s="632" t="s">
        <v>1459</v>
      </c>
      <c r="C34" s="632">
        <v>89301594</v>
      </c>
      <c r="D34" s="703" t="s">
        <v>1668</v>
      </c>
      <c r="E34" s="704" t="s">
        <v>1598</v>
      </c>
      <c r="F34" s="632" t="s">
        <v>1591</v>
      </c>
      <c r="G34" s="632" t="s">
        <v>1642</v>
      </c>
      <c r="H34" s="632" t="s">
        <v>514</v>
      </c>
      <c r="I34" s="632" t="s">
        <v>1643</v>
      </c>
      <c r="J34" s="632" t="s">
        <v>1644</v>
      </c>
      <c r="K34" s="632" t="s">
        <v>1645</v>
      </c>
      <c r="L34" s="633">
        <v>250.87</v>
      </c>
      <c r="M34" s="633">
        <v>1505.22</v>
      </c>
      <c r="N34" s="632">
        <v>6</v>
      </c>
      <c r="O34" s="705">
        <v>1</v>
      </c>
      <c r="P34" s="633"/>
      <c r="Q34" s="657">
        <v>0</v>
      </c>
      <c r="R34" s="632"/>
      <c r="S34" s="657">
        <v>0</v>
      </c>
      <c r="T34" s="705"/>
      <c r="U34" s="683">
        <v>0</v>
      </c>
    </row>
    <row r="35" spans="1:21" ht="14.4" customHeight="1" x14ac:dyDescent="0.3">
      <c r="A35" s="631">
        <v>59</v>
      </c>
      <c r="B35" s="632" t="s">
        <v>1459</v>
      </c>
      <c r="C35" s="632">
        <v>89301594</v>
      </c>
      <c r="D35" s="703" t="s">
        <v>1668</v>
      </c>
      <c r="E35" s="704" t="s">
        <v>1598</v>
      </c>
      <c r="F35" s="632" t="s">
        <v>1591</v>
      </c>
      <c r="G35" s="632" t="s">
        <v>1646</v>
      </c>
      <c r="H35" s="632" t="s">
        <v>514</v>
      </c>
      <c r="I35" s="632" t="s">
        <v>1647</v>
      </c>
      <c r="J35" s="632" t="s">
        <v>1648</v>
      </c>
      <c r="K35" s="632" t="s">
        <v>645</v>
      </c>
      <c r="L35" s="633">
        <v>314.89999999999998</v>
      </c>
      <c r="M35" s="633">
        <v>1889.3999999999999</v>
      </c>
      <c r="N35" s="632">
        <v>6</v>
      </c>
      <c r="O35" s="705">
        <v>2</v>
      </c>
      <c r="P35" s="633">
        <v>629.79999999999995</v>
      </c>
      <c r="Q35" s="657">
        <v>0.33333333333333331</v>
      </c>
      <c r="R35" s="632">
        <v>2</v>
      </c>
      <c r="S35" s="657">
        <v>0.33333333333333331</v>
      </c>
      <c r="T35" s="705">
        <v>0.5</v>
      </c>
      <c r="U35" s="683">
        <v>0.25</v>
      </c>
    </row>
    <row r="36" spans="1:21" ht="14.4" customHeight="1" x14ac:dyDescent="0.3">
      <c r="A36" s="631">
        <v>59</v>
      </c>
      <c r="B36" s="632" t="s">
        <v>1459</v>
      </c>
      <c r="C36" s="632">
        <v>89301594</v>
      </c>
      <c r="D36" s="703" t="s">
        <v>1668</v>
      </c>
      <c r="E36" s="704" t="s">
        <v>1598</v>
      </c>
      <c r="F36" s="632" t="s">
        <v>1591</v>
      </c>
      <c r="G36" s="632" t="s">
        <v>1649</v>
      </c>
      <c r="H36" s="632" t="s">
        <v>514</v>
      </c>
      <c r="I36" s="632" t="s">
        <v>617</v>
      </c>
      <c r="J36" s="632" t="s">
        <v>618</v>
      </c>
      <c r="K36" s="632" t="s">
        <v>1650</v>
      </c>
      <c r="L36" s="633">
        <v>0</v>
      </c>
      <c r="M36" s="633">
        <v>0</v>
      </c>
      <c r="N36" s="632">
        <v>2</v>
      </c>
      <c r="O36" s="705">
        <v>0.5</v>
      </c>
      <c r="P36" s="633"/>
      <c r="Q36" s="657"/>
      <c r="R36" s="632"/>
      <c r="S36" s="657">
        <v>0</v>
      </c>
      <c r="T36" s="705"/>
      <c r="U36" s="683">
        <v>0</v>
      </c>
    </row>
    <row r="37" spans="1:21" ht="14.4" customHeight="1" x14ac:dyDescent="0.3">
      <c r="A37" s="631">
        <v>59</v>
      </c>
      <c r="B37" s="632" t="s">
        <v>1459</v>
      </c>
      <c r="C37" s="632">
        <v>89301594</v>
      </c>
      <c r="D37" s="703" t="s">
        <v>1668</v>
      </c>
      <c r="E37" s="704" t="s">
        <v>1598</v>
      </c>
      <c r="F37" s="632" t="s">
        <v>1591</v>
      </c>
      <c r="G37" s="632" t="s">
        <v>1602</v>
      </c>
      <c r="H37" s="632" t="s">
        <v>1104</v>
      </c>
      <c r="I37" s="632" t="s">
        <v>1277</v>
      </c>
      <c r="J37" s="632" t="s">
        <v>1582</v>
      </c>
      <c r="K37" s="632" t="s">
        <v>1116</v>
      </c>
      <c r="L37" s="633">
        <v>31.59</v>
      </c>
      <c r="M37" s="633">
        <v>1516.32</v>
      </c>
      <c r="N37" s="632">
        <v>48</v>
      </c>
      <c r="O37" s="705">
        <v>0.5</v>
      </c>
      <c r="P37" s="633"/>
      <c r="Q37" s="657">
        <v>0</v>
      </c>
      <c r="R37" s="632"/>
      <c r="S37" s="657">
        <v>0</v>
      </c>
      <c r="T37" s="705"/>
      <c r="U37" s="683">
        <v>0</v>
      </c>
    </row>
    <row r="38" spans="1:21" ht="14.4" customHeight="1" x14ac:dyDescent="0.3">
      <c r="A38" s="631">
        <v>59</v>
      </c>
      <c r="B38" s="632" t="s">
        <v>1459</v>
      </c>
      <c r="C38" s="632">
        <v>89301594</v>
      </c>
      <c r="D38" s="703" t="s">
        <v>1668</v>
      </c>
      <c r="E38" s="704" t="s">
        <v>1598</v>
      </c>
      <c r="F38" s="632" t="s">
        <v>1591</v>
      </c>
      <c r="G38" s="632" t="s">
        <v>1602</v>
      </c>
      <c r="H38" s="632" t="s">
        <v>1104</v>
      </c>
      <c r="I38" s="632" t="s">
        <v>1277</v>
      </c>
      <c r="J38" s="632" t="s">
        <v>1582</v>
      </c>
      <c r="K38" s="632" t="s">
        <v>1116</v>
      </c>
      <c r="L38" s="633">
        <v>32.6</v>
      </c>
      <c r="M38" s="633">
        <v>11018.8</v>
      </c>
      <c r="N38" s="632">
        <v>338</v>
      </c>
      <c r="O38" s="705">
        <v>3.5</v>
      </c>
      <c r="P38" s="633">
        <v>1564.8000000000002</v>
      </c>
      <c r="Q38" s="657">
        <v>0.14201183431952666</v>
      </c>
      <c r="R38" s="632">
        <v>48</v>
      </c>
      <c r="S38" s="657">
        <v>0.14201183431952663</v>
      </c>
      <c r="T38" s="705">
        <v>0.5</v>
      </c>
      <c r="U38" s="683">
        <v>0.14285714285714285</v>
      </c>
    </row>
    <row r="39" spans="1:21" ht="14.4" customHeight="1" x14ac:dyDescent="0.3">
      <c r="A39" s="631">
        <v>59</v>
      </c>
      <c r="B39" s="632" t="s">
        <v>1459</v>
      </c>
      <c r="C39" s="632">
        <v>89301594</v>
      </c>
      <c r="D39" s="703" t="s">
        <v>1668</v>
      </c>
      <c r="E39" s="704" t="s">
        <v>1598</v>
      </c>
      <c r="F39" s="632" t="s">
        <v>1591</v>
      </c>
      <c r="G39" s="632" t="s">
        <v>1602</v>
      </c>
      <c r="H39" s="632" t="s">
        <v>1104</v>
      </c>
      <c r="I39" s="632" t="s">
        <v>1651</v>
      </c>
      <c r="J39" s="632" t="s">
        <v>1652</v>
      </c>
      <c r="K39" s="632" t="s">
        <v>1116</v>
      </c>
      <c r="L39" s="633">
        <v>31.59</v>
      </c>
      <c r="M39" s="633">
        <v>3159</v>
      </c>
      <c r="N39" s="632">
        <v>100</v>
      </c>
      <c r="O39" s="705">
        <v>2</v>
      </c>
      <c r="P39" s="633">
        <v>2843.1</v>
      </c>
      <c r="Q39" s="657">
        <v>0.9</v>
      </c>
      <c r="R39" s="632">
        <v>90</v>
      </c>
      <c r="S39" s="657">
        <v>0.9</v>
      </c>
      <c r="T39" s="705">
        <v>1</v>
      </c>
      <c r="U39" s="683">
        <v>0.5</v>
      </c>
    </row>
    <row r="40" spans="1:21" ht="14.4" customHeight="1" x14ac:dyDescent="0.3">
      <c r="A40" s="631">
        <v>59</v>
      </c>
      <c r="B40" s="632" t="s">
        <v>1459</v>
      </c>
      <c r="C40" s="632">
        <v>89301594</v>
      </c>
      <c r="D40" s="703" t="s">
        <v>1668</v>
      </c>
      <c r="E40" s="704" t="s">
        <v>1598</v>
      </c>
      <c r="F40" s="632" t="s">
        <v>1591</v>
      </c>
      <c r="G40" s="632" t="s">
        <v>1602</v>
      </c>
      <c r="H40" s="632" t="s">
        <v>1104</v>
      </c>
      <c r="I40" s="632" t="s">
        <v>1651</v>
      </c>
      <c r="J40" s="632" t="s">
        <v>1652</v>
      </c>
      <c r="K40" s="632" t="s">
        <v>1116</v>
      </c>
      <c r="L40" s="633">
        <v>32.380000000000003</v>
      </c>
      <c r="M40" s="633">
        <v>7771.2000000000007</v>
      </c>
      <c r="N40" s="632">
        <v>240</v>
      </c>
      <c r="O40" s="705">
        <v>3</v>
      </c>
      <c r="P40" s="633">
        <v>2914.2000000000003</v>
      </c>
      <c r="Q40" s="657">
        <v>0.375</v>
      </c>
      <c r="R40" s="632">
        <v>90</v>
      </c>
      <c r="S40" s="657">
        <v>0.375</v>
      </c>
      <c r="T40" s="705">
        <v>1</v>
      </c>
      <c r="U40" s="683">
        <v>0.33333333333333331</v>
      </c>
    </row>
    <row r="41" spans="1:21" ht="14.4" customHeight="1" x14ac:dyDescent="0.3">
      <c r="A41" s="631">
        <v>59</v>
      </c>
      <c r="B41" s="632" t="s">
        <v>1459</v>
      </c>
      <c r="C41" s="632">
        <v>89301594</v>
      </c>
      <c r="D41" s="703" t="s">
        <v>1668</v>
      </c>
      <c r="E41" s="704" t="s">
        <v>1598</v>
      </c>
      <c r="F41" s="632" t="s">
        <v>1591</v>
      </c>
      <c r="G41" s="632" t="s">
        <v>1602</v>
      </c>
      <c r="H41" s="632" t="s">
        <v>1104</v>
      </c>
      <c r="I41" s="632" t="s">
        <v>1252</v>
      </c>
      <c r="J41" s="632" t="s">
        <v>1583</v>
      </c>
      <c r="K41" s="632" t="s">
        <v>1116</v>
      </c>
      <c r="L41" s="633">
        <v>32.380000000000003</v>
      </c>
      <c r="M41" s="633">
        <v>777.12000000000012</v>
      </c>
      <c r="N41" s="632">
        <v>24</v>
      </c>
      <c r="O41" s="705">
        <v>0.5</v>
      </c>
      <c r="P41" s="633">
        <v>777.12000000000012</v>
      </c>
      <c r="Q41" s="657">
        <v>1</v>
      </c>
      <c r="R41" s="632">
        <v>24</v>
      </c>
      <c r="S41" s="657">
        <v>1</v>
      </c>
      <c r="T41" s="705">
        <v>0.5</v>
      </c>
      <c r="U41" s="683">
        <v>1</v>
      </c>
    </row>
    <row r="42" spans="1:21" ht="14.4" customHeight="1" x14ac:dyDescent="0.3">
      <c r="A42" s="631">
        <v>59</v>
      </c>
      <c r="B42" s="632" t="s">
        <v>1459</v>
      </c>
      <c r="C42" s="632">
        <v>89301594</v>
      </c>
      <c r="D42" s="703" t="s">
        <v>1668</v>
      </c>
      <c r="E42" s="704" t="s">
        <v>1598</v>
      </c>
      <c r="F42" s="632" t="s">
        <v>1591</v>
      </c>
      <c r="G42" s="632" t="s">
        <v>1602</v>
      </c>
      <c r="H42" s="632" t="s">
        <v>1104</v>
      </c>
      <c r="I42" s="632" t="s">
        <v>1653</v>
      </c>
      <c r="J42" s="632" t="s">
        <v>1654</v>
      </c>
      <c r="K42" s="632" t="s">
        <v>1116</v>
      </c>
      <c r="L42" s="633">
        <v>31.59</v>
      </c>
      <c r="M42" s="633">
        <v>5686.2</v>
      </c>
      <c r="N42" s="632">
        <v>180</v>
      </c>
      <c r="O42" s="705">
        <v>1</v>
      </c>
      <c r="P42" s="633"/>
      <c r="Q42" s="657">
        <v>0</v>
      </c>
      <c r="R42" s="632"/>
      <c r="S42" s="657">
        <v>0</v>
      </c>
      <c r="T42" s="705"/>
      <c r="U42" s="683">
        <v>0</v>
      </c>
    </row>
    <row r="43" spans="1:21" ht="14.4" customHeight="1" x14ac:dyDescent="0.3">
      <c r="A43" s="631">
        <v>59</v>
      </c>
      <c r="B43" s="632" t="s">
        <v>1459</v>
      </c>
      <c r="C43" s="632">
        <v>89301594</v>
      </c>
      <c r="D43" s="703" t="s">
        <v>1668</v>
      </c>
      <c r="E43" s="704" t="s">
        <v>1598</v>
      </c>
      <c r="F43" s="632" t="s">
        <v>1591</v>
      </c>
      <c r="G43" s="632" t="s">
        <v>1602</v>
      </c>
      <c r="H43" s="632" t="s">
        <v>1104</v>
      </c>
      <c r="I43" s="632" t="s">
        <v>1603</v>
      </c>
      <c r="J43" s="632" t="s">
        <v>1604</v>
      </c>
      <c r="K43" s="632" t="s">
        <v>1605</v>
      </c>
      <c r="L43" s="633">
        <v>189.56</v>
      </c>
      <c r="M43" s="633">
        <v>42271.87999999999</v>
      </c>
      <c r="N43" s="632">
        <v>223</v>
      </c>
      <c r="O43" s="705">
        <v>11.5</v>
      </c>
      <c r="P43" s="633">
        <v>26538.399999999994</v>
      </c>
      <c r="Q43" s="657">
        <v>0.62780269058295968</v>
      </c>
      <c r="R43" s="632">
        <v>140</v>
      </c>
      <c r="S43" s="657">
        <v>0.62780269058295968</v>
      </c>
      <c r="T43" s="705">
        <v>7</v>
      </c>
      <c r="U43" s="683">
        <v>0.60869565217391308</v>
      </c>
    </row>
    <row r="44" spans="1:21" ht="14.4" customHeight="1" x14ac:dyDescent="0.3">
      <c r="A44" s="631">
        <v>59</v>
      </c>
      <c r="B44" s="632" t="s">
        <v>1459</v>
      </c>
      <c r="C44" s="632">
        <v>89301594</v>
      </c>
      <c r="D44" s="703" t="s">
        <v>1668</v>
      </c>
      <c r="E44" s="704" t="s">
        <v>1598</v>
      </c>
      <c r="F44" s="632" t="s">
        <v>1591</v>
      </c>
      <c r="G44" s="632" t="s">
        <v>1602</v>
      </c>
      <c r="H44" s="632" t="s">
        <v>1104</v>
      </c>
      <c r="I44" s="632" t="s">
        <v>1603</v>
      </c>
      <c r="J44" s="632" t="s">
        <v>1604</v>
      </c>
      <c r="K44" s="632" t="s">
        <v>1605</v>
      </c>
      <c r="L44" s="633">
        <v>194.26</v>
      </c>
      <c r="M44" s="633">
        <v>53421.5</v>
      </c>
      <c r="N44" s="632">
        <v>275</v>
      </c>
      <c r="O44" s="705">
        <v>14.5</v>
      </c>
      <c r="P44" s="633">
        <v>23311.200000000001</v>
      </c>
      <c r="Q44" s="657">
        <v>0.4363636363636364</v>
      </c>
      <c r="R44" s="632">
        <v>120</v>
      </c>
      <c r="S44" s="657">
        <v>0.43636363636363634</v>
      </c>
      <c r="T44" s="705">
        <v>6</v>
      </c>
      <c r="U44" s="683">
        <v>0.41379310344827586</v>
      </c>
    </row>
    <row r="45" spans="1:21" ht="14.4" customHeight="1" x14ac:dyDescent="0.3">
      <c r="A45" s="631">
        <v>59</v>
      </c>
      <c r="B45" s="632" t="s">
        <v>1459</v>
      </c>
      <c r="C45" s="632">
        <v>89301594</v>
      </c>
      <c r="D45" s="703" t="s">
        <v>1668</v>
      </c>
      <c r="E45" s="704" t="s">
        <v>1598</v>
      </c>
      <c r="F45" s="632" t="s">
        <v>1591</v>
      </c>
      <c r="G45" s="632" t="s">
        <v>1602</v>
      </c>
      <c r="H45" s="632" t="s">
        <v>1104</v>
      </c>
      <c r="I45" s="632" t="s">
        <v>1255</v>
      </c>
      <c r="J45" s="632" t="s">
        <v>1584</v>
      </c>
      <c r="K45" s="632" t="s">
        <v>1116</v>
      </c>
      <c r="L45" s="633">
        <v>21.06</v>
      </c>
      <c r="M45" s="633">
        <v>1263.5999999999999</v>
      </c>
      <c r="N45" s="632">
        <v>60</v>
      </c>
      <c r="O45" s="705">
        <v>1</v>
      </c>
      <c r="P45" s="633">
        <v>1263.5999999999999</v>
      </c>
      <c r="Q45" s="657">
        <v>1</v>
      </c>
      <c r="R45" s="632">
        <v>60</v>
      </c>
      <c r="S45" s="657">
        <v>1</v>
      </c>
      <c r="T45" s="705">
        <v>1</v>
      </c>
      <c r="U45" s="683">
        <v>1</v>
      </c>
    </row>
    <row r="46" spans="1:21" ht="14.4" customHeight="1" x14ac:dyDescent="0.3">
      <c r="A46" s="631">
        <v>59</v>
      </c>
      <c r="B46" s="632" t="s">
        <v>1459</v>
      </c>
      <c r="C46" s="632">
        <v>89301594</v>
      </c>
      <c r="D46" s="703" t="s">
        <v>1668</v>
      </c>
      <c r="E46" s="704" t="s">
        <v>1598</v>
      </c>
      <c r="F46" s="632" t="s">
        <v>1591</v>
      </c>
      <c r="G46" s="632" t="s">
        <v>1602</v>
      </c>
      <c r="H46" s="632" t="s">
        <v>1104</v>
      </c>
      <c r="I46" s="632" t="s">
        <v>1258</v>
      </c>
      <c r="J46" s="632" t="s">
        <v>1585</v>
      </c>
      <c r="K46" s="632" t="s">
        <v>1116</v>
      </c>
      <c r="L46" s="633">
        <v>21.06</v>
      </c>
      <c r="M46" s="633">
        <v>631.79999999999995</v>
      </c>
      <c r="N46" s="632">
        <v>30</v>
      </c>
      <c r="O46" s="705">
        <v>1</v>
      </c>
      <c r="P46" s="633">
        <v>631.79999999999995</v>
      </c>
      <c r="Q46" s="657">
        <v>1</v>
      </c>
      <c r="R46" s="632">
        <v>30</v>
      </c>
      <c r="S46" s="657">
        <v>1</v>
      </c>
      <c r="T46" s="705">
        <v>1</v>
      </c>
      <c r="U46" s="683">
        <v>1</v>
      </c>
    </row>
    <row r="47" spans="1:21" ht="14.4" customHeight="1" x14ac:dyDescent="0.3">
      <c r="A47" s="631">
        <v>59</v>
      </c>
      <c r="B47" s="632" t="s">
        <v>1459</v>
      </c>
      <c r="C47" s="632">
        <v>89301594</v>
      </c>
      <c r="D47" s="703" t="s">
        <v>1668</v>
      </c>
      <c r="E47" s="704" t="s">
        <v>1598</v>
      </c>
      <c r="F47" s="632" t="s">
        <v>1591</v>
      </c>
      <c r="G47" s="632" t="s">
        <v>1602</v>
      </c>
      <c r="H47" s="632" t="s">
        <v>1104</v>
      </c>
      <c r="I47" s="632" t="s">
        <v>1261</v>
      </c>
      <c r="J47" s="632" t="s">
        <v>1586</v>
      </c>
      <c r="K47" s="632" t="s">
        <v>1116</v>
      </c>
      <c r="L47" s="633">
        <v>26.33</v>
      </c>
      <c r="M47" s="633">
        <v>4871.0499999999993</v>
      </c>
      <c r="N47" s="632">
        <v>185</v>
      </c>
      <c r="O47" s="705">
        <v>2.5</v>
      </c>
      <c r="P47" s="633">
        <v>2896.2999999999997</v>
      </c>
      <c r="Q47" s="657">
        <v>0.59459459459459463</v>
      </c>
      <c r="R47" s="632">
        <v>110</v>
      </c>
      <c r="S47" s="657">
        <v>0.59459459459459463</v>
      </c>
      <c r="T47" s="705">
        <v>1.5</v>
      </c>
      <c r="U47" s="683">
        <v>0.6</v>
      </c>
    </row>
    <row r="48" spans="1:21" ht="14.4" customHeight="1" x14ac:dyDescent="0.3">
      <c r="A48" s="631">
        <v>59</v>
      </c>
      <c r="B48" s="632" t="s">
        <v>1459</v>
      </c>
      <c r="C48" s="632">
        <v>89301594</v>
      </c>
      <c r="D48" s="703" t="s">
        <v>1668</v>
      </c>
      <c r="E48" s="704" t="s">
        <v>1598</v>
      </c>
      <c r="F48" s="632" t="s">
        <v>1591</v>
      </c>
      <c r="G48" s="632" t="s">
        <v>1602</v>
      </c>
      <c r="H48" s="632" t="s">
        <v>1104</v>
      </c>
      <c r="I48" s="632" t="s">
        <v>1655</v>
      </c>
      <c r="J48" s="632" t="s">
        <v>1656</v>
      </c>
      <c r="K48" s="632" t="s">
        <v>1116</v>
      </c>
      <c r="L48" s="633">
        <v>26.33</v>
      </c>
      <c r="M48" s="633">
        <v>3554.55</v>
      </c>
      <c r="N48" s="632">
        <v>135</v>
      </c>
      <c r="O48" s="705">
        <v>3</v>
      </c>
      <c r="P48" s="633">
        <v>1579.8</v>
      </c>
      <c r="Q48" s="657">
        <v>0.44444444444444442</v>
      </c>
      <c r="R48" s="632">
        <v>60</v>
      </c>
      <c r="S48" s="657">
        <v>0.44444444444444442</v>
      </c>
      <c r="T48" s="705">
        <v>2</v>
      </c>
      <c r="U48" s="683">
        <v>0.66666666666666663</v>
      </c>
    </row>
    <row r="49" spans="1:21" ht="14.4" customHeight="1" x14ac:dyDescent="0.3">
      <c r="A49" s="631">
        <v>59</v>
      </c>
      <c r="B49" s="632" t="s">
        <v>1459</v>
      </c>
      <c r="C49" s="632">
        <v>89301594</v>
      </c>
      <c r="D49" s="703" t="s">
        <v>1668</v>
      </c>
      <c r="E49" s="704" t="s">
        <v>1598</v>
      </c>
      <c r="F49" s="632" t="s">
        <v>1591</v>
      </c>
      <c r="G49" s="632" t="s">
        <v>1602</v>
      </c>
      <c r="H49" s="632" t="s">
        <v>1104</v>
      </c>
      <c r="I49" s="632" t="s">
        <v>1114</v>
      </c>
      <c r="J49" s="632" t="s">
        <v>1587</v>
      </c>
      <c r="K49" s="632" t="s">
        <v>1116</v>
      </c>
      <c r="L49" s="633">
        <v>26.33</v>
      </c>
      <c r="M49" s="633">
        <v>789.9</v>
      </c>
      <c r="N49" s="632">
        <v>30</v>
      </c>
      <c r="O49" s="705">
        <v>0.5</v>
      </c>
      <c r="P49" s="633">
        <v>789.9</v>
      </c>
      <c r="Q49" s="657">
        <v>1</v>
      </c>
      <c r="R49" s="632">
        <v>30</v>
      </c>
      <c r="S49" s="657">
        <v>1</v>
      </c>
      <c r="T49" s="705">
        <v>0.5</v>
      </c>
      <c r="U49" s="683">
        <v>1</v>
      </c>
    </row>
    <row r="50" spans="1:21" ht="14.4" customHeight="1" x14ac:dyDescent="0.3">
      <c r="A50" s="631">
        <v>59</v>
      </c>
      <c r="B50" s="632" t="s">
        <v>1459</v>
      </c>
      <c r="C50" s="632">
        <v>89301594</v>
      </c>
      <c r="D50" s="703" t="s">
        <v>1668</v>
      </c>
      <c r="E50" s="704" t="s">
        <v>1598</v>
      </c>
      <c r="F50" s="632" t="s">
        <v>1591</v>
      </c>
      <c r="G50" s="632" t="s">
        <v>1602</v>
      </c>
      <c r="H50" s="632" t="s">
        <v>1104</v>
      </c>
      <c r="I50" s="632" t="s">
        <v>1615</v>
      </c>
      <c r="J50" s="632" t="s">
        <v>1616</v>
      </c>
      <c r="K50" s="632" t="s">
        <v>1116</v>
      </c>
      <c r="L50" s="633">
        <v>31.59</v>
      </c>
      <c r="M50" s="633">
        <v>3790.8</v>
      </c>
      <c r="N50" s="632">
        <v>120</v>
      </c>
      <c r="O50" s="705">
        <v>1</v>
      </c>
      <c r="P50" s="633"/>
      <c r="Q50" s="657">
        <v>0</v>
      </c>
      <c r="R50" s="632"/>
      <c r="S50" s="657">
        <v>0</v>
      </c>
      <c r="T50" s="705"/>
      <c r="U50" s="683">
        <v>0</v>
      </c>
    </row>
    <row r="51" spans="1:21" ht="14.4" customHeight="1" x14ac:dyDescent="0.3">
      <c r="A51" s="631">
        <v>59</v>
      </c>
      <c r="B51" s="632" t="s">
        <v>1459</v>
      </c>
      <c r="C51" s="632">
        <v>89301594</v>
      </c>
      <c r="D51" s="703" t="s">
        <v>1668</v>
      </c>
      <c r="E51" s="704" t="s">
        <v>1598</v>
      </c>
      <c r="F51" s="632" t="s">
        <v>1591</v>
      </c>
      <c r="G51" s="632" t="s">
        <v>1602</v>
      </c>
      <c r="H51" s="632" t="s">
        <v>1104</v>
      </c>
      <c r="I51" s="632" t="s">
        <v>1269</v>
      </c>
      <c r="J51" s="632" t="s">
        <v>1270</v>
      </c>
      <c r="K51" s="632" t="s">
        <v>1268</v>
      </c>
      <c r="L51" s="633">
        <v>105.31</v>
      </c>
      <c r="M51" s="633">
        <v>12637.2</v>
      </c>
      <c r="N51" s="632">
        <v>120</v>
      </c>
      <c r="O51" s="705">
        <v>1</v>
      </c>
      <c r="P51" s="633">
        <v>12637.2</v>
      </c>
      <c r="Q51" s="657">
        <v>1</v>
      </c>
      <c r="R51" s="632">
        <v>120</v>
      </c>
      <c r="S51" s="657">
        <v>1</v>
      </c>
      <c r="T51" s="705">
        <v>1</v>
      </c>
      <c r="U51" s="683">
        <v>1</v>
      </c>
    </row>
    <row r="52" spans="1:21" ht="14.4" customHeight="1" x14ac:dyDescent="0.3">
      <c r="A52" s="631">
        <v>59</v>
      </c>
      <c r="B52" s="632" t="s">
        <v>1459</v>
      </c>
      <c r="C52" s="632">
        <v>89301594</v>
      </c>
      <c r="D52" s="703" t="s">
        <v>1668</v>
      </c>
      <c r="E52" s="704" t="s">
        <v>1598</v>
      </c>
      <c r="F52" s="632" t="s">
        <v>1591</v>
      </c>
      <c r="G52" s="632" t="s">
        <v>1602</v>
      </c>
      <c r="H52" s="632" t="s">
        <v>1104</v>
      </c>
      <c r="I52" s="632" t="s">
        <v>1657</v>
      </c>
      <c r="J52" s="632" t="s">
        <v>1270</v>
      </c>
      <c r="K52" s="632" t="s">
        <v>529</v>
      </c>
      <c r="L52" s="633">
        <v>52.66</v>
      </c>
      <c r="M52" s="633">
        <v>6319.2</v>
      </c>
      <c r="N52" s="632">
        <v>120</v>
      </c>
      <c r="O52" s="705">
        <v>1</v>
      </c>
      <c r="P52" s="633"/>
      <c r="Q52" s="657">
        <v>0</v>
      </c>
      <c r="R52" s="632"/>
      <c r="S52" s="657">
        <v>0</v>
      </c>
      <c r="T52" s="705"/>
      <c r="U52" s="683">
        <v>0</v>
      </c>
    </row>
    <row r="53" spans="1:21" ht="14.4" customHeight="1" x14ac:dyDescent="0.3">
      <c r="A53" s="631">
        <v>59</v>
      </c>
      <c r="B53" s="632" t="s">
        <v>1459</v>
      </c>
      <c r="C53" s="632">
        <v>89301594</v>
      </c>
      <c r="D53" s="703" t="s">
        <v>1668</v>
      </c>
      <c r="E53" s="704" t="s">
        <v>1598</v>
      </c>
      <c r="F53" s="632" t="s">
        <v>1591</v>
      </c>
      <c r="G53" s="632" t="s">
        <v>1602</v>
      </c>
      <c r="H53" s="632" t="s">
        <v>1104</v>
      </c>
      <c r="I53" s="632" t="s">
        <v>1606</v>
      </c>
      <c r="J53" s="632" t="s">
        <v>1607</v>
      </c>
      <c r="K53" s="632" t="s">
        <v>1268</v>
      </c>
      <c r="L53" s="633">
        <v>108.47</v>
      </c>
      <c r="M53" s="633">
        <v>127994.59999999998</v>
      </c>
      <c r="N53" s="632">
        <v>1180</v>
      </c>
      <c r="O53" s="705">
        <v>14</v>
      </c>
      <c r="P53" s="633">
        <v>108469.99999999999</v>
      </c>
      <c r="Q53" s="657">
        <v>0.84745762711864414</v>
      </c>
      <c r="R53" s="632">
        <v>1000</v>
      </c>
      <c r="S53" s="657">
        <v>0.84745762711864403</v>
      </c>
      <c r="T53" s="705">
        <v>12</v>
      </c>
      <c r="U53" s="683">
        <v>0.8571428571428571</v>
      </c>
    </row>
    <row r="54" spans="1:21" ht="14.4" customHeight="1" x14ac:dyDescent="0.3">
      <c r="A54" s="631">
        <v>59</v>
      </c>
      <c r="B54" s="632" t="s">
        <v>1459</v>
      </c>
      <c r="C54" s="632">
        <v>89301594</v>
      </c>
      <c r="D54" s="703" t="s">
        <v>1668</v>
      </c>
      <c r="E54" s="704" t="s">
        <v>1598</v>
      </c>
      <c r="F54" s="632" t="s">
        <v>1591</v>
      </c>
      <c r="G54" s="632" t="s">
        <v>1602</v>
      </c>
      <c r="H54" s="632" t="s">
        <v>1104</v>
      </c>
      <c r="I54" s="632" t="s">
        <v>1658</v>
      </c>
      <c r="J54" s="632" t="s">
        <v>1659</v>
      </c>
      <c r="K54" s="632" t="s">
        <v>1203</v>
      </c>
      <c r="L54" s="633">
        <v>126.28</v>
      </c>
      <c r="M54" s="633">
        <v>7576.8</v>
      </c>
      <c r="N54" s="632">
        <v>60</v>
      </c>
      <c r="O54" s="705">
        <v>1</v>
      </c>
      <c r="P54" s="633"/>
      <c r="Q54" s="657">
        <v>0</v>
      </c>
      <c r="R54" s="632"/>
      <c r="S54" s="657">
        <v>0</v>
      </c>
      <c r="T54" s="705"/>
      <c r="U54" s="683">
        <v>0</v>
      </c>
    </row>
    <row r="55" spans="1:21" ht="14.4" customHeight="1" x14ac:dyDescent="0.3">
      <c r="A55" s="631">
        <v>59</v>
      </c>
      <c r="B55" s="632" t="s">
        <v>1459</v>
      </c>
      <c r="C55" s="632">
        <v>89301594</v>
      </c>
      <c r="D55" s="703" t="s">
        <v>1668</v>
      </c>
      <c r="E55" s="704" t="s">
        <v>1598</v>
      </c>
      <c r="F55" s="632" t="s">
        <v>1591</v>
      </c>
      <c r="G55" s="632" t="s">
        <v>1602</v>
      </c>
      <c r="H55" s="632" t="s">
        <v>514</v>
      </c>
      <c r="I55" s="632" t="s">
        <v>1660</v>
      </c>
      <c r="J55" s="632" t="s">
        <v>1661</v>
      </c>
      <c r="K55" s="632" t="s">
        <v>1662</v>
      </c>
      <c r="L55" s="633">
        <v>168.5</v>
      </c>
      <c r="M55" s="633">
        <v>842.5</v>
      </c>
      <c r="N55" s="632">
        <v>5</v>
      </c>
      <c r="O55" s="705">
        <v>1</v>
      </c>
      <c r="P55" s="633"/>
      <c r="Q55" s="657">
        <v>0</v>
      </c>
      <c r="R55" s="632"/>
      <c r="S55" s="657">
        <v>0</v>
      </c>
      <c r="T55" s="705"/>
      <c r="U55" s="683">
        <v>0</v>
      </c>
    </row>
    <row r="56" spans="1:21" ht="14.4" customHeight="1" x14ac:dyDescent="0.3">
      <c r="A56" s="631">
        <v>59</v>
      </c>
      <c r="B56" s="632" t="s">
        <v>1459</v>
      </c>
      <c r="C56" s="632">
        <v>89301594</v>
      </c>
      <c r="D56" s="703" t="s">
        <v>1668</v>
      </c>
      <c r="E56" s="704" t="s">
        <v>1598</v>
      </c>
      <c r="F56" s="632" t="s">
        <v>1591</v>
      </c>
      <c r="G56" s="632" t="s">
        <v>1663</v>
      </c>
      <c r="H56" s="632" t="s">
        <v>1104</v>
      </c>
      <c r="I56" s="632" t="s">
        <v>1664</v>
      </c>
      <c r="J56" s="632" t="s">
        <v>1665</v>
      </c>
      <c r="K56" s="632" t="s">
        <v>1666</v>
      </c>
      <c r="L56" s="633">
        <v>140.03</v>
      </c>
      <c r="M56" s="633">
        <v>420.09000000000003</v>
      </c>
      <c r="N56" s="632">
        <v>3</v>
      </c>
      <c r="O56" s="705">
        <v>0.5</v>
      </c>
      <c r="P56" s="633">
        <v>420.09000000000003</v>
      </c>
      <c r="Q56" s="657">
        <v>1</v>
      </c>
      <c r="R56" s="632">
        <v>3</v>
      </c>
      <c r="S56" s="657">
        <v>1</v>
      </c>
      <c r="T56" s="705">
        <v>0.5</v>
      </c>
      <c r="U56" s="683">
        <v>1</v>
      </c>
    </row>
    <row r="57" spans="1:21" ht="14.4" customHeight="1" thickBot="1" x14ac:dyDescent="0.35">
      <c r="A57" s="637">
        <v>59</v>
      </c>
      <c r="B57" s="638" t="s">
        <v>1459</v>
      </c>
      <c r="C57" s="638">
        <v>89301594</v>
      </c>
      <c r="D57" s="706" t="s">
        <v>1668</v>
      </c>
      <c r="E57" s="707" t="s">
        <v>1598</v>
      </c>
      <c r="F57" s="638" t="s">
        <v>1592</v>
      </c>
      <c r="G57" s="638" t="s">
        <v>1599</v>
      </c>
      <c r="H57" s="638" t="s">
        <v>514</v>
      </c>
      <c r="I57" s="638" t="s">
        <v>1667</v>
      </c>
      <c r="J57" s="638" t="s">
        <v>1601</v>
      </c>
      <c r="K57" s="638"/>
      <c r="L57" s="639">
        <v>0</v>
      </c>
      <c r="M57" s="639">
        <v>0</v>
      </c>
      <c r="N57" s="638">
        <v>1</v>
      </c>
      <c r="O57" s="708">
        <v>1</v>
      </c>
      <c r="P57" s="639"/>
      <c r="Q57" s="649"/>
      <c r="R57" s="638"/>
      <c r="S57" s="649">
        <v>0</v>
      </c>
      <c r="T57" s="708"/>
      <c r="U57" s="684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7" customWidth="1"/>
    <col min="2" max="2" width="10" style="340" customWidth="1"/>
    <col min="3" max="3" width="5.5546875" style="343" customWidth="1"/>
    <col min="4" max="4" width="10" style="340" customWidth="1"/>
    <col min="5" max="5" width="5.5546875" style="343" customWidth="1"/>
    <col min="6" max="6" width="10" style="340" customWidth="1"/>
    <col min="7" max="7" width="8.88671875" style="257" customWidth="1"/>
    <col min="8" max="16384" width="8.88671875" style="257"/>
  </cols>
  <sheetData>
    <row r="1" spans="1:6" ht="37.799999999999997" customHeight="1" thickBot="1" x14ac:dyDescent="0.4">
      <c r="A1" s="495" t="s">
        <v>1670</v>
      </c>
      <c r="B1" s="496"/>
      <c r="C1" s="496"/>
      <c r="D1" s="496"/>
      <c r="E1" s="496"/>
      <c r="F1" s="496"/>
    </row>
    <row r="2" spans="1:6" ht="14.4" customHeight="1" thickBot="1" x14ac:dyDescent="0.35">
      <c r="A2" s="386" t="s">
        <v>321</v>
      </c>
      <c r="B2" s="67"/>
      <c r="C2" s="68"/>
      <c r="D2" s="69"/>
      <c r="E2" s="68"/>
      <c r="F2" s="69"/>
    </row>
    <row r="3" spans="1:6" ht="14.4" customHeight="1" thickBot="1" x14ac:dyDescent="0.35">
      <c r="A3" s="212"/>
      <c r="B3" s="497" t="s">
        <v>162</v>
      </c>
      <c r="C3" s="498"/>
      <c r="D3" s="499" t="s">
        <v>161</v>
      </c>
      <c r="E3" s="498"/>
      <c r="F3" s="105" t="s">
        <v>3</v>
      </c>
    </row>
    <row r="4" spans="1:6" ht="14.4" customHeight="1" thickBot="1" x14ac:dyDescent="0.35">
      <c r="A4" s="709" t="s">
        <v>236</v>
      </c>
      <c r="B4" s="644" t="s">
        <v>14</v>
      </c>
      <c r="C4" s="645" t="s">
        <v>2</v>
      </c>
      <c r="D4" s="644" t="s">
        <v>14</v>
      </c>
      <c r="E4" s="645" t="s">
        <v>2</v>
      </c>
      <c r="F4" s="646" t="s">
        <v>14</v>
      </c>
    </row>
    <row r="5" spans="1:6" ht="14.4" customHeight="1" x14ac:dyDescent="0.3">
      <c r="A5" s="711" t="s">
        <v>1598</v>
      </c>
      <c r="B5" s="232">
        <v>842.5</v>
      </c>
      <c r="C5" s="702">
        <v>2.8432665592603742E-3</v>
      </c>
      <c r="D5" s="232">
        <v>295471.61</v>
      </c>
      <c r="E5" s="702">
        <v>0.99715673344073963</v>
      </c>
      <c r="F5" s="710">
        <v>296314.11</v>
      </c>
    </row>
    <row r="6" spans="1:6" ht="14.4" customHeight="1" x14ac:dyDescent="0.3">
      <c r="A6" s="662" t="s">
        <v>1596</v>
      </c>
      <c r="B6" s="635"/>
      <c r="C6" s="657">
        <v>0</v>
      </c>
      <c r="D6" s="635">
        <v>126097.57</v>
      </c>
      <c r="E6" s="657">
        <v>1</v>
      </c>
      <c r="F6" s="636">
        <v>126097.57</v>
      </c>
    </row>
    <row r="7" spans="1:6" ht="14.4" customHeight="1" thickBot="1" x14ac:dyDescent="0.35">
      <c r="A7" s="663" t="s">
        <v>1597</v>
      </c>
      <c r="B7" s="658"/>
      <c r="C7" s="659">
        <v>0</v>
      </c>
      <c r="D7" s="658">
        <v>2843.1000000000004</v>
      </c>
      <c r="E7" s="659">
        <v>1</v>
      </c>
      <c r="F7" s="660">
        <v>2843.1000000000004</v>
      </c>
    </row>
    <row r="8" spans="1:6" ht="14.4" customHeight="1" thickBot="1" x14ac:dyDescent="0.35">
      <c r="A8" s="651" t="s">
        <v>3</v>
      </c>
      <c r="B8" s="652">
        <v>842.5</v>
      </c>
      <c r="C8" s="653">
        <v>1.9811652675603081E-3</v>
      </c>
      <c r="D8" s="652">
        <v>424412.28</v>
      </c>
      <c r="E8" s="653">
        <v>0.99801883473243969</v>
      </c>
      <c r="F8" s="654">
        <v>425254.78</v>
      </c>
    </row>
    <row r="9" spans="1:6" ht="14.4" customHeight="1" thickBot="1" x14ac:dyDescent="0.35"/>
    <row r="10" spans="1:6" ht="14.4" customHeight="1" x14ac:dyDescent="0.3">
      <c r="A10" s="711" t="s">
        <v>1469</v>
      </c>
      <c r="B10" s="232">
        <v>842.5</v>
      </c>
      <c r="C10" s="702">
        <v>1.9831243065390916E-3</v>
      </c>
      <c r="D10" s="232">
        <v>423992.19000000006</v>
      </c>
      <c r="E10" s="702">
        <v>0.99801687569346087</v>
      </c>
      <c r="F10" s="710">
        <v>424834.69000000006</v>
      </c>
    </row>
    <row r="11" spans="1:6" ht="14.4" customHeight="1" x14ac:dyDescent="0.3">
      <c r="A11" s="662" t="s">
        <v>1671</v>
      </c>
      <c r="B11" s="635"/>
      <c r="C11" s="657">
        <v>0</v>
      </c>
      <c r="D11" s="635">
        <v>420.09000000000003</v>
      </c>
      <c r="E11" s="657">
        <v>1</v>
      </c>
      <c r="F11" s="636">
        <v>420.09000000000003</v>
      </c>
    </row>
    <row r="12" spans="1:6" ht="14.4" customHeight="1" thickBot="1" x14ac:dyDescent="0.35">
      <c r="A12" s="663" t="s">
        <v>1487</v>
      </c>
      <c r="B12" s="658">
        <v>0</v>
      </c>
      <c r="C12" s="659"/>
      <c r="D12" s="658"/>
      <c r="E12" s="659"/>
      <c r="F12" s="660">
        <v>0</v>
      </c>
    </row>
    <row r="13" spans="1:6" ht="14.4" customHeight="1" thickBot="1" x14ac:dyDescent="0.35">
      <c r="A13" s="651" t="s">
        <v>3</v>
      </c>
      <c r="B13" s="652">
        <v>842.5</v>
      </c>
      <c r="C13" s="653">
        <v>1.9811652675603077E-3</v>
      </c>
      <c r="D13" s="652">
        <v>424412.28000000009</v>
      </c>
      <c r="E13" s="653">
        <v>0.99801883473243969</v>
      </c>
      <c r="F13" s="654">
        <v>425254.78000000009</v>
      </c>
    </row>
  </sheetData>
  <mergeCells count="3">
    <mergeCell ref="A1:F1"/>
    <mergeCell ref="B3:C3"/>
    <mergeCell ref="D3:E3"/>
  </mergeCells>
  <conditionalFormatting sqref="C5:C1048576">
    <cfRule type="cellIs" dxfId="37" priority="12" stopIfTrue="1" operator="greaterThan">
      <formula>0.2</formula>
    </cfRule>
  </conditionalFormatting>
  <conditionalFormatting sqref="F5:F7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{5BB3655F-9CD4-46FD-A308-FAD98ECF61CB}</x14:id>
        </ext>
      </extLst>
    </cfRule>
  </conditionalFormatting>
  <conditionalFormatting sqref="F10:F1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{55798DFD-0C0C-41A5-AF73-85BD04BF9766}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BB3655F-9CD4-46FD-A308-FAD98ECF61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F5:F7</xm:sqref>
        </x14:conditionalFormatting>
        <x14:conditionalFormatting xmlns:xm="http://schemas.microsoft.com/office/excel/2006/main">
          <x14:cfRule type="dataBar" id="{55798DFD-0C0C-41A5-AF73-85BD04BF976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F10:F12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3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7" customWidth="1"/>
    <col min="2" max="2" width="8.88671875" style="257" bestFit="1" customWidth="1"/>
    <col min="3" max="3" width="7" style="257" bestFit="1" customWidth="1"/>
    <col min="4" max="5" width="22.21875" style="257" customWidth="1"/>
    <col min="6" max="6" width="6.6640625" style="340" customWidth="1"/>
    <col min="7" max="7" width="10" style="340" customWidth="1"/>
    <col min="8" max="8" width="6.77734375" style="343" customWidth="1"/>
    <col min="9" max="9" width="6.6640625" style="340" customWidth="1"/>
    <col min="10" max="10" width="10" style="340" customWidth="1"/>
    <col min="11" max="11" width="6.77734375" style="343" customWidth="1"/>
    <col min="12" max="12" width="6.6640625" style="340" customWidth="1"/>
    <col min="13" max="13" width="10" style="340" customWidth="1"/>
    <col min="14" max="16384" width="8.88671875" style="257"/>
  </cols>
  <sheetData>
    <row r="1" spans="1:13" ht="18.600000000000001" customHeight="1" thickBot="1" x14ac:dyDescent="0.4">
      <c r="A1" s="496" t="s">
        <v>1673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58"/>
      <c r="M1" s="458"/>
    </row>
    <row r="2" spans="1:13" ht="14.4" customHeight="1" thickBot="1" x14ac:dyDescent="0.35">
      <c r="A2" s="386" t="s">
        <v>321</v>
      </c>
      <c r="B2" s="339"/>
      <c r="C2" s="339"/>
      <c r="D2" s="339"/>
      <c r="E2" s="339"/>
      <c r="F2" s="347"/>
      <c r="G2" s="347"/>
      <c r="H2" s="348"/>
      <c r="I2" s="347"/>
      <c r="J2" s="347"/>
      <c r="K2" s="348"/>
      <c r="L2" s="347"/>
    </row>
    <row r="3" spans="1:13" ht="14.4" customHeight="1" thickBot="1" x14ac:dyDescent="0.35">
      <c r="E3" s="104" t="s">
        <v>160</v>
      </c>
      <c r="F3" s="47">
        <f>SUBTOTAL(9,F6:F1048576)</f>
        <v>6</v>
      </c>
      <c r="G3" s="47">
        <f>SUBTOTAL(9,G6:G1048576)</f>
        <v>842.5</v>
      </c>
      <c r="H3" s="48">
        <f>IF(M3=0,0,G3/M3)</f>
        <v>1.9811652675603086E-3</v>
      </c>
      <c r="I3" s="47">
        <f>SUBTOTAL(9,I6:I1048576)</f>
        <v>4712</v>
      </c>
      <c r="J3" s="47">
        <f>SUBTOTAL(9,J6:J1048576)</f>
        <v>424412.27999999997</v>
      </c>
      <c r="K3" s="48">
        <f>IF(M3=0,0,J3/M3)</f>
        <v>0.99801883473243969</v>
      </c>
      <c r="L3" s="47">
        <f>SUBTOTAL(9,L6:L1048576)</f>
        <v>4718</v>
      </c>
      <c r="M3" s="49">
        <f>SUBTOTAL(9,M6:M1048576)</f>
        <v>425254.77999999997</v>
      </c>
    </row>
    <row r="4" spans="1:13" ht="14.4" customHeight="1" thickBot="1" x14ac:dyDescent="0.35">
      <c r="A4" s="45"/>
      <c r="B4" s="45"/>
      <c r="C4" s="45"/>
      <c r="D4" s="45"/>
      <c r="E4" s="46"/>
      <c r="F4" s="500" t="s">
        <v>162</v>
      </c>
      <c r="G4" s="501"/>
      <c r="H4" s="502"/>
      <c r="I4" s="503" t="s">
        <v>161</v>
      </c>
      <c r="J4" s="501"/>
      <c r="K4" s="502"/>
      <c r="L4" s="504" t="s">
        <v>3</v>
      </c>
      <c r="M4" s="505"/>
    </row>
    <row r="5" spans="1:13" ht="14.4" customHeight="1" thickBot="1" x14ac:dyDescent="0.35">
      <c r="A5" s="709" t="s">
        <v>168</v>
      </c>
      <c r="B5" s="712" t="s">
        <v>164</v>
      </c>
      <c r="C5" s="712" t="s">
        <v>90</v>
      </c>
      <c r="D5" s="712" t="s">
        <v>165</v>
      </c>
      <c r="E5" s="712" t="s">
        <v>166</v>
      </c>
      <c r="F5" s="665" t="s">
        <v>28</v>
      </c>
      <c r="G5" s="665" t="s">
        <v>14</v>
      </c>
      <c r="H5" s="645" t="s">
        <v>167</v>
      </c>
      <c r="I5" s="644" t="s">
        <v>28</v>
      </c>
      <c r="J5" s="665" t="s">
        <v>14</v>
      </c>
      <c r="K5" s="645" t="s">
        <v>167</v>
      </c>
      <c r="L5" s="644" t="s">
        <v>28</v>
      </c>
      <c r="M5" s="666" t="s">
        <v>14</v>
      </c>
    </row>
    <row r="6" spans="1:13" ht="14.4" customHeight="1" x14ac:dyDescent="0.3">
      <c r="A6" s="696" t="s">
        <v>1596</v>
      </c>
      <c r="B6" s="697" t="s">
        <v>1581</v>
      </c>
      <c r="C6" s="697" t="s">
        <v>1277</v>
      </c>
      <c r="D6" s="697" t="s">
        <v>1582</v>
      </c>
      <c r="E6" s="697" t="s">
        <v>1116</v>
      </c>
      <c r="F6" s="232"/>
      <c r="G6" s="232"/>
      <c r="H6" s="702">
        <v>0</v>
      </c>
      <c r="I6" s="232">
        <v>8</v>
      </c>
      <c r="J6" s="232">
        <v>260.8</v>
      </c>
      <c r="K6" s="702">
        <v>1</v>
      </c>
      <c r="L6" s="232">
        <v>8</v>
      </c>
      <c r="M6" s="710">
        <v>260.8</v>
      </c>
    </row>
    <row r="7" spans="1:13" ht="14.4" customHeight="1" x14ac:dyDescent="0.3">
      <c r="A7" s="631" t="s">
        <v>1596</v>
      </c>
      <c r="B7" s="632" t="s">
        <v>1581</v>
      </c>
      <c r="C7" s="632" t="s">
        <v>1252</v>
      </c>
      <c r="D7" s="632" t="s">
        <v>1583</v>
      </c>
      <c r="E7" s="632" t="s">
        <v>1116</v>
      </c>
      <c r="F7" s="635"/>
      <c r="G7" s="635"/>
      <c r="H7" s="657">
        <v>0</v>
      </c>
      <c r="I7" s="635">
        <v>10</v>
      </c>
      <c r="J7" s="635">
        <v>323.8</v>
      </c>
      <c r="K7" s="657">
        <v>1</v>
      </c>
      <c r="L7" s="635">
        <v>10</v>
      </c>
      <c r="M7" s="636">
        <v>323.8</v>
      </c>
    </row>
    <row r="8" spans="1:13" ht="14.4" customHeight="1" x14ac:dyDescent="0.3">
      <c r="A8" s="631" t="s">
        <v>1596</v>
      </c>
      <c r="B8" s="632" t="s">
        <v>1581</v>
      </c>
      <c r="C8" s="632" t="s">
        <v>1603</v>
      </c>
      <c r="D8" s="632" t="s">
        <v>1604</v>
      </c>
      <c r="E8" s="632" t="s">
        <v>1605</v>
      </c>
      <c r="F8" s="635"/>
      <c r="G8" s="635"/>
      <c r="H8" s="657">
        <v>0</v>
      </c>
      <c r="I8" s="635">
        <v>183</v>
      </c>
      <c r="J8" s="635">
        <v>35013.78</v>
      </c>
      <c r="K8" s="657">
        <v>1</v>
      </c>
      <c r="L8" s="635">
        <v>183</v>
      </c>
      <c r="M8" s="636">
        <v>35013.78</v>
      </c>
    </row>
    <row r="9" spans="1:13" ht="14.4" customHeight="1" x14ac:dyDescent="0.3">
      <c r="A9" s="631" t="s">
        <v>1596</v>
      </c>
      <c r="B9" s="632" t="s">
        <v>1581</v>
      </c>
      <c r="C9" s="632" t="s">
        <v>1258</v>
      </c>
      <c r="D9" s="632" t="s">
        <v>1585</v>
      </c>
      <c r="E9" s="632" t="s">
        <v>1116</v>
      </c>
      <c r="F9" s="635"/>
      <c r="G9" s="635"/>
      <c r="H9" s="657">
        <v>0</v>
      </c>
      <c r="I9" s="635">
        <v>55</v>
      </c>
      <c r="J9" s="635">
        <v>1158.3</v>
      </c>
      <c r="K9" s="657">
        <v>1</v>
      </c>
      <c r="L9" s="635">
        <v>55</v>
      </c>
      <c r="M9" s="636">
        <v>1158.3</v>
      </c>
    </row>
    <row r="10" spans="1:13" ht="14.4" customHeight="1" x14ac:dyDescent="0.3">
      <c r="A10" s="631" t="s">
        <v>1596</v>
      </c>
      <c r="B10" s="632" t="s">
        <v>1581</v>
      </c>
      <c r="C10" s="632" t="s">
        <v>1261</v>
      </c>
      <c r="D10" s="632" t="s">
        <v>1586</v>
      </c>
      <c r="E10" s="632" t="s">
        <v>1116</v>
      </c>
      <c r="F10" s="635"/>
      <c r="G10" s="635"/>
      <c r="H10" s="657">
        <v>0</v>
      </c>
      <c r="I10" s="635">
        <v>15</v>
      </c>
      <c r="J10" s="635">
        <v>394.95</v>
      </c>
      <c r="K10" s="657">
        <v>1</v>
      </c>
      <c r="L10" s="635">
        <v>15</v>
      </c>
      <c r="M10" s="636">
        <v>394.95</v>
      </c>
    </row>
    <row r="11" spans="1:13" ht="14.4" customHeight="1" x14ac:dyDescent="0.3">
      <c r="A11" s="631" t="s">
        <v>1596</v>
      </c>
      <c r="B11" s="632" t="s">
        <v>1581</v>
      </c>
      <c r="C11" s="632" t="s">
        <v>1114</v>
      </c>
      <c r="D11" s="632" t="s">
        <v>1587</v>
      </c>
      <c r="E11" s="632" t="s">
        <v>1116</v>
      </c>
      <c r="F11" s="635"/>
      <c r="G11" s="635"/>
      <c r="H11" s="657">
        <v>0</v>
      </c>
      <c r="I11" s="635">
        <v>45</v>
      </c>
      <c r="J11" s="635">
        <v>1184.8499999999999</v>
      </c>
      <c r="K11" s="657">
        <v>1</v>
      </c>
      <c r="L11" s="635">
        <v>45</v>
      </c>
      <c r="M11" s="636">
        <v>1184.8499999999999</v>
      </c>
    </row>
    <row r="12" spans="1:13" ht="14.4" customHeight="1" x14ac:dyDescent="0.3">
      <c r="A12" s="631" t="s">
        <v>1596</v>
      </c>
      <c r="B12" s="632" t="s">
        <v>1581</v>
      </c>
      <c r="C12" s="632" t="s">
        <v>1269</v>
      </c>
      <c r="D12" s="632" t="s">
        <v>1270</v>
      </c>
      <c r="E12" s="632" t="s">
        <v>1268</v>
      </c>
      <c r="F12" s="635"/>
      <c r="G12" s="635"/>
      <c r="H12" s="657">
        <v>0</v>
      </c>
      <c r="I12" s="635">
        <v>677</v>
      </c>
      <c r="J12" s="635">
        <v>71294.87</v>
      </c>
      <c r="K12" s="657">
        <v>1</v>
      </c>
      <c r="L12" s="635">
        <v>677</v>
      </c>
      <c r="M12" s="636">
        <v>71294.87</v>
      </c>
    </row>
    <row r="13" spans="1:13" ht="14.4" customHeight="1" x14ac:dyDescent="0.3">
      <c r="A13" s="631" t="s">
        <v>1596</v>
      </c>
      <c r="B13" s="632" t="s">
        <v>1581</v>
      </c>
      <c r="C13" s="632" t="s">
        <v>1606</v>
      </c>
      <c r="D13" s="632" t="s">
        <v>1607</v>
      </c>
      <c r="E13" s="632" t="s">
        <v>1268</v>
      </c>
      <c r="F13" s="635"/>
      <c r="G13" s="635"/>
      <c r="H13" s="657">
        <v>0</v>
      </c>
      <c r="I13" s="635">
        <v>121</v>
      </c>
      <c r="J13" s="635">
        <v>13124.87</v>
      </c>
      <c r="K13" s="657">
        <v>1</v>
      </c>
      <c r="L13" s="635">
        <v>121</v>
      </c>
      <c r="M13" s="636">
        <v>13124.87</v>
      </c>
    </row>
    <row r="14" spans="1:13" ht="14.4" customHeight="1" x14ac:dyDescent="0.3">
      <c r="A14" s="631" t="s">
        <v>1596</v>
      </c>
      <c r="B14" s="632" t="s">
        <v>1581</v>
      </c>
      <c r="C14" s="632" t="s">
        <v>1608</v>
      </c>
      <c r="D14" s="632" t="s">
        <v>1609</v>
      </c>
      <c r="E14" s="632" t="s">
        <v>1116</v>
      </c>
      <c r="F14" s="635"/>
      <c r="G14" s="635"/>
      <c r="H14" s="657">
        <v>0</v>
      </c>
      <c r="I14" s="635">
        <v>15</v>
      </c>
      <c r="J14" s="635">
        <v>328.65</v>
      </c>
      <c r="K14" s="657">
        <v>1</v>
      </c>
      <c r="L14" s="635">
        <v>15</v>
      </c>
      <c r="M14" s="636">
        <v>328.65</v>
      </c>
    </row>
    <row r="15" spans="1:13" ht="14.4" customHeight="1" x14ac:dyDescent="0.3">
      <c r="A15" s="631" t="s">
        <v>1596</v>
      </c>
      <c r="B15" s="632" t="s">
        <v>1581</v>
      </c>
      <c r="C15" s="632" t="s">
        <v>1284</v>
      </c>
      <c r="D15" s="632" t="s">
        <v>1588</v>
      </c>
      <c r="E15" s="632" t="s">
        <v>1116</v>
      </c>
      <c r="F15" s="635"/>
      <c r="G15" s="635"/>
      <c r="H15" s="657">
        <v>0</v>
      </c>
      <c r="I15" s="635">
        <v>8</v>
      </c>
      <c r="J15" s="635">
        <v>259.04000000000002</v>
      </c>
      <c r="K15" s="657">
        <v>1</v>
      </c>
      <c r="L15" s="635">
        <v>8</v>
      </c>
      <c r="M15" s="636">
        <v>259.04000000000002</v>
      </c>
    </row>
    <row r="16" spans="1:13" ht="14.4" customHeight="1" x14ac:dyDescent="0.3">
      <c r="A16" s="631" t="s">
        <v>1596</v>
      </c>
      <c r="B16" s="632" t="s">
        <v>1581</v>
      </c>
      <c r="C16" s="632" t="s">
        <v>1274</v>
      </c>
      <c r="D16" s="632" t="s">
        <v>1275</v>
      </c>
      <c r="E16" s="632" t="s">
        <v>1273</v>
      </c>
      <c r="F16" s="635"/>
      <c r="G16" s="635"/>
      <c r="H16" s="657">
        <v>0</v>
      </c>
      <c r="I16" s="635">
        <v>2</v>
      </c>
      <c r="J16" s="635">
        <v>168.38</v>
      </c>
      <c r="K16" s="657">
        <v>1</v>
      </c>
      <c r="L16" s="635">
        <v>2</v>
      </c>
      <c r="M16" s="636">
        <v>168.38</v>
      </c>
    </row>
    <row r="17" spans="1:13" ht="14.4" customHeight="1" x14ac:dyDescent="0.3">
      <c r="A17" s="631" t="s">
        <v>1596</v>
      </c>
      <c r="B17" s="632" t="s">
        <v>1581</v>
      </c>
      <c r="C17" s="632" t="s">
        <v>1271</v>
      </c>
      <c r="D17" s="632" t="s">
        <v>1272</v>
      </c>
      <c r="E17" s="632" t="s">
        <v>1273</v>
      </c>
      <c r="F17" s="635"/>
      <c r="G17" s="635"/>
      <c r="H17" s="657">
        <v>0</v>
      </c>
      <c r="I17" s="635">
        <v>2</v>
      </c>
      <c r="J17" s="635">
        <v>168.38</v>
      </c>
      <c r="K17" s="657">
        <v>1</v>
      </c>
      <c r="L17" s="635">
        <v>2</v>
      </c>
      <c r="M17" s="636">
        <v>168.38</v>
      </c>
    </row>
    <row r="18" spans="1:13" ht="14.4" customHeight="1" x14ac:dyDescent="0.3">
      <c r="A18" s="631" t="s">
        <v>1596</v>
      </c>
      <c r="B18" s="632" t="s">
        <v>1581</v>
      </c>
      <c r="C18" s="632" t="s">
        <v>1610</v>
      </c>
      <c r="D18" s="632" t="s">
        <v>1611</v>
      </c>
      <c r="E18" s="632" t="s">
        <v>1612</v>
      </c>
      <c r="F18" s="635"/>
      <c r="G18" s="635"/>
      <c r="H18" s="657">
        <v>0</v>
      </c>
      <c r="I18" s="635">
        <v>10</v>
      </c>
      <c r="J18" s="635">
        <v>2416.9</v>
      </c>
      <c r="K18" s="657">
        <v>1</v>
      </c>
      <c r="L18" s="635">
        <v>10</v>
      </c>
      <c r="M18" s="636">
        <v>2416.9</v>
      </c>
    </row>
    <row r="19" spans="1:13" ht="14.4" customHeight="1" x14ac:dyDescent="0.3">
      <c r="A19" s="631" t="s">
        <v>1597</v>
      </c>
      <c r="B19" s="632" t="s">
        <v>1581</v>
      </c>
      <c r="C19" s="632" t="s">
        <v>1613</v>
      </c>
      <c r="D19" s="632" t="s">
        <v>1614</v>
      </c>
      <c r="E19" s="632" t="s">
        <v>1116</v>
      </c>
      <c r="F19" s="635"/>
      <c r="G19" s="635"/>
      <c r="H19" s="657">
        <v>0</v>
      </c>
      <c r="I19" s="635">
        <v>30</v>
      </c>
      <c r="J19" s="635">
        <v>947.7</v>
      </c>
      <c r="K19" s="657">
        <v>1</v>
      </c>
      <c r="L19" s="635">
        <v>30</v>
      </c>
      <c r="M19" s="636">
        <v>947.7</v>
      </c>
    </row>
    <row r="20" spans="1:13" ht="14.4" customHeight="1" x14ac:dyDescent="0.3">
      <c r="A20" s="631" t="s">
        <v>1597</v>
      </c>
      <c r="B20" s="632" t="s">
        <v>1581</v>
      </c>
      <c r="C20" s="632" t="s">
        <v>1615</v>
      </c>
      <c r="D20" s="632" t="s">
        <v>1616</v>
      </c>
      <c r="E20" s="632" t="s">
        <v>1116</v>
      </c>
      <c r="F20" s="635"/>
      <c r="G20" s="635"/>
      <c r="H20" s="657">
        <v>0</v>
      </c>
      <c r="I20" s="635">
        <v>30</v>
      </c>
      <c r="J20" s="635">
        <v>947.7</v>
      </c>
      <c r="K20" s="657">
        <v>1</v>
      </c>
      <c r="L20" s="635">
        <v>30</v>
      </c>
      <c r="M20" s="636">
        <v>947.7</v>
      </c>
    </row>
    <row r="21" spans="1:13" ht="14.4" customHeight="1" x14ac:dyDescent="0.3">
      <c r="A21" s="631" t="s">
        <v>1597</v>
      </c>
      <c r="B21" s="632" t="s">
        <v>1581</v>
      </c>
      <c r="C21" s="632" t="s">
        <v>1617</v>
      </c>
      <c r="D21" s="632" t="s">
        <v>1618</v>
      </c>
      <c r="E21" s="632" t="s">
        <v>1116</v>
      </c>
      <c r="F21" s="635"/>
      <c r="G21" s="635"/>
      <c r="H21" s="657">
        <v>0</v>
      </c>
      <c r="I21" s="635">
        <v>30</v>
      </c>
      <c r="J21" s="635">
        <v>947.7</v>
      </c>
      <c r="K21" s="657">
        <v>1</v>
      </c>
      <c r="L21" s="635">
        <v>30</v>
      </c>
      <c r="M21" s="636">
        <v>947.7</v>
      </c>
    </row>
    <row r="22" spans="1:13" ht="14.4" customHeight="1" x14ac:dyDescent="0.3">
      <c r="A22" s="631" t="s">
        <v>1598</v>
      </c>
      <c r="B22" s="632" t="s">
        <v>1672</v>
      </c>
      <c r="C22" s="632" t="s">
        <v>1664</v>
      </c>
      <c r="D22" s="632" t="s">
        <v>1665</v>
      </c>
      <c r="E22" s="632" t="s">
        <v>1666</v>
      </c>
      <c r="F22" s="635"/>
      <c r="G22" s="635"/>
      <c r="H22" s="657">
        <v>0</v>
      </c>
      <c r="I22" s="635">
        <v>3</v>
      </c>
      <c r="J22" s="635">
        <v>420.09000000000003</v>
      </c>
      <c r="K22" s="657">
        <v>1</v>
      </c>
      <c r="L22" s="635">
        <v>3</v>
      </c>
      <c r="M22" s="636">
        <v>420.09000000000003</v>
      </c>
    </row>
    <row r="23" spans="1:13" ht="14.4" customHeight="1" x14ac:dyDescent="0.3">
      <c r="A23" s="631" t="s">
        <v>1598</v>
      </c>
      <c r="B23" s="632" t="s">
        <v>1549</v>
      </c>
      <c r="C23" s="632" t="s">
        <v>1631</v>
      </c>
      <c r="D23" s="632" t="s">
        <v>1632</v>
      </c>
      <c r="E23" s="632" t="s">
        <v>1633</v>
      </c>
      <c r="F23" s="635">
        <v>1</v>
      </c>
      <c r="G23" s="635">
        <v>0</v>
      </c>
      <c r="H23" s="657"/>
      <c r="I23" s="635"/>
      <c r="J23" s="635"/>
      <c r="K23" s="657"/>
      <c r="L23" s="635">
        <v>1</v>
      </c>
      <c r="M23" s="636">
        <v>0</v>
      </c>
    </row>
    <row r="24" spans="1:13" ht="14.4" customHeight="1" x14ac:dyDescent="0.3">
      <c r="A24" s="631" t="s">
        <v>1598</v>
      </c>
      <c r="B24" s="632" t="s">
        <v>1581</v>
      </c>
      <c r="C24" s="632" t="s">
        <v>1277</v>
      </c>
      <c r="D24" s="632" t="s">
        <v>1582</v>
      </c>
      <c r="E24" s="632" t="s">
        <v>1116</v>
      </c>
      <c r="F24" s="635"/>
      <c r="G24" s="635"/>
      <c r="H24" s="657">
        <v>0</v>
      </c>
      <c r="I24" s="635">
        <v>386</v>
      </c>
      <c r="J24" s="635">
        <v>12535.119999999999</v>
      </c>
      <c r="K24" s="657">
        <v>1</v>
      </c>
      <c r="L24" s="635">
        <v>386</v>
      </c>
      <c r="M24" s="636">
        <v>12535.119999999999</v>
      </c>
    </row>
    <row r="25" spans="1:13" ht="14.4" customHeight="1" x14ac:dyDescent="0.3">
      <c r="A25" s="631" t="s">
        <v>1598</v>
      </c>
      <c r="B25" s="632" t="s">
        <v>1581</v>
      </c>
      <c r="C25" s="632" t="s">
        <v>1651</v>
      </c>
      <c r="D25" s="632" t="s">
        <v>1652</v>
      </c>
      <c r="E25" s="632" t="s">
        <v>1116</v>
      </c>
      <c r="F25" s="635"/>
      <c r="G25" s="635"/>
      <c r="H25" s="657">
        <v>0</v>
      </c>
      <c r="I25" s="635">
        <v>340</v>
      </c>
      <c r="J25" s="635">
        <v>10930.2</v>
      </c>
      <c r="K25" s="657">
        <v>1</v>
      </c>
      <c r="L25" s="635">
        <v>340</v>
      </c>
      <c r="M25" s="636">
        <v>10930.2</v>
      </c>
    </row>
    <row r="26" spans="1:13" ht="14.4" customHeight="1" x14ac:dyDescent="0.3">
      <c r="A26" s="631" t="s">
        <v>1598</v>
      </c>
      <c r="B26" s="632" t="s">
        <v>1581</v>
      </c>
      <c r="C26" s="632" t="s">
        <v>1252</v>
      </c>
      <c r="D26" s="632" t="s">
        <v>1583</v>
      </c>
      <c r="E26" s="632" t="s">
        <v>1116</v>
      </c>
      <c r="F26" s="635"/>
      <c r="G26" s="635"/>
      <c r="H26" s="657">
        <v>0</v>
      </c>
      <c r="I26" s="635">
        <v>24</v>
      </c>
      <c r="J26" s="635">
        <v>777.12000000000012</v>
      </c>
      <c r="K26" s="657">
        <v>1</v>
      </c>
      <c r="L26" s="635">
        <v>24</v>
      </c>
      <c r="M26" s="636">
        <v>777.12000000000012</v>
      </c>
    </row>
    <row r="27" spans="1:13" ht="14.4" customHeight="1" x14ac:dyDescent="0.3">
      <c r="A27" s="631" t="s">
        <v>1598</v>
      </c>
      <c r="B27" s="632" t="s">
        <v>1581</v>
      </c>
      <c r="C27" s="632" t="s">
        <v>1653</v>
      </c>
      <c r="D27" s="632" t="s">
        <v>1654</v>
      </c>
      <c r="E27" s="632" t="s">
        <v>1116</v>
      </c>
      <c r="F27" s="635"/>
      <c r="G27" s="635"/>
      <c r="H27" s="657">
        <v>0</v>
      </c>
      <c r="I27" s="635">
        <v>180</v>
      </c>
      <c r="J27" s="635">
        <v>5686.2</v>
      </c>
      <c r="K27" s="657">
        <v>1</v>
      </c>
      <c r="L27" s="635">
        <v>180</v>
      </c>
      <c r="M27" s="636">
        <v>5686.2</v>
      </c>
    </row>
    <row r="28" spans="1:13" ht="14.4" customHeight="1" x14ac:dyDescent="0.3">
      <c r="A28" s="631" t="s">
        <v>1598</v>
      </c>
      <c r="B28" s="632" t="s">
        <v>1581</v>
      </c>
      <c r="C28" s="632" t="s">
        <v>1603</v>
      </c>
      <c r="D28" s="632" t="s">
        <v>1604</v>
      </c>
      <c r="E28" s="632" t="s">
        <v>1605</v>
      </c>
      <c r="F28" s="635"/>
      <c r="G28" s="635"/>
      <c r="H28" s="657">
        <v>0</v>
      </c>
      <c r="I28" s="635">
        <v>498</v>
      </c>
      <c r="J28" s="635">
        <v>95693.38</v>
      </c>
      <c r="K28" s="657">
        <v>1</v>
      </c>
      <c r="L28" s="635">
        <v>498</v>
      </c>
      <c r="M28" s="636">
        <v>95693.38</v>
      </c>
    </row>
    <row r="29" spans="1:13" ht="14.4" customHeight="1" x14ac:dyDescent="0.3">
      <c r="A29" s="631" t="s">
        <v>1598</v>
      </c>
      <c r="B29" s="632" t="s">
        <v>1581</v>
      </c>
      <c r="C29" s="632" t="s">
        <v>1255</v>
      </c>
      <c r="D29" s="632" t="s">
        <v>1584</v>
      </c>
      <c r="E29" s="632" t="s">
        <v>1116</v>
      </c>
      <c r="F29" s="635"/>
      <c r="G29" s="635"/>
      <c r="H29" s="657">
        <v>0</v>
      </c>
      <c r="I29" s="635">
        <v>60</v>
      </c>
      <c r="J29" s="635">
        <v>1263.5999999999999</v>
      </c>
      <c r="K29" s="657">
        <v>1</v>
      </c>
      <c r="L29" s="635">
        <v>60</v>
      </c>
      <c r="M29" s="636">
        <v>1263.5999999999999</v>
      </c>
    </row>
    <row r="30" spans="1:13" ht="14.4" customHeight="1" x14ac:dyDescent="0.3">
      <c r="A30" s="631" t="s">
        <v>1598</v>
      </c>
      <c r="B30" s="632" t="s">
        <v>1581</v>
      </c>
      <c r="C30" s="632" t="s">
        <v>1258</v>
      </c>
      <c r="D30" s="632" t="s">
        <v>1585</v>
      </c>
      <c r="E30" s="632" t="s">
        <v>1116</v>
      </c>
      <c r="F30" s="635"/>
      <c r="G30" s="635"/>
      <c r="H30" s="657">
        <v>0</v>
      </c>
      <c r="I30" s="635">
        <v>30</v>
      </c>
      <c r="J30" s="635">
        <v>631.79999999999995</v>
      </c>
      <c r="K30" s="657">
        <v>1</v>
      </c>
      <c r="L30" s="635">
        <v>30</v>
      </c>
      <c r="M30" s="636">
        <v>631.79999999999995</v>
      </c>
    </row>
    <row r="31" spans="1:13" ht="14.4" customHeight="1" x14ac:dyDescent="0.3">
      <c r="A31" s="631" t="s">
        <v>1598</v>
      </c>
      <c r="B31" s="632" t="s">
        <v>1581</v>
      </c>
      <c r="C31" s="632" t="s">
        <v>1261</v>
      </c>
      <c r="D31" s="632" t="s">
        <v>1586</v>
      </c>
      <c r="E31" s="632" t="s">
        <v>1116</v>
      </c>
      <c r="F31" s="635"/>
      <c r="G31" s="635"/>
      <c r="H31" s="657">
        <v>0</v>
      </c>
      <c r="I31" s="635">
        <v>185</v>
      </c>
      <c r="J31" s="635">
        <v>4871.0499999999993</v>
      </c>
      <c r="K31" s="657">
        <v>1</v>
      </c>
      <c r="L31" s="635">
        <v>185</v>
      </c>
      <c r="M31" s="636">
        <v>4871.0499999999993</v>
      </c>
    </row>
    <row r="32" spans="1:13" ht="14.4" customHeight="1" x14ac:dyDescent="0.3">
      <c r="A32" s="631" t="s">
        <v>1598</v>
      </c>
      <c r="B32" s="632" t="s">
        <v>1581</v>
      </c>
      <c r="C32" s="632" t="s">
        <v>1655</v>
      </c>
      <c r="D32" s="632" t="s">
        <v>1656</v>
      </c>
      <c r="E32" s="632" t="s">
        <v>1116</v>
      </c>
      <c r="F32" s="635"/>
      <c r="G32" s="635"/>
      <c r="H32" s="657">
        <v>0</v>
      </c>
      <c r="I32" s="635">
        <v>135</v>
      </c>
      <c r="J32" s="635">
        <v>3554.55</v>
      </c>
      <c r="K32" s="657">
        <v>1</v>
      </c>
      <c r="L32" s="635">
        <v>135</v>
      </c>
      <c r="M32" s="636">
        <v>3554.55</v>
      </c>
    </row>
    <row r="33" spans="1:13" ht="14.4" customHeight="1" x14ac:dyDescent="0.3">
      <c r="A33" s="631" t="s">
        <v>1598</v>
      </c>
      <c r="B33" s="632" t="s">
        <v>1581</v>
      </c>
      <c r="C33" s="632" t="s">
        <v>1114</v>
      </c>
      <c r="D33" s="632" t="s">
        <v>1587</v>
      </c>
      <c r="E33" s="632" t="s">
        <v>1116</v>
      </c>
      <c r="F33" s="635"/>
      <c r="G33" s="635"/>
      <c r="H33" s="657">
        <v>0</v>
      </c>
      <c r="I33" s="635">
        <v>30</v>
      </c>
      <c r="J33" s="635">
        <v>789.9</v>
      </c>
      <c r="K33" s="657">
        <v>1</v>
      </c>
      <c r="L33" s="635">
        <v>30</v>
      </c>
      <c r="M33" s="636">
        <v>789.9</v>
      </c>
    </row>
    <row r="34" spans="1:13" ht="14.4" customHeight="1" x14ac:dyDescent="0.3">
      <c r="A34" s="631" t="s">
        <v>1598</v>
      </c>
      <c r="B34" s="632" t="s">
        <v>1581</v>
      </c>
      <c r="C34" s="632" t="s">
        <v>1615</v>
      </c>
      <c r="D34" s="632" t="s">
        <v>1616</v>
      </c>
      <c r="E34" s="632" t="s">
        <v>1116</v>
      </c>
      <c r="F34" s="635"/>
      <c r="G34" s="635"/>
      <c r="H34" s="657">
        <v>0</v>
      </c>
      <c r="I34" s="635">
        <v>120</v>
      </c>
      <c r="J34" s="635">
        <v>3790.8</v>
      </c>
      <c r="K34" s="657">
        <v>1</v>
      </c>
      <c r="L34" s="635">
        <v>120</v>
      </c>
      <c r="M34" s="636">
        <v>3790.8</v>
      </c>
    </row>
    <row r="35" spans="1:13" ht="14.4" customHeight="1" x14ac:dyDescent="0.3">
      <c r="A35" s="631" t="s">
        <v>1598</v>
      </c>
      <c r="B35" s="632" t="s">
        <v>1581</v>
      </c>
      <c r="C35" s="632" t="s">
        <v>1269</v>
      </c>
      <c r="D35" s="632" t="s">
        <v>1270</v>
      </c>
      <c r="E35" s="632" t="s">
        <v>1268</v>
      </c>
      <c r="F35" s="635"/>
      <c r="G35" s="635"/>
      <c r="H35" s="657">
        <v>0</v>
      </c>
      <c r="I35" s="635">
        <v>120</v>
      </c>
      <c r="J35" s="635">
        <v>12637.2</v>
      </c>
      <c r="K35" s="657">
        <v>1</v>
      </c>
      <c r="L35" s="635">
        <v>120</v>
      </c>
      <c r="M35" s="636">
        <v>12637.2</v>
      </c>
    </row>
    <row r="36" spans="1:13" ht="14.4" customHeight="1" x14ac:dyDescent="0.3">
      <c r="A36" s="631" t="s">
        <v>1598</v>
      </c>
      <c r="B36" s="632" t="s">
        <v>1581</v>
      </c>
      <c r="C36" s="632" t="s">
        <v>1657</v>
      </c>
      <c r="D36" s="632" t="s">
        <v>1270</v>
      </c>
      <c r="E36" s="632" t="s">
        <v>529</v>
      </c>
      <c r="F36" s="635"/>
      <c r="G36" s="635"/>
      <c r="H36" s="657">
        <v>0</v>
      </c>
      <c r="I36" s="635">
        <v>120</v>
      </c>
      <c r="J36" s="635">
        <v>6319.2</v>
      </c>
      <c r="K36" s="657">
        <v>1</v>
      </c>
      <c r="L36" s="635">
        <v>120</v>
      </c>
      <c r="M36" s="636">
        <v>6319.2</v>
      </c>
    </row>
    <row r="37" spans="1:13" ht="14.4" customHeight="1" x14ac:dyDescent="0.3">
      <c r="A37" s="631" t="s">
        <v>1598</v>
      </c>
      <c r="B37" s="632" t="s">
        <v>1581</v>
      </c>
      <c r="C37" s="632" t="s">
        <v>1606</v>
      </c>
      <c r="D37" s="632" t="s">
        <v>1607</v>
      </c>
      <c r="E37" s="632" t="s">
        <v>1268</v>
      </c>
      <c r="F37" s="635"/>
      <c r="G37" s="635"/>
      <c r="H37" s="657">
        <v>0</v>
      </c>
      <c r="I37" s="635">
        <v>1180</v>
      </c>
      <c r="J37" s="635">
        <v>127994.6</v>
      </c>
      <c r="K37" s="657">
        <v>1</v>
      </c>
      <c r="L37" s="635">
        <v>1180</v>
      </c>
      <c r="M37" s="636">
        <v>127994.6</v>
      </c>
    </row>
    <row r="38" spans="1:13" ht="14.4" customHeight="1" x14ac:dyDescent="0.3">
      <c r="A38" s="631" t="s">
        <v>1598</v>
      </c>
      <c r="B38" s="632" t="s">
        <v>1581</v>
      </c>
      <c r="C38" s="632" t="s">
        <v>1658</v>
      </c>
      <c r="D38" s="632" t="s">
        <v>1659</v>
      </c>
      <c r="E38" s="632" t="s">
        <v>1203</v>
      </c>
      <c r="F38" s="635"/>
      <c r="G38" s="635"/>
      <c r="H38" s="657">
        <v>0</v>
      </c>
      <c r="I38" s="635">
        <v>60</v>
      </c>
      <c r="J38" s="635">
        <v>7576.8</v>
      </c>
      <c r="K38" s="657">
        <v>1</v>
      </c>
      <c r="L38" s="635">
        <v>60</v>
      </c>
      <c r="M38" s="636">
        <v>7576.8</v>
      </c>
    </row>
    <row r="39" spans="1:13" ht="14.4" customHeight="1" thickBot="1" x14ac:dyDescent="0.35">
      <c r="A39" s="637" t="s">
        <v>1598</v>
      </c>
      <c r="B39" s="638" t="s">
        <v>1581</v>
      </c>
      <c r="C39" s="638" t="s">
        <v>1660</v>
      </c>
      <c r="D39" s="638" t="s">
        <v>1661</v>
      </c>
      <c r="E39" s="638" t="s">
        <v>1662</v>
      </c>
      <c r="F39" s="641">
        <v>5</v>
      </c>
      <c r="G39" s="641">
        <v>842.5</v>
      </c>
      <c r="H39" s="649">
        <v>1</v>
      </c>
      <c r="I39" s="641"/>
      <c r="J39" s="641"/>
      <c r="K39" s="649">
        <v>0</v>
      </c>
      <c r="L39" s="641">
        <v>5</v>
      </c>
      <c r="M39" s="642">
        <v>842.5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41" customWidth="1"/>
    <col min="2" max="2" width="61.109375" style="341" customWidth="1"/>
    <col min="3" max="3" width="9.5546875" style="257" customWidth="1"/>
    <col min="4" max="4" width="9.5546875" style="342" customWidth="1"/>
    <col min="5" max="5" width="2.21875" style="342" customWidth="1"/>
    <col min="6" max="6" width="9.5546875" style="343" customWidth="1"/>
    <col min="7" max="7" width="9.5546875" style="340" customWidth="1"/>
    <col min="8" max="9" width="9.5546875" style="257" customWidth="1"/>
    <col min="10" max="10" width="0" style="257" hidden="1" customWidth="1"/>
    <col min="11" max="16384" width="8.88671875" style="257"/>
  </cols>
  <sheetData>
    <row r="1" spans="1:10" ht="18.600000000000001" customHeight="1" thickBot="1" x14ac:dyDescent="0.4">
      <c r="A1" s="487" t="s">
        <v>179</v>
      </c>
      <c r="B1" s="488"/>
      <c r="C1" s="488"/>
      <c r="D1" s="488"/>
      <c r="E1" s="488"/>
      <c r="F1" s="488"/>
      <c r="G1" s="459"/>
      <c r="H1" s="489"/>
      <c r="I1" s="489"/>
    </row>
    <row r="2" spans="1:10" ht="14.4" customHeight="1" thickBot="1" x14ac:dyDescent="0.35">
      <c r="A2" s="386" t="s">
        <v>321</v>
      </c>
      <c r="B2" s="339"/>
      <c r="C2" s="339"/>
      <c r="D2" s="339"/>
      <c r="E2" s="339"/>
      <c r="F2" s="339"/>
    </row>
    <row r="3" spans="1:10" ht="14.4" customHeight="1" thickBot="1" x14ac:dyDescent="0.35">
      <c r="A3" s="386"/>
      <c r="B3" s="339"/>
      <c r="C3" s="444">
        <v>2012</v>
      </c>
      <c r="D3" s="445">
        <v>2013</v>
      </c>
      <c r="E3" s="11"/>
      <c r="F3" s="482">
        <v>2014</v>
      </c>
      <c r="G3" s="483"/>
      <c r="H3" s="483"/>
      <c r="I3" s="484"/>
    </row>
    <row r="4" spans="1:10" ht="14.4" customHeight="1" thickBot="1" x14ac:dyDescent="0.35">
      <c r="A4" s="449" t="s">
        <v>0</v>
      </c>
      <c r="B4" s="450" t="s">
        <v>313</v>
      </c>
      <c r="C4" s="485" t="s">
        <v>94</v>
      </c>
      <c r="D4" s="486"/>
      <c r="E4" s="451"/>
      <c r="F4" s="446" t="s">
        <v>94</v>
      </c>
      <c r="G4" s="447" t="s">
        <v>95</v>
      </c>
      <c r="H4" s="447" t="s">
        <v>69</v>
      </c>
      <c r="I4" s="448" t="s">
        <v>96</v>
      </c>
    </row>
    <row r="5" spans="1:10" ht="14.4" customHeight="1" x14ac:dyDescent="0.3">
      <c r="A5" s="613" t="s">
        <v>512</v>
      </c>
      <c r="B5" s="614" t="s">
        <v>513</v>
      </c>
      <c r="C5" s="615" t="s">
        <v>514</v>
      </c>
      <c r="D5" s="615" t="s">
        <v>514</v>
      </c>
      <c r="E5" s="615"/>
      <c r="F5" s="615" t="s">
        <v>514</v>
      </c>
      <c r="G5" s="615" t="s">
        <v>514</v>
      </c>
      <c r="H5" s="615" t="s">
        <v>514</v>
      </c>
      <c r="I5" s="616" t="s">
        <v>514</v>
      </c>
      <c r="J5" s="617" t="s">
        <v>74</v>
      </c>
    </row>
    <row r="6" spans="1:10" ht="14.4" customHeight="1" x14ac:dyDescent="0.3">
      <c r="A6" s="613" t="s">
        <v>512</v>
      </c>
      <c r="B6" s="614" t="s">
        <v>343</v>
      </c>
      <c r="C6" s="615">
        <v>32.06785</v>
      </c>
      <c r="D6" s="615">
        <v>75.950199999999995</v>
      </c>
      <c r="E6" s="615"/>
      <c r="F6" s="615">
        <v>52.923319999999997</v>
      </c>
      <c r="G6" s="615">
        <v>127.5</v>
      </c>
      <c r="H6" s="615">
        <v>-74.57668000000001</v>
      </c>
      <c r="I6" s="616">
        <v>0.41508486274509804</v>
      </c>
      <c r="J6" s="617" t="s">
        <v>1</v>
      </c>
    </row>
    <row r="7" spans="1:10" ht="14.4" customHeight="1" x14ac:dyDescent="0.3">
      <c r="A7" s="613" t="s">
        <v>512</v>
      </c>
      <c r="B7" s="614" t="s">
        <v>344</v>
      </c>
      <c r="C7" s="615">
        <v>0.84252000000000005</v>
      </c>
      <c r="D7" s="615">
        <v>0</v>
      </c>
      <c r="E7" s="615"/>
      <c r="F7" s="615">
        <v>0.15515999999999999</v>
      </c>
      <c r="G7" s="615">
        <v>0.25</v>
      </c>
      <c r="H7" s="615">
        <v>-9.4840000000000008E-2</v>
      </c>
      <c r="I7" s="616">
        <v>0.62063999999999997</v>
      </c>
      <c r="J7" s="617" t="s">
        <v>1</v>
      </c>
    </row>
    <row r="8" spans="1:10" ht="14.4" customHeight="1" x14ac:dyDescent="0.3">
      <c r="A8" s="613" t="s">
        <v>512</v>
      </c>
      <c r="B8" s="614" t="s">
        <v>345</v>
      </c>
      <c r="C8" s="615">
        <v>99.372250000000008</v>
      </c>
      <c r="D8" s="615">
        <v>83.654920000000004</v>
      </c>
      <c r="E8" s="615"/>
      <c r="F8" s="615">
        <v>82.309950000000001</v>
      </c>
      <c r="G8" s="615">
        <v>90</v>
      </c>
      <c r="H8" s="615">
        <v>-7.6900499999999994</v>
      </c>
      <c r="I8" s="616">
        <v>0.91455500000000001</v>
      </c>
      <c r="J8" s="617" t="s">
        <v>1</v>
      </c>
    </row>
    <row r="9" spans="1:10" ht="14.4" customHeight="1" x14ac:dyDescent="0.3">
      <c r="A9" s="613" t="s">
        <v>512</v>
      </c>
      <c r="B9" s="614" t="s">
        <v>346</v>
      </c>
      <c r="C9" s="615">
        <v>561.32854999999995</v>
      </c>
      <c r="D9" s="615">
        <v>512.45790000000011</v>
      </c>
      <c r="E9" s="615"/>
      <c r="F9" s="615">
        <v>412.23501000000101</v>
      </c>
      <c r="G9" s="615">
        <v>531</v>
      </c>
      <c r="H9" s="615">
        <v>-118.76498999999899</v>
      </c>
      <c r="I9" s="616">
        <v>0.77633711864406973</v>
      </c>
      <c r="J9" s="617" t="s">
        <v>1</v>
      </c>
    </row>
    <row r="10" spans="1:10" ht="14.4" customHeight="1" x14ac:dyDescent="0.3">
      <c r="A10" s="613" t="s">
        <v>512</v>
      </c>
      <c r="B10" s="614" t="s">
        <v>347</v>
      </c>
      <c r="C10" s="615">
        <v>3.855</v>
      </c>
      <c r="D10" s="615">
        <v>51.585509999999999</v>
      </c>
      <c r="E10" s="615"/>
      <c r="F10" s="615">
        <v>31.151999999999997</v>
      </c>
      <c r="G10" s="615">
        <v>42.5</v>
      </c>
      <c r="H10" s="615">
        <v>-11.348000000000003</v>
      </c>
      <c r="I10" s="616">
        <v>0.73298823529411761</v>
      </c>
      <c r="J10" s="617" t="s">
        <v>1</v>
      </c>
    </row>
    <row r="11" spans="1:10" ht="14.4" customHeight="1" x14ac:dyDescent="0.3">
      <c r="A11" s="613" t="s">
        <v>512</v>
      </c>
      <c r="B11" s="614" t="s">
        <v>348</v>
      </c>
      <c r="C11" s="615">
        <v>7.1214600000000008</v>
      </c>
      <c r="D11" s="615">
        <v>5.0538699999999999</v>
      </c>
      <c r="E11" s="615"/>
      <c r="F11" s="615">
        <v>0</v>
      </c>
      <c r="G11" s="615">
        <v>5</v>
      </c>
      <c r="H11" s="615">
        <v>-5</v>
      </c>
      <c r="I11" s="616">
        <v>0</v>
      </c>
      <c r="J11" s="617" t="s">
        <v>1</v>
      </c>
    </row>
    <row r="12" spans="1:10" ht="14.4" customHeight="1" x14ac:dyDescent="0.3">
      <c r="A12" s="613" t="s">
        <v>512</v>
      </c>
      <c r="B12" s="614" t="s">
        <v>349</v>
      </c>
      <c r="C12" s="615">
        <v>5.1880999999999995</v>
      </c>
      <c r="D12" s="615">
        <v>5.7878000000000007</v>
      </c>
      <c r="E12" s="615"/>
      <c r="F12" s="615">
        <v>5.2575399999999997</v>
      </c>
      <c r="G12" s="615">
        <v>4.5</v>
      </c>
      <c r="H12" s="615">
        <v>0.75753999999999966</v>
      </c>
      <c r="I12" s="616">
        <v>1.1683422222222222</v>
      </c>
      <c r="J12" s="617" t="s">
        <v>1</v>
      </c>
    </row>
    <row r="13" spans="1:10" ht="14.4" customHeight="1" x14ac:dyDescent="0.3">
      <c r="A13" s="613" t="s">
        <v>512</v>
      </c>
      <c r="B13" s="614" t="s">
        <v>350</v>
      </c>
      <c r="C13" s="615">
        <v>38.049999999999997</v>
      </c>
      <c r="D13" s="615">
        <v>38.397870000000005</v>
      </c>
      <c r="E13" s="615"/>
      <c r="F13" s="615">
        <v>45.158200000000001</v>
      </c>
      <c r="G13" s="615">
        <v>41.75</v>
      </c>
      <c r="H13" s="615">
        <v>3.4082000000000008</v>
      </c>
      <c r="I13" s="616">
        <v>1.0816335329341318</v>
      </c>
      <c r="J13" s="617" t="s">
        <v>1</v>
      </c>
    </row>
    <row r="14" spans="1:10" ht="14.4" customHeight="1" x14ac:dyDescent="0.3">
      <c r="A14" s="613" t="s">
        <v>512</v>
      </c>
      <c r="B14" s="614" t="s">
        <v>351</v>
      </c>
      <c r="C14" s="615">
        <v>24.988800000000001</v>
      </c>
      <c r="D14" s="615">
        <v>37.32452</v>
      </c>
      <c r="E14" s="615"/>
      <c r="F14" s="615">
        <v>22.19782</v>
      </c>
      <c r="G14" s="615">
        <v>42.75</v>
      </c>
      <c r="H14" s="615">
        <v>-20.55218</v>
      </c>
      <c r="I14" s="616">
        <v>0.51924725146198836</v>
      </c>
      <c r="J14" s="617" t="s">
        <v>1</v>
      </c>
    </row>
    <row r="15" spans="1:10" ht="14.4" customHeight="1" x14ac:dyDescent="0.3">
      <c r="A15" s="613" t="s">
        <v>512</v>
      </c>
      <c r="B15" s="614" t="s">
        <v>352</v>
      </c>
      <c r="C15" s="615">
        <v>0.32150000000000001</v>
      </c>
      <c r="D15" s="615">
        <v>0.64349999999999996</v>
      </c>
      <c r="E15" s="615"/>
      <c r="F15" s="615">
        <v>0.64600000000000002</v>
      </c>
      <c r="G15" s="615">
        <v>0.75</v>
      </c>
      <c r="H15" s="615">
        <v>-0.10399999999999998</v>
      </c>
      <c r="I15" s="616">
        <v>0.8613333333333334</v>
      </c>
      <c r="J15" s="617" t="s">
        <v>1</v>
      </c>
    </row>
    <row r="16" spans="1:10" ht="14.4" customHeight="1" x14ac:dyDescent="0.3">
      <c r="A16" s="613" t="s">
        <v>512</v>
      </c>
      <c r="B16" s="614" t="s">
        <v>515</v>
      </c>
      <c r="C16" s="615">
        <v>773.13602999999978</v>
      </c>
      <c r="D16" s="615">
        <v>810.85608999999999</v>
      </c>
      <c r="E16" s="615"/>
      <c r="F16" s="615">
        <v>652.03500000000088</v>
      </c>
      <c r="G16" s="615">
        <v>886</v>
      </c>
      <c r="H16" s="615">
        <v>-233.96499999999912</v>
      </c>
      <c r="I16" s="616">
        <v>0.73593115124153596</v>
      </c>
      <c r="J16" s="617" t="s">
        <v>516</v>
      </c>
    </row>
    <row r="18" spans="1:10" ht="14.4" customHeight="1" x14ac:dyDescent="0.3">
      <c r="A18" s="613" t="s">
        <v>512</v>
      </c>
      <c r="B18" s="614" t="s">
        <v>513</v>
      </c>
      <c r="C18" s="615" t="s">
        <v>514</v>
      </c>
      <c r="D18" s="615" t="s">
        <v>514</v>
      </c>
      <c r="E18" s="615"/>
      <c r="F18" s="615" t="s">
        <v>514</v>
      </c>
      <c r="G18" s="615" t="s">
        <v>514</v>
      </c>
      <c r="H18" s="615" t="s">
        <v>514</v>
      </c>
      <c r="I18" s="616" t="s">
        <v>514</v>
      </c>
      <c r="J18" s="617" t="s">
        <v>74</v>
      </c>
    </row>
    <row r="19" spans="1:10" ht="14.4" customHeight="1" x14ac:dyDescent="0.3">
      <c r="A19" s="613" t="s">
        <v>1674</v>
      </c>
      <c r="B19" s="614" t="s">
        <v>1675</v>
      </c>
      <c r="C19" s="615" t="s">
        <v>514</v>
      </c>
      <c r="D19" s="615" t="s">
        <v>514</v>
      </c>
      <c r="E19" s="615"/>
      <c r="F19" s="615" t="s">
        <v>514</v>
      </c>
      <c r="G19" s="615" t="s">
        <v>514</v>
      </c>
      <c r="H19" s="615" t="s">
        <v>514</v>
      </c>
      <c r="I19" s="616" t="s">
        <v>514</v>
      </c>
      <c r="J19" s="617" t="s">
        <v>0</v>
      </c>
    </row>
    <row r="20" spans="1:10" ht="14.4" customHeight="1" x14ac:dyDescent="0.3">
      <c r="A20" s="613" t="s">
        <v>1674</v>
      </c>
      <c r="B20" s="614" t="s">
        <v>345</v>
      </c>
      <c r="C20" s="615">
        <v>1.66713</v>
      </c>
      <c r="D20" s="615">
        <v>2.9973800000000002</v>
      </c>
      <c r="E20" s="615"/>
      <c r="F20" s="615" t="s">
        <v>514</v>
      </c>
      <c r="G20" s="615" t="s">
        <v>514</v>
      </c>
      <c r="H20" s="615" t="s">
        <v>514</v>
      </c>
      <c r="I20" s="616" t="s">
        <v>514</v>
      </c>
      <c r="J20" s="617" t="s">
        <v>1</v>
      </c>
    </row>
    <row r="21" spans="1:10" ht="14.4" customHeight="1" x14ac:dyDescent="0.3">
      <c r="A21" s="613" t="s">
        <v>1674</v>
      </c>
      <c r="B21" s="614" t="s">
        <v>346</v>
      </c>
      <c r="C21" s="615">
        <v>12.523869999999999</v>
      </c>
      <c r="D21" s="615">
        <v>7.8806999999999992</v>
      </c>
      <c r="E21" s="615"/>
      <c r="F21" s="615" t="s">
        <v>514</v>
      </c>
      <c r="G21" s="615" t="s">
        <v>514</v>
      </c>
      <c r="H21" s="615" t="s">
        <v>514</v>
      </c>
      <c r="I21" s="616" t="s">
        <v>514</v>
      </c>
      <c r="J21" s="617" t="s">
        <v>1</v>
      </c>
    </row>
    <row r="22" spans="1:10" ht="14.4" customHeight="1" x14ac:dyDescent="0.3">
      <c r="A22" s="613" t="s">
        <v>1674</v>
      </c>
      <c r="B22" s="614" t="s">
        <v>347</v>
      </c>
      <c r="C22" s="615">
        <v>0</v>
      </c>
      <c r="D22" s="615">
        <v>9.1316000000000006</v>
      </c>
      <c r="E22" s="615"/>
      <c r="F22" s="615" t="s">
        <v>514</v>
      </c>
      <c r="G22" s="615" t="s">
        <v>514</v>
      </c>
      <c r="H22" s="615" t="s">
        <v>514</v>
      </c>
      <c r="I22" s="616" t="s">
        <v>514</v>
      </c>
      <c r="J22" s="617" t="s">
        <v>1</v>
      </c>
    </row>
    <row r="23" spans="1:10" ht="14.4" customHeight="1" x14ac:dyDescent="0.3">
      <c r="A23" s="613" t="s">
        <v>1674</v>
      </c>
      <c r="B23" s="614" t="s">
        <v>349</v>
      </c>
      <c r="C23" s="615">
        <v>0.06</v>
      </c>
      <c r="D23" s="615">
        <v>0.16979999999999998</v>
      </c>
      <c r="E23" s="615"/>
      <c r="F23" s="615" t="s">
        <v>514</v>
      </c>
      <c r="G23" s="615" t="s">
        <v>514</v>
      </c>
      <c r="H23" s="615" t="s">
        <v>514</v>
      </c>
      <c r="I23" s="616" t="s">
        <v>514</v>
      </c>
      <c r="J23" s="617" t="s">
        <v>1</v>
      </c>
    </row>
    <row r="24" spans="1:10" ht="14.4" customHeight="1" x14ac:dyDescent="0.3">
      <c r="A24" s="613" t="s">
        <v>1674</v>
      </c>
      <c r="B24" s="614" t="s">
        <v>350</v>
      </c>
      <c r="C24" s="615">
        <v>0</v>
      </c>
      <c r="D24" s="615">
        <v>1.72787</v>
      </c>
      <c r="E24" s="615"/>
      <c r="F24" s="615" t="s">
        <v>514</v>
      </c>
      <c r="G24" s="615" t="s">
        <v>514</v>
      </c>
      <c r="H24" s="615" t="s">
        <v>514</v>
      </c>
      <c r="I24" s="616" t="s">
        <v>514</v>
      </c>
      <c r="J24" s="617" t="s">
        <v>1</v>
      </c>
    </row>
    <row r="25" spans="1:10" ht="14.4" customHeight="1" x14ac:dyDescent="0.3">
      <c r="A25" s="613" t="s">
        <v>1674</v>
      </c>
      <c r="B25" s="614" t="s">
        <v>351</v>
      </c>
      <c r="C25" s="615" t="s">
        <v>514</v>
      </c>
      <c r="D25" s="615">
        <v>0</v>
      </c>
      <c r="E25" s="615"/>
      <c r="F25" s="615" t="s">
        <v>514</v>
      </c>
      <c r="G25" s="615" t="s">
        <v>514</v>
      </c>
      <c r="H25" s="615" t="s">
        <v>514</v>
      </c>
      <c r="I25" s="616" t="s">
        <v>514</v>
      </c>
      <c r="J25" s="617" t="s">
        <v>1</v>
      </c>
    </row>
    <row r="26" spans="1:10" ht="14.4" customHeight="1" x14ac:dyDescent="0.3">
      <c r="A26" s="613" t="s">
        <v>1674</v>
      </c>
      <c r="B26" s="614" t="s">
        <v>1676</v>
      </c>
      <c r="C26" s="615">
        <v>14.250999999999999</v>
      </c>
      <c r="D26" s="615">
        <v>21.907349999999997</v>
      </c>
      <c r="E26" s="615"/>
      <c r="F26" s="615" t="s">
        <v>514</v>
      </c>
      <c r="G26" s="615" t="s">
        <v>514</v>
      </c>
      <c r="H26" s="615" t="s">
        <v>514</v>
      </c>
      <c r="I26" s="616" t="s">
        <v>514</v>
      </c>
      <c r="J26" s="617" t="s">
        <v>520</v>
      </c>
    </row>
    <row r="27" spans="1:10" ht="14.4" customHeight="1" x14ac:dyDescent="0.3">
      <c r="A27" s="613" t="s">
        <v>514</v>
      </c>
      <c r="B27" s="614" t="s">
        <v>514</v>
      </c>
      <c r="C27" s="615" t="s">
        <v>514</v>
      </c>
      <c r="D27" s="615" t="s">
        <v>514</v>
      </c>
      <c r="E27" s="615"/>
      <c r="F27" s="615" t="s">
        <v>514</v>
      </c>
      <c r="G27" s="615" t="s">
        <v>514</v>
      </c>
      <c r="H27" s="615" t="s">
        <v>514</v>
      </c>
      <c r="I27" s="616" t="s">
        <v>514</v>
      </c>
      <c r="J27" s="617" t="s">
        <v>521</v>
      </c>
    </row>
    <row r="28" spans="1:10" ht="14.4" customHeight="1" x14ac:dyDescent="0.3">
      <c r="A28" s="613" t="s">
        <v>517</v>
      </c>
      <c r="B28" s="614" t="s">
        <v>518</v>
      </c>
      <c r="C28" s="615" t="s">
        <v>514</v>
      </c>
      <c r="D28" s="615" t="s">
        <v>514</v>
      </c>
      <c r="E28" s="615"/>
      <c r="F28" s="615" t="s">
        <v>514</v>
      </c>
      <c r="G28" s="615" t="s">
        <v>514</v>
      </c>
      <c r="H28" s="615" t="s">
        <v>514</v>
      </c>
      <c r="I28" s="616" t="s">
        <v>514</v>
      </c>
      <c r="J28" s="617" t="s">
        <v>0</v>
      </c>
    </row>
    <row r="29" spans="1:10" ht="14.4" customHeight="1" x14ac:dyDescent="0.3">
      <c r="A29" s="613" t="s">
        <v>517</v>
      </c>
      <c r="B29" s="614" t="s">
        <v>343</v>
      </c>
      <c r="C29" s="615">
        <v>32.06785</v>
      </c>
      <c r="D29" s="615">
        <v>75.950199999999995</v>
      </c>
      <c r="E29" s="615"/>
      <c r="F29" s="615">
        <v>52.923319999999997</v>
      </c>
      <c r="G29" s="615">
        <v>127.5</v>
      </c>
      <c r="H29" s="615">
        <v>-74.57668000000001</v>
      </c>
      <c r="I29" s="616">
        <v>0.41508486274509804</v>
      </c>
      <c r="J29" s="617" t="s">
        <v>1</v>
      </c>
    </row>
    <row r="30" spans="1:10" ht="14.4" customHeight="1" x14ac:dyDescent="0.3">
      <c r="A30" s="613" t="s">
        <v>517</v>
      </c>
      <c r="B30" s="614" t="s">
        <v>344</v>
      </c>
      <c r="C30" s="615">
        <v>0.84252000000000005</v>
      </c>
      <c r="D30" s="615">
        <v>0</v>
      </c>
      <c r="E30" s="615"/>
      <c r="F30" s="615">
        <v>0.15515999999999999</v>
      </c>
      <c r="G30" s="615">
        <v>0.25</v>
      </c>
      <c r="H30" s="615">
        <v>-9.4840000000000008E-2</v>
      </c>
      <c r="I30" s="616">
        <v>0.62063999999999997</v>
      </c>
      <c r="J30" s="617" t="s">
        <v>1</v>
      </c>
    </row>
    <row r="31" spans="1:10" ht="14.4" customHeight="1" x14ac:dyDescent="0.3">
      <c r="A31" s="613" t="s">
        <v>517</v>
      </c>
      <c r="B31" s="614" t="s">
        <v>345</v>
      </c>
      <c r="C31" s="615">
        <v>97.705120000000008</v>
      </c>
      <c r="D31" s="615">
        <v>80.657539999999997</v>
      </c>
      <c r="E31" s="615"/>
      <c r="F31" s="615">
        <v>82.309950000000001</v>
      </c>
      <c r="G31" s="615">
        <v>90</v>
      </c>
      <c r="H31" s="615">
        <v>-7.6900499999999994</v>
      </c>
      <c r="I31" s="616">
        <v>0.91455500000000001</v>
      </c>
      <c r="J31" s="617" t="s">
        <v>1</v>
      </c>
    </row>
    <row r="32" spans="1:10" ht="14.4" customHeight="1" x14ac:dyDescent="0.3">
      <c r="A32" s="613" t="s">
        <v>517</v>
      </c>
      <c r="B32" s="614" t="s">
        <v>346</v>
      </c>
      <c r="C32" s="615">
        <v>548.80467999999996</v>
      </c>
      <c r="D32" s="615">
        <v>504.57720000000006</v>
      </c>
      <c r="E32" s="615"/>
      <c r="F32" s="615">
        <v>412.23501000000101</v>
      </c>
      <c r="G32" s="615">
        <v>531</v>
      </c>
      <c r="H32" s="615">
        <v>-118.76498999999899</v>
      </c>
      <c r="I32" s="616">
        <v>0.77633711864406973</v>
      </c>
      <c r="J32" s="617" t="s">
        <v>1</v>
      </c>
    </row>
    <row r="33" spans="1:10" ht="14.4" customHeight="1" x14ac:dyDescent="0.3">
      <c r="A33" s="613" t="s">
        <v>517</v>
      </c>
      <c r="B33" s="614" t="s">
        <v>347</v>
      </c>
      <c r="C33" s="615">
        <v>3.855</v>
      </c>
      <c r="D33" s="615">
        <v>42.45391</v>
      </c>
      <c r="E33" s="615"/>
      <c r="F33" s="615">
        <v>31.151999999999997</v>
      </c>
      <c r="G33" s="615">
        <v>42.5</v>
      </c>
      <c r="H33" s="615">
        <v>-11.348000000000003</v>
      </c>
      <c r="I33" s="616">
        <v>0.73298823529411761</v>
      </c>
      <c r="J33" s="617" t="s">
        <v>1</v>
      </c>
    </row>
    <row r="34" spans="1:10" ht="14.4" customHeight="1" x14ac:dyDescent="0.3">
      <c r="A34" s="613" t="s">
        <v>517</v>
      </c>
      <c r="B34" s="614" t="s">
        <v>348</v>
      </c>
      <c r="C34" s="615">
        <v>7.1214600000000008</v>
      </c>
      <c r="D34" s="615">
        <v>5.0538699999999999</v>
      </c>
      <c r="E34" s="615"/>
      <c r="F34" s="615">
        <v>0</v>
      </c>
      <c r="G34" s="615">
        <v>5</v>
      </c>
      <c r="H34" s="615">
        <v>-5</v>
      </c>
      <c r="I34" s="616">
        <v>0</v>
      </c>
      <c r="J34" s="617" t="s">
        <v>1</v>
      </c>
    </row>
    <row r="35" spans="1:10" ht="14.4" customHeight="1" x14ac:dyDescent="0.3">
      <c r="A35" s="613" t="s">
        <v>517</v>
      </c>
      <c r="B35" s="614" t="s">
        <v>349</v>
      </c>
      <c r="C35" s="615">
        <v>5.1280999999999999</v>
      </c>
      <c r="D35" s="615">
        <v>5.6180000000000003</v>
      </c>
      <c r="E35" s="615"/>
      <c r="F35" s="615">
        <v>5.2575399999999997</v>
      </c>
      <c r="G35" s="615">
        <v>4.5</v>
      </c>
      <c r="H35" s="615">
        <v>0.75753999999999966</v>
      </c>
      <c r="I35" s="616">
        <v>1.1683422222222222</v>
      </c>
      <c r="J35" s="617" t="s">
        <v>1</v>
      </c>
    </row>
    <row r="36" spans="1:10" ht="14.4" customHeight="1" x14ac:dyDescent="0.3">
      <c r="A36" s="613" t="s">
        <v>517</v>
      </c>
      <c r="B36" s="614" t="s">
        <v>350</v>
      </c>
      <c r="C36" s="615">
        <v>38.049999999999997</v>
      </c>
      <c r="D36" s="615">
        <v>36.67</v>
      </c>
      <c r="E36" s="615"/>
      <c r="F36" s="615">
        <v>45.158200000000001</v>
      </c>
      <c r="G36" s="615">
        <v>41.75</v>
      </c>
      <c r="H36" s="615">
        <v>3.4082000000000008</v>
      </c>
      <c r="I36" s="616">
        <v>1.0816335329341318</v>
      </c>
      <c r="J36" s="617" t="s">
        <v>1</v>
      </c>
    </row>
    <row r="37" spans="1:10" ht="14.4" customHeight="1" x14ac:dyDescent="0.3">
      <c r="A37" s="613" t="s">
        <v>517</v>
      </c>
      <c r="B37" s="614" t="s">
        <v>351</v>
      </c>
      <c r="C37" s="615">
        <v>24.988800000000001</v>
      </c>
      <c r="D37" s="615">
        <v>37.32452</v>
      </c>
      <c r="E37" s="615"/>
      <c r="F37" s="615">
        <v>22.19782</v>
      </c>
      <c r="G37" s="615">
        <v>42.75</v>
      </c>
      <c r="H37" s="615">
        <v>-20.55218</v>
      </c>
      <c r="I37" s="616">
        <v>0.51924725146198836</v>
      </c>
      <c r="J37" s="617" t="s">
        <v>1</v>
      </c>
    </row>
    <row r="38" spans="1:10" ht="14.4" customHeight="1" x14ac:dyDescent="0.3">
      <c r="A38" s="613" t="s">
        <v>517</v>
      </c>
      <c r="B38" s="614" t="s">
        <v>352</v>
      </c>
      <c r="C38" s="615">
        <v>0.32150000000000001</v>
      </c>
      <c r="D38" s="615">
        <v>0.64349999999999996</v>
      </c>
      <c r="E38" s="615"/>
      <c r="F38" s="615">
        <v>0.64600000000000002</v>
      </c>
      <c r="G38" s="615">
        <v>0.75</v>
      </c>
      <c r="H38" s="615">
        <v>-0.10399999999999998</v>
      </c>
      <c r="I38" s="616">
        <v>0.8613333333333334</v>
      </c>
      <c r="J38" s="617" t="s">
        <v>1</v>
      </c>
    </row>
    <row r="39" spans="1:10" ht="14.4" customHeight="1" x14ac:dyDescent="0.3">
      <c r="A39" s="613" t="s">
        <v>517</v>
      </c>
      <c r="B39" s="614" t="s">
        <v>519</v>
      </c>
      <c r="C39" s="615">
        <v>758.88502999999992</v>
      </c>
      <c r="D39" s="615">
        <v>788.94874000000004</v>
      </c>
      <c r="E39" s="615"/>
      <c r="F39" s="615">
        <v>652.03500000000088</v>
      </c>
      <c r="G39" s="615">
        <v>886</v>
      </c>
      <c r="H39" s="615">
        <v>-233.96499999999912</v>
      </c>
      <c r="I39" s="616">
        <v>0.73593115124153596</v>
      </c>
      <c r="J39" s="617" t="s">
        <v>520</v>
      </c>
    </row>
    <row r="40" spans="1:10" ht="14.4" customHeight="1" x14ac:dyDescent="0.3">
      <c r="A40" s="613" t="s">
        <v>514</v>
      </c>
      <c r="B40" s="614" t="s">
        <v>514</v>
      </c>
      <c r="C40" s="615" t="s">
        <v>514</v>
      </c>
      <c r="D40" s="615" t="s">
        <v>514</v>
      </c>
      <c r="E40" s="615"/>
      <c r="F40" s="615" t="s">
        <v>514</v>
      </c>
      <c r="G40" s="615" t="s">
        <v>514</v>
      </c>
      <c r="H40" s="615" t="s">
        <v>514</v>
      </c>
      <c r="I40" s="616" t="s">
        <v>514</v>
      </c>
      <c r="J40" s="617" t="s">
        <v>521</v>
      </c>
    </row>
    <row r="41" spans="1:10" ht="14.4" customHeight="1" x14ac:dyDescent="0.3">
      <c r="A41" s="613" t="s">
        <v>512</v>
      </c>
      <c r="B41" s="614" t="s">
        <v>515</v>
      </c>
      <c r="C41" s="615">
        <v>773.13602999999989</v>
      </c>
      <c r="D41" s="615">
        <v>810.85608999999999</v>
      </c>
      <c r="E41" s="615"/>
      <c r="F41" s="615">
        <v>652.03500000000088</v>
      </c>
      <c r="G41" s="615">
        <v>886</v>
      </c>
      <c r="H41" s="615">
        <v>-233.96499999999912</v>
      </c>
      <c r="I41" s="616">
        <v>0.73593115124153596</v>
      </c>
      <c r="J41" s="617" t="s">
        <v>516</v>
      </c>
    </row>
  </sheetData>
  <mergeCells count="3">
    <mergeCell ref="A1:I1"/>
    <mergeCell ref="F3:I3"/>
    <mergeCell ref="C4:D4"/>
  </mergeCells>
  <conditionalFormatting sqref="F17 F42:F65537">
    <cfRule type="cellIs" dxfId="36" priority="18" stopIfTrue="1" operator="greaterThan">
      <formula>1</formula>
    </cfRule>
  </conditionalFormatting>
  <conditionalFormatting sqref="H5:H16">
    <cfRule type="expression" dxfId="35" priority="14">
      <formula>$H5&gt;0</formula>
    </cfRule>
  </conditionalFormatting>
  <conditionalFormatting sqref="I5:I16">
    <cfRule type="expression" dxfId="34" priority="15">
      <formula>$I5&gt;1</formula>
    </cfRule>
  </conditionalFormatting>
  <conditionalFormatting sqref="B5:B16">
    <cfRule type="expression" dxfId="33" priority="11">
      <formula>OR($J5="NS",$J5="SumaNS",$J5="Účet")</formula>
    </cfRule>
  </conditionalFormatting>
  <conditionalFormatting sqref="F5:I16 B5:D16">
    <cfRule type="expression" dxfId="32" priority="17">
      <formula>AND($J5&lt;&gt;"",$J5&lt;&gt;"mezeraKL")</formula>
    </cfRule>
  </conditionalFormatting>
  <conditionalFormatting sqref="B5:D16 F5:I16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B5:D16 F5:I16">
    <cfRule type="expression" dxfId="30" priority="13">
      <formula>OR($J5="SumaNS",$J5="NS")</formula>
    </cfRule>
  </conditionalFormatting>
  <conditionalFormatting sqref="A5:A16">
    <cfRule type="expression" dxfId="29" priority="9">
      <formula>AND($J5&lt;&gt;"mezeraKL",$J5&lt;&gt;"")</formula>
    </cfRule>
  </conditionalFormatting>
  <conditionalFormatting sqref="A5:A16">
    <cfRule type="expression" dxfId="28" priority="10">
      <formula>AND($J5&lt;&gt;"",$J5&lt;&gt;"mezeraKL")</formula>
    </cfRule>
  </conditionalFormatting>
  <conditionalFormatting sqref="H18:H41">
    <cfRule type="expression" dxfId="27" priority="5">
      <formula>$H18&gt;0</formula>
    </cfRule>
  </conditionalFormatting>
  <conditionalFormatting sqref="A18:A41">
    <cfRule type="expression" dxfId="26" priority="2">
      <formula>AND($J18&lt;&gt;"mezeraKL",$J18&lt;&gt;"")</formula>
    </cfRule>
  </conditionalFormatting>
  <conditionalFormatting sqref="I18:I41">
    <cfRule type="expression" dxfId="25" priority="6">
      <formula>$I18&gt;1</formula>
    </cfRule>
  </conditionalFormatting>
  <conditionalFormatting sqref="B18:B41">
    <cfRule type="expression" dxfId="24" priority="1">
      <formula>OR($J18="NS",$J18="SumaNS",$J18="Účet")</formula>
    </cfRule>
  </conditionalFormatting>
  <conditionalFormatting sqref="A18:D41 F18:I41">
    <cfRule type="expression" dxfId="23" priority="8">
      <formula>AND($J18&lt;&gt;"",$J18&lt;&gt;"mezeraKL")</formula>
    </cfRule>
  </conditionalFormatting>
  <conditionalFormatting sqref="B18:D41 F18:I41">
    <cfRule type="expression" dxfId="22" priority="3">
      <formula>OR($J18="KL",$J18="SumaKL")</formula>
    </cfRule>
    <cfRule type="expression" priority="7" stopIfTrue="1">
      <formula>OR($J18="mezeraNS",$J18="mezeraKL")</formula>
    </cfRule>
  </conditionalFormatting>
  <conditionalFormatting sqref="B18:D41 F18:I41">
    <cfRule type="expression" dxfId="21" priority="4">
      <formula>OR($J18="SumaNS",$J18="NS")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1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7" hidden="1" customWidth="1" outlineLevel="1"/>
    <col min="2" max="2" width="28.33203125" style="257" hidden="1" customWidth="1" outlineLevel="1"/>
    <col min="3" max="3" width="5.33203125" style="342" bestFit="1" customWidth="1" collapsed="1"/>
    <col min="4" max="4" width="18.77734375" style="346" customWidth="1"/>
    <col min="5" max="5" width="9" style="342" bestFit="1" customWidth="1"/>
    <col min="6" max="6" width="18.77734375" style="346" customWidth="1"/>
    <col min="7" max="7" width="12.44140625" style="342" hidden="1" customWidth="1" outlineLevel="1"/>
    <col min="8" max="8" width="25.77734375" style="342" customWidth="1" collapsed="1"/>
    <col min="9" max="9" width="7.77734375" style="340" customWidth="1"/>
    <col min="10" max="10" width="10" style="340" customWidth="1"/>
    <col min="11" max="11" width="11.109375" style="340" customWidth="1"/>
    <col min="12" max="16384" width="8.88671875" style="257"/>
  </cols>
  <sheetData>
    <row r="1" spans="1:11" ht="18.600000000000001" customHeight="1" thickBot="1" x14ac:dyDescent="0.4">
      <c r="A1" s="494" t="s">
        <v>2102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</row>
    <row r="2" spans="1:11" ht="14.4" customHeight="1" thickBot="1" x14ac:dyDescent="0.35">
      <c r="A2" s="386" t="s">
        <v>321</v>
      </c>
      <c r="B2" s="66"/>
      <c r="C2" s="344"/>
      <c r="D2" s="344"/>
      <c r="E2" s="344"/>
      <c r="F2" s="344"/>
      <c r="G2" s="344"/>
      <c r="H2" s="344"/>
      <c r="I2" s="345"/>
      <c r="J2" s="345"/>
      <c r="K2" s="345"/>
    </row>
    <row r="3" spans="1:11" ht="14.4" customHeight="1" thickBot="1" x14ac:dyDescent="0.35">
      <c r="A3" s="66"/>
      <c r="B3" s="66"/>
      <c r="C3" s="490"/>
      <c r="D3" s="491"/>
      <c r="E3" s="491"/>
      <c r="F3" s="491"/>
      <c r="G3" s="491"/>
      <c r="H3" s="270" t="s">
        <v>160</v>
      </c>
      <c r="I3" s="210">
        <f>IF(J3&lt;&gt;0,K3/J3,0)</f>
        <v>4.0663727947922323</v>
      </c>
      <c r="J3" s="210">
        <f>SUBTOTAL(9,J5:J1048576)</f>
        <v>171129</v>
      </c>
      <c r="K3" s="211">
        <f>SUBTOTAL(9,K5:K1048576)</f>
        <v>695874.30999999994</v>
      </c>
    </row>
    <row r="4" spans="1:11" s="341" customFormat="1" ht="14.4" customHeight="1" thickBot="1" x14ac:dyDescent="0.35">
      <c r="A4" s="713" t="s">
        <v>4</v>
      </c>
      <c r="B4" s="714" t="s">
        <v>5</v>
      </c>
      <c r="C4" s="714" t="s">
        <v>0</v>
      </c>
      <c r="D4" s="714" t="s">
        <v>6</v>
      </c>
      <c r="E4" s="714" t="s">
        <v>7</v>
      </c>
      <c r="F4" s="714" t="s">
        <v>1</v>
      </c>
      <c r="G4" s="714" t="s">
        <v>90</v>
      </c>
      <c r="H4" s="620" t="s">
        <v>11</v>
      </c>
      <c r="I4" s="621" t="s">
        <v>185</v>
      </c>
      <c r="J4" s="621" t="s">
        <v>13</v>
      </c>
      <c r="K4" s="622" t="s">
        <v>202</v>
      </c>
    </row>
    <row r="5" spans="1:11" ht="14.4" customHeight="1" x14ac:dyDescent="0.3">
      <c r="A5" s="696" t="s">
        <v>512</v>
      </c>
      <c r="B5" s="697" t="s">
        <v>1459</v>
      </c>
      <c r="C5" s="700" t="s">
        <v>1674</v>
      </c>
      <c r="D5" s="715" t="s">
        <v>2083</v>
      </c>
      <c r="E5" s="700" t="s">
        <v>2084</v>
      </c>
      <c r="F5" s="715" t="s">
        <v>2085</v>
      </c>
      <c r="G5" s="700" t="s">
        <v>1677</v>
      </c>
      <c r="H5" s="700" t="s">
        <v>1678</v>
      </c>
      <c r="I5" s="232">
        <v>42.445</v>
      </c>
      <c r="J5" s="232">
        <v>6</v>
      </c>
      <c r="K5" s="710">
        <v>254.68</v>
      </c>
    </row>
    <row r="6" spans="1:11" ht="14.4" customHeight="1" x14ac:dyDescent="0.3">
      <c r="A6" s="631" t="s">
        <v>512</v>
      </c>
      <c r="B6" s="632" t="s">
        <v>1459</v>
      </c>
      <c r="C6" s="633" t="s">
        <v>1674</v>
      </c>
      <c r="D6" s="634" t="s">
        <v>2083</v>
      </c>
      <c r="E6" s="633" t="s">
        <v>2084</v>
      </c>
      <c r="F6" s="634" t="s">
        <v>2085</v>
      </c>
      <c r="G6" s="633" t="s">
        <v>1679</v>
      </c>
      <c r="H6" s="633" t="s">
        <v>1680</v>
      </c>
      <c r="I6" s="635">
        <v>0.6</v>
      </c>
      <c r="J6" s="635">
        <v>450</v>
      </c>
      <c r="K6" s="636">
        <v>270</v>
      </c>
    </row>
    <row r="7" spans="1:11" ht="14.4" customHeight="1" x14ac:dyDescent="0.3">
      <c r="A7" s="631" t="s">
        <v>512</v>
      </c>
      <c r="B7" s="632" t="s">
        <v>1459</v>
      </c>
      <c r="C7" s="633" t="s">
        <v>1674</v>
      </c>
      <c r="D7" s="634" t="s">
        <v>2083</v>
      </c>
      <c r="E7" s="633" t="s">
        <v>2084</v>
      </c>
      <c r="F7" s="634" t="s">
        <v>2085</v>
      </c>
      <c r="G7" s="633" t="s">
        <v>1681</v>
      </c>
      <c r="H7" s="633" t="s">
        <v>1682</v>
      </c>
      <c r="I7" s="635">
        <v>2.95</v>
      </c>
      <c r="J7" s="635">
        <v>20</v>
      </c>
      <c r="K7" s="636">
        <v>59</v>
      </c>
    </row>
    <row r="8" spans="1:11" ht="14.4" customHeight="1" x14ac:dyDescent="0.3">
      <c r="A8" s="631" t="s">
        <v>512</v>
      </c>
      <c r="B8" s="632" t="s">
        <v>1459</v>
      </c>
      <c r="C8" s="633" t="s">
        <v>1674</v>
      </c>
      <c r="D8" s="634" t="s">
        <v>2083</v>
      </c>
      <c r="E8" s="633" t="s">
        <v>2084</v>
      </c>
      <c r="F8" s="634" t="s">
        <v>2085</v>
      </c>
      <c r="G8" s="633" t="s">
        <v>1683</v>
      </c>
      <c r="H8" s="633" t="s">
        <v>1684</v>
      </c>
      <c r="I8" s="635">
        <v>1.1766666666666665</v>
      </c>
      <c r="J8" s="635">
        <v>720</v>
      </c>
      <c r="K8" s="636">
        <v>848.6</v>
      </c>
    </row>
    <row r="9" spans="1:11" ht="14.4" customHeight="1" x14ac:dyDescent="0.3">
      <c r="A9" s="631" t="s">
        <v>512</v>
      </c>
      <c r="B9" s="632" t="s">
        <v>1459</v>
      </c>
      <c r="C9" s="633" t="s">
        <v>1674</v>
      </c>
      <c r="D9" s="634" t="s">
        <v>2083</v>
      </c>
      <c r="E9" s="633" t="s">
        <v>2084</v>
      </c>
      <c r="F9" s="634" t="s">
        <v>2085</v>
      </c>
      <c r="G9" s="633" t="s">
        <v>1685</v>
      </c>
      <c r="H9" s="633" t="s">
        <v>1686</v>
      </c>
      <c r="I9" s="635">
        <v>0.86</v>
      </c>
      <c r="J9" s="635">
        <v>80</v>
      </c>
      <c r="K9" s="636">
        <v>68.8</v>
      </c>
    </row>
    <row r="10" spans="1:11" ht="14.4" customHeight="1" x14ac:dyDescent="0.3">
      <c r="A10" s="631" t="s">
        <v>512</v>
      </c>
      <c r="B10" s="632" t="s">
        <v>1459</v>
      </c>
      <c r="C10" s="633" t="s">
        <v>1674</v>
      </c>
      <c r="D10" s="634" t="s">
        <v>2083</v>
      </c>
      <c r="E10" s="633" t="s">
        <v>2084</v>
      </c>
      <c r="F10" s="634" t="s">
        <v>2085</v>
      </c>
      <c r="G10" s="633" t="s">
        <v>1687</v>
      </c>
      <c r="H10" s="633" t="s">
        <v>1688</v>
      </c>
      <c r="I10" s="635">
        <v>1.52</v>
      </c>
      <c r="J10" s="635">
        <v>80</v>
      </c>
      <c r="K10" s="636">
        <v>121.6</v>
      </c>
    </row>
    <row r="11" spans="1:11" ht="14.4" customHeight="1" x14ac:dyDescent="0.3">
      <c r="A11" s="631" t="s">
        <v>512</v>
      </c>
      <c r="B11" s="632" t="s">
        <v>1459</v>
      </c>
      <c r="C11" s="633" t="s">
        <v>1674</v>
      </c>
      <c r="D11" s="634" t="s">
        <v>2083</v>
      </c>
      <c r="E11" s="633" t="s">
        <v>2084</v>
      </c>
      <c r="F11" s="634" t="s">
        <v>2085</v>
      </c>
      <c r="G11" s="633" t="s">
        <v>1689</v>
      </c>
      <c r="H11" s="633" t="s">
        <v>1690</v>
      </c>
      <c r="I11" s="635">
        <v>42.58</v>
      </c>
      <c r="J11" s="635">
        <v>25</v>
      </c>
      <c r="K11" s="636">
        <v>1064.5</v>
      </c>
    </row>
    <row r="12" spans="1:11" ht="14.4" customHeight="1" x14ac:dyDescent="0.3">
      <c r="A12" s="631" t="s">
        <v>512</v>
      </c>
      <c r="B12" s="632" t="s">
        <v>1459</v>
      </c>
      <c r="C12" s="633" t="s">
        <v>1674</v>
      </c>
      <c r="D12" s="634" t="s">
        <v>2083</v>
      </c>
      <c r="E12" s="633" t="s">
        <v>2086</v>
      </c>
      <c r="F12" s="634" t="s">
        <v>2087</v>
      </c>
      <c r="G12" s="633" t="s">
        <v>1691</v>
      </c>
      <c r="H12" s="633" t="s">
        <v>1692</v>
      </c>
      <c r="I12" s="635">
        <v>3.51</v>
      </c>
      <c r="J12" s="635">
        <v>10</v>
      </c>
      <c r="K12" s="636">
        <v>35.1</v>
      </c>
    </row>
    <row r="13" spans="1:11" ht="14.4" customHeight="1" x14ac:dyDescent="0.3">
      <c r="A13" s="631" t="s">
        <v>512</v>
      </c>
      <c r="B13" s="632" t="s">
        <v>1459</v>
      </c>
      <c r="C13" s="633" t="s">
        <v>1674</v>
      </c>
      <c r="D13" s="634" t="s">
        <v>2083</v>
      </c>
      <c r="E13" s="633" t="s">
        <v>2086</v>
      </c>
      <c r="F13" s="634" t="s">
        <v>2087</v>
      </c>
      <c r="G13" s="633" t="s">
        <v>1693</v>
      </c>
      <c r="H13" s="633" t="s">
        <v>1694</v>
      </c>
      <c r="I13" s="635">
        <v>0.93</v>
      </c>
      <c r="J13" s="635">
        <v>570</v>
      </c>
      <c r="K13" s="636">
        <v>530.1</v>
      </c>
    </row>
    <row r="14" spans="1:11" ht="14.4" customHeight="1" x14ac:dyDescent="0.3">
      <c r="A14" s="631" t="s">
        <v>512</v>
      </c>
      <c r="B14" s="632" t="s">
        <v>1459</v>
      </c>
      <c r="C14" s="633" t="s">
        <v>1674</v>
      </c>
      <c r="D14" s="634" t="s">
        <v>2083</v>
      </c>
      <c r="E14" s="633" t="s">
        <v>2086</v>
      </c>
      <c r="F14" s="634" t="s">
        <v>2087</v>
      </c>
      <c r="G14" s="633" t="s">
        <v>1695</v>
      </c>
      <c r="H14" s="633" t="s">
        <v>1696</v>
      </c>
      <c r="I14" s="635">
        <v>1.4279999999999997</v>
      </c>
      <c r="J14" s="635">
        <v>250</v>
      </c>
      <c r="K14" s="636">
        <v>359</v>
      </c>
    </row>
    <row r="15" spans="1:11" ht="14.4" customHeight="1" x14ac:dyDescent="0.3">
      <c r="A15" s="631" t="s">
        <v>512</v>
      </c>
      <c r="B15" s="632" t="s">
        <v>1459</v>
      </c>
      <c r="C15" s="633" t="s">
        <v>1674</v>
      </c>
      <c r="D15" s="634" t="s">
        <v>2083</v>
      </c>
      <c r="E15" s="633" t="s">
        <v>2086</v>
      </c>
      <c r="F15" s="634" t="s">
        <v>2087</v>
      </c>
      <c r="G15" s="633" t="s">
        <v>1697</v>
      </c>
      <c r="H15" s="633" t="s">
        <v>1698</v>
      </c>
      <c r="I15" s="635">
        <v>5.13</v>
      </c>
      <c r="J15" s="635">
        <v>200</v>
      </c>
      <c r="K15" s="636">
        <v>1026</v>
      </c>
    </row>
    <row r="16" spans="1:11" ht="14.4" customHeight="1" x14ac:dyDescent="0.3">
      <c r="A16" s="631" t="s">
        <v>512</v>
      </c>
      <c r="B16" s="632" t="s">
        <v>1459</v>
      </c>
      <c r="C16" s="633" t="s">
        <v>1674</v>
      </c>
      <c r="D16" s="634" t="s">
        <v>2083</v>
      </c>
      <c r="E16" s="633" t="s">
        <v>2086</v>
      </c>
      <c r="F16" s="634" t="s">
        <v>2087</v>
      </c>
      <c r="G16" s="633" t="s">
        <v>1699</v>
      </c>
      <c r="H16" s="633" t="s">
        <v>1700</v>
      </c>
      <c r="I16" s="635">
        <v>7.95</v>
      </c>
      <c r="J16" s="635">
        <v>170</v>
      </c>
      <c r="K16" s="636">
        <v>1351.5</v>
      </c>
    </row>
    <row r="17" spans="1:11" ht="14.4" customHeight="1" x14ac:dyDescent="0.3">
      <c r="A17" s="631" t="s">
        <v>512</v>
      </c>
      <c r="B17" s="632" t="s">
        <v>1459</v>
      </c>
      <c r="C17" s="633" t="s">
        <v>1674</v>
      </c>
      <c r="D17" s="634" t="s">
        <v>2083</v>
      </c>
      <c r="E17" s="633" t="s">
        <v>2086</v>
      </c>
      <c r="F17" s="634" t="s">
        <v>2087</v>
      </c>
      <c r="G17" s="633" t="s">
        <v>1701</v>
      </c>
      <c r="H17" s="633" t="s">
        <v>1702</v>
      </c>
      <c r="I17" s="635">
        <v>1.9333333333333333</v>
      </c>
      <c r="J17" s="635">
        <v>200</v>
      </c>
      <c r="K17" s="636">
        <v>386.5</v>
      </c>
    </row>
    <row r="18" spans="1:11" ht="14.4" customHeight="1" x14ac:dyDescent="0.3">
      <c r="A18" s="631" t="s">
        <v>512</v>
      </c>
      <c r="B18" s="632" t="s">
        <v>1459</v>
      </c>
      <c r="C18" s="633" t="s">
        <v>1674</v>
      </c>
      <c r="D18" s="634" t="s">
        <v>2083</v>
      </c>
      <c r="E18" s="633" t="s">
        <v>2086</v>
      </c>
      <c r="F18" s="634" t="s">
        <v>2087</v>
      </c>
      <c r="G18" s="633" t="s">
        <v>1703</v>
      </c>
      <c r="H18" s="633" t="s">
        <v>1704</v>
      </c>
      <c r="I18" s="635">
        <v>194.30166666666665</v>
      </c>
      <c r="J18" s="635">
        <v>165</v>
      </c>
      <c r="K18" s="636">
        <v>32059.65</v>
      </c>
    </row>
    <row r="19" spans="1:11" ht="14.4" customHeight="1" x14ac:dyDescent="0.3">
      <c r="A19" s="631" t="s">
        <v>512</v>
      </c>
      <c r="B19" s="632" t="s">
        <v>1459</v>
      </c>
      <c r="C19" s="633" t="s">
        <v>1674</v>
      </c>
      <c r="D19" s="634" t="s">
        <v>2083</v>
      </c>
      <c r="E19" s="633" t="s">
        <v>2086</v>
      </c>
      <c r="F19" s="634" t="s">
        <v>2087</v>
      </c>
      <c r="G19" s="633" t="s">
        <v>1705</v>
      </c>
      <c r="H19" s="633" t="s">
        <v>1706</v>
      </c>
      <c r="I19" s="635">
        <v>0.48</v>
      </c>
      <c r="J19" s="635">
        <v>130</v>
      </c>
      <c r="K19" s="636">
        <v>62.4</v>
      </c>
    </row>
    <row r="20" spans="1:11" ht="14.4" customHeight="1" x14ac:dyDescent="0.3">
      <c r="A20" s="631" t="s">
        <v>512</v>
      </c>
      <c r="B20" s="632" t="s">
        <v>1459</v>
      </c>
      <c r="C20" s="633" t="s">
        <v>1674</v>
      </c>
      <c r="D20" s="634" t="s">
        <v>2083</v>
      </c>
      <c r="E20" s="633" t="s">
        <v>2088</v>
      </c>
      <c r="F20" s="634" t="s">
        <v>2089</v>
      </c>
      <c r="G20" s="633" t="s">
        <v>1707</v>
      </c>
      <c r="H20" s="633" t="s">
        <v>1708</v>
      </c>
      <c r="I20" s="635">
        <v>8.17</v>
      </c>
      <c r="J20" s="635">
        <v>210</v>
      </c>
      <c r="K20" s="636">
        <v>1715.6999999999998</v>
      </c>
    </row>
    <row r="21" spans="1:11" ht="14.4" customHeight="1" x14ac:dyDescent="0.3">
      <c r="A21" s="631" t="s">
        <v>512</v>
      </c>
      <c r="B21" s="632" t="s">
        <v>1459</v>
      </c>
      <c r="C21" s="633" t="s">
        <v>1674</v>
      </c>
      <c r="D21" s="634" t="s">
        <v>2083</v>
      </c>
      <c r="E21" s="633" t="s">
        <v>2090</v>
      </c>
      <c r="F21" s="634" t="s">
        <v>2091</v>
      </c>
      <c r="G21" s="633" t="s">
        <v>1709</v>
      </c>
      <c r="H21" s="633" t="s">
        <v>1710</v>
      </c>
      <c r="I21" s="635">
        <v>31.46</v>
      </c>
      <c r="J21" s="635">
        <v>100</v>
      </c>
      <c r="K21" s="636">
        <v>3146</v>
      </c>
    </row>
    <row r="22" spans="1:11" ht="14.4" customHeight="1" x14ac:dyDescent="0.3">
      <c r="A22" s="631" t="s">
        <v>512</v>
      </c>
      <c r="B22" s="632" t="s">
        <v>1459</v>
      </c>
      <c r="C22" s="633" t="s">
        <v>1674</v>
      </c>
      <c r="D22" s="634" t="s">
        <v>2083</v>
      </c>
      <c r="E22" s="633" t="s">
        <v>2092</v>
      </c>
      <c r="F22" s="634" t="s">
        <v>2093</v>
      </c>
      <c r="G22" s="633" t="s">
        <v>1711</v>
      </c>
      <c r="H22" s="633" t="s">
        <v>1712</v>
      </c>
      <c r="I22" s="635">
        <v>7.5</v>
      </c>
      <c r="J22" s="635">
        <v>60</v>
      </c>
      <c r="K22" s="636">
        <v>450</v>
      </c>
    </row>
    <row r="23" spans="1:11" ht="14.4" customHeight="1" x14ac:dyDescent="0.3">
      <c r="A23" s="631" t="s">
        <v>512</v>
      </c>
      <c r="B23" s="632" t="s">
        <v>1459</v>
      </c>
      <c r="C23" s="633" t="s">
        <v>1674</v>
      </c>
      <c r="D23" s="634" t="s">
        <v>2083</v>
      </c>
      <c r="E23" s="633" t="s">
        <v>2092</v>
      </c>
      <c r="F23" s="634" t="s">
        <v>2093</v>
      </c>
      <c r="G23" s="633" t="s">
        <v>1713</v>
      </c>
      <c r="H23" s="633" t="s">
        <v>1714</v>
      </c>
      <c r="I23" s="635">
        <v>7.5</v>
      </c>
      <c r="J23" s="635">
        <v>160</v>
      </c>
      <c r="K23" s="636">
        <v>1200</v>
      </c>
    </row>
    <row r="24" spans="1:11" ht="14.4" customHeight="1" x14ac:dyDescent="0.3">
      <c r="A24" s="631" t="s">
        <v>512</v>
      </c>
      <c r="B24" s="632" t="s">
        <v>1459</v>
      </c>
      <c r="C24" s="633" t="s">
        <v>1674</v>
      </c>
      <c r="D24" s="634" t="s">
        <v>2083</v>
      </c>
      <c r="E24" s="633" t="s">
        <v>2092</v>
      </c>
      <c r="F24" s="634" t="s">
        <v>2093</v>
      </c>
      <c r="G24" s="633" t="s">
        <v>1715</v>
      </c>
      <c r="H24" s="633" t="s">
        <v>1716</v>
      </c>
      <c r="I24" s="635">
        <v>7.5</v>
      </c>
      <c r="J24" s="635">
        <v>30</v>
      </c>
      <c r="K24" s="636">
        <v>225</v>
      </c>
    </row>
    <row r="25" spans="1:11" ht="14.4" customHeight="1" x14ac:dyDescent="0.3">
      <c r="A25" s="631" t="s">
        <v>512</v>
      </c>
      <c r="B25" s="632" t="s">
        <v>1459</v>
      </c>
      <c r="C25" s="633" t="s">
        <v>517</v>
      </c>
      <c r="D25" s="634" t="s">
        <v>1460</v>
      </c>
      <c r="E25" s="633" t="s">
        <v>2084</v>
      </c>
      <c r="F25" s="634" t="s">
        <v>2085</v>
      </c>
      <c r="G25" s="633" t="s">
        <v>1717</v>
      </c>
      <c r="H25" s="633" t="s">
        <v>1718</v>
      </c>
      <c r="I25" s="635">
        <v>4.3</v>
      </c>
      <c r="J25" s="635">
        <v>72</v>
      </c>
      <c r="K25" s="636">
        <v>309.60000000000002</v>
      </c>
    </row>
    <row r="26" spans="1:11" ht="14.4" customHeight="1" x14ac:dyDescent="0.3">
      <c r="A26" s="631" t="s">
        <v>512</v>
      </c>
      <c r="B26" s="632" t="s">
        <v>1459</v>
      </c>
      <c r="C26" s="633" t="s">
        <v>517</v>
      </c>
      <c r="D26" s="634" t="s">
        <v>1460</v>
      </c>
      <c r="E26" s="633" t="s">
        <v>2084</v>
      </c>
      <c r="F26" s="634" t="s">
        <v>2085</v>
      </c>
      <c r="G26" s="633" t="s">
        <v>1719</v>
      </c>
      <c r="H26" s="633" t="s">
        <v>1720</v>
      </c>
      <c r="I26" s="635">
        <v>4.5549999999999997</v>
      </c>
      <c r="J26" s="635">
        <v>150</v>
      </c>
      <c r="K26" s="636">
        <v>684.63</v>
      </c>
    </row>
    <row r="27" spans="1:11" ht="14.4" customHeight="1" x14ac:dyDescent="0.3">
      <c r="A27" s="631" t="s">
        <v>512</v>
      </c>
      <c r="B27" s="632" t="s">
        <v>1459</v>
      </c>
      <c r="C27" s="633" t="s">
        <v>517</v>
      </c>
      <c r="D27" s="634" t="s">
        <v>1460</v>
      </c>
      <c r="E27" s="633" t="s">
        <v>2084</v>
      </c>
      <c r="F27" s="634" t="s">
        <v>2085</v>
      </c>
      <c r="G27" s="633" t="s">
        <v>1721</v>
      </c>
      <c r="H27" s="633" t="s">
        <v>1722</v>
      </c>
      <c r="I27" s="635">
        <v>82.8</v>
      </c>
      <c r="J27" s="635">
        <v>16</v>
      </c>
      <c r="K27" s="636">
        <v>1324.8</v>
      </c>
    </row>
    <row r="28" spans="1:11" ht="14.4" customHeight="1" x14ac:dyDescent="0.3">
      <c r="A28" s="631" t="s">
        <v>512</v>
      </c>
      <c r="B28" s="632" t="s">
        <v>1459</v>
      </c>
      <c r="C28" s="633" t="s">
        <v>517</v>
      </c>
      <c r="D28" s="634" t="s">
        <v>1460</v>
      </c>
      <c r="E28" s="633" t="s">
        <v>2084</v>
      </c>
      <c r="F28" s="634" t="s">
        <v>2085</v>
      </c>
      <c r="G28" s="633" t="s">
        <v>1723</v>
      </c>
      <c r="H28" s="633" t="s">
        <v>1724</v>
      </c>
      <c r="I28" s="635">
        <v>2.39</v>
      </c>
      <c r="J28" s="635">
        <v>40</v>
      </c>
      <c r="K28" s="636">
        <v>95.6</v>
      </c>
    </row>
    <row r="29" spans="1:11" ht="14.4" customHeight="1" x14ac:dyDescent="0.3">
      <c r="A29" s="631" t="s">
        <v>512</v>
      </c>
      <c r="B29" s="632" t="s">
        <v>1459</v>
      </c>
      <c r="C29" s="633" t="s">
        <v>517</v>
      </c>
      <c r="D29" s="634" t="s">
        <v>1460</v>
      </c>
      <c r="E29" s="633" t="s">
        <v>2084</v>
      </c>
      <c r="F29" s="634" t="s">
        <v>2085</v>
      </c>
      <c r="G29" s="633" t="s">
        <v>1725</v>
      </c>
      <c r="H29" s="633" t="s">
        <v>1726</v>
      </c>
      <c r="I29" s="635">
        <v>3.1</v>
      </c>
      <c r="J29" s="635">
        <v>40</v>
      </c>
      <c r="K29" s="636">
        <v>124</v>
      </c>
    </row>
    <row r="30" spans="1:11" ht="14.4" customHeight="1" x14ac:dyDescent="0.3">
      <c r="A30" s="631" t="s">
        <v>512</v>
      </c>
      <c r="B30" s="632" t="s">
        <v>1459</v>
      </c>
      <c r="C30" s="633" t="s">
        <v>517</v>
      </c>
      <c r="D30" s="634" t="s">
        <v>1460</v>
      </c>
      <c r="E30" s="633" t="s">
        <v>2084</v>
      </c>
      <c r="F30" s="634" t="s">
        <v>2085</v>
      </c>
      <c r="G30" s="633" t="s">
        <v>1727</v>
      </c>
      <c r="H30" s="633" t="s">
        <v>1728</v>
      </c>
      <c r="I30" s="635">
        <v>3.78</v>
      </c>
      <c r="J30" s="635">
        <v>60</v>
      </c>
      <c r="K30" s="636">
        <v>226.79999999999998</v>
      </c>
    </row>
    <row r="31" spans="1:11" ht="14.4" customHeight="1" x14ac:dyDescent="0.3">
      <c r="A31" s="631" t="s">
        <v>512</v>
      </c>
      <c r="B31" s="632" t="s">
        <v>1459</v>
      </c>
      <c r="C31" s="633" t="s">
        <v>517</v>
      </c>
      <c r="D31" s="634" t="s">
        <v>1460</v>
      </c>
      <c r="E31" s="633" t="s">
        <v>2084</v>
      </c>
      <c r="F31" s="634" t="s">
        <v>2085</v>
      </c>
      <c r="G31" s="633" t="s">
        <v>1729</v>
      </c>
      <c r="H31" s="633" t="s">
        <v>1730</v>
      </c>
      <c r="I31" s="635">
        <v>9.3000000000000007</v>
      </c>
      <c r="J31" s="635">
        <v>50</v>
      </c>
      <c r="K31" s="636">
        <v>465</v>
      </c>
    </row>
    <row r="32" spans="1:11" ht="14.4" customHeight="1" x14ac:dyDescent="0.3">
      <c r="A32" s="631" t="s">
        <v>512</v>
      </c>
      <c r="B32" s="632" t="s">
        <v>1459</v>
      </c>
      <c r="C32" s="633" t="s">
        <v>517</v>
      </c>
      <c r="D32" s="634" t="s">
        <v>1460</v>
      </c>
      <c r="E32" s="633" t="s">
        <v>2084</v>
      </c>
      <c r="F32" s="634" t="s">
        <v>2085</v>
      </c>
      <c r="G32" s="633" t="s">
        <v>1731</v>
      </c>
      <c r="H32" s="633" t="s">
        <v>1732</v>
      </c>
      <c r="I32" s="635">
        <v>62.033333333333339</v>
      </c>
      <c r="J32" s="635">
        <v>13</v>
      </c>
      <c r="K32" s="636">
        <v>812.15000000000009</v>
      </c>
    </row>
    <row r="33" spans="1:11" ht="14.4" customHeight="1" x14ac:dyDescent="0.3">
      <c r="A33" s="631" t="s">
        <v>512</v>
      </c>
      <c r="B33" s="632" t="s">
        <v>1459</v>
      </c>
      <c r="C33" s="633" t="s">
        <v>517</v>
      </c>
      <c r="D33" s="634" t="s">
        <v>1460</v>
      </c>
      <c r="E33" s="633" t="s">
        <v>2084</v>
      </c>
      <c r="F33" s="634" t="s">
        <v>2085</v>
      </c>
      <c r="G33" s="633" t="s">
        <v>1733</v>
      </c>
      <c r="H33" s="633" t="s">
        <v>1734</v>
      </c>
      <c r="I33" s="635">
        <v>13.96</v>
      </c>
      <c r="J33" s="635">
        <v>30</v>
      </c>
      <c r="K33" s="636">
        <v>418.8</v>
      </c>
    </row>
    <row r="34" spans="1:11" ht="14.4" customHeight="1" x14ac:dyDescent="0.3">
      <c r="A34" s="631" t="s">
        <v>512</v>
      </c>
      <c r="B34" s="632" t="s">
        <v>1459</v>
      </c>
      <c r="C34" s="633" t="s">
        <v>517</v>
      </c>
      <c r="D34" s="634" t="s">
        <v>1460</v>
      </c>
      <c r="E34" s="633" t="s">
        <v>2084</v>
      </c>
      <c r="F34" s="634" t="s">
        <v>2085</v>
      </c>
      <c r="G34" s="633" t="s">
        <v>1735</v>
      </c>
      <c r="H34" s="633" t="s">
        <v>1736</v>
      </c>
      <c r="I34" s="635">
        <v>12.08</v>
      </c>
      <c r="J34" s="635">
        <v>60</v>
      </c>
      <c r="K34" s="636">
        <v>724.8</v>
      </c>
    </row>
    <row r="35" spans="1:11" ht="14.4" customHeight="1" x14ac:dyDescent="0.3">
      <c r="A35" s="631" t="s">
        <v>512</v>
      </c>
      <c r="B35" s="632" t="s">
        <v>1459</v>
      </c>
      <c r="C35" s="633" t="s">
        <v>517</v>
      </c>
      <c r="D35" s="634" t="s">
        <v>1460</v>
      </c>
      <c r="E35" s="633" t="s">
        <v>2084</v>
      </c>
      <c r="F35" s="634" t="s">
        <v>2085</v>
      </c>
      <c r="G35" s="633" t="s">
        <v>1737</v>
      </c>
      <c r="H35" s="633" t="s">
        <v>1738</v>
      </c>
      <c r="I35" s="635">
        <v>0.4</v>
      </c>
      <c r="J35" s="635">
        <v>9000</v>
      </c>
      <c r="K35" s="636">
        <v>3600</v>
      </c>
    </row>
    <row r="36" spans="1:11" ht="14.4" customHeight="1" x14ac:dyDescent="0.3">
      <c r="A36" s="631" t="s">
        <v>512</v>
      </c>
      <c r="B36" s="632" t="s">
        <v>1459</v>
      </c>
      <c r="C36" s="633" t="s">
        <v>517</v>
      </c>
      <c r="D36" s="634" t="s">
        <v>1460</v>
      </c>
      <c r="E36" s="633" t="s">
        <v>2084</v>
      </c>
      <c r="F36" s="634" t="s">
        <v>2085</v>
      </c>
      <c r="G36" s="633" t="s">
        <v>1739</v>
      </c>
      <c r="H36" s="633" t="s">
        <v>1740</v>
      </c>
      <c r="I36" s="635">
        <v>27.365000000000002</v>
      </c>
      <c r="J36" s="635">
        <v>288</v>
      </c>
      <c r="K36" s="636">
        <v>7881.1200000000008</v>
      </c>
    </row>
    <row r="37" spans="1:11" ht="14.4" customHeight="1" x14ac:dyDescent="0.3">
      <c r="A37" s="631" t="s">
        <v>512</v>
      </c>
      <c r="B37" s="632" t="s">
        <v>1459</v>
      </c>
      <c r="C37" s="633" t="s">
        <v>517</v>
      </c>
      <c r="D37" s="634" t="s">
        <v>1460</v>
      </c>
      <c r="E37" s="633" t="s">
        <v>2084</v>
      </c>
      <c r="F37" s="634" t="s">
        <v>2085</v>
      </c>
      <c r="G37" s="633" t="s">
        <v>1741</v>
      </c>
      <c r="H37" s="633" t="s">
        <v>1742</v>
      </c>
      <c r="I37" s="635">
        <v>39.65</v>
      </c>
      <c r="J37" s="635">
        <v>7</v>
      </c>
      <c r="K37" s="636">
        <v>277.55</v>
      </c>
    </row>
    <row r="38" spans="1:11" ht="14.4" customHeight="1" x14ac:dyDescent="0.3">
      <c r="A38" s="631" t="s">
        <v>512</v>
      </c>
      <c r="B38" s="632" t="s">
        <v>1459</v>
      </c>
      <c r="C38" s="633" t="s">
        <v>517</v>
      </c>
      <c r="D38" s="634" t="s">
        <v>1460</v>
      </c>
      <c r="E38" s="633" t="s">
        <v>2084</v>
      </c>
      <c r="F38" s="634" t="s">
        <v>2085</v>
      </c>
      <c r="G38" s="633" t="s">
        <v>1743</v>
      </c>
      <c r="H38" s="633" t="s">
        <v>1744</v>
      </c>
      <c r="I38" s="635">
        <v>3.91</v>
      </c>
      <c r="J38" s="635">
        <v>200</v>
      </c>
      <c r="K38" s="636">
        <v>782</v>
      </c>
    </row>
    <row r="39" spans="1:11" ht="14.4" customHeight="1" x14ac:dyDescent="0.3">
      <c r="A39" s="631" t="s">
        <v>512</v>
      </c>
      <c r="B39" s="632" t="s">
        <v>1459</v>
      </c>
      <c r="C39" s="633" t="s">
        <v>517</v>
      </c>
      <c r="D39" s="634" t="s">
        <v>1460</v>
      </c>
      <c r="E39" s="633" t="s">
        <v>2084</v>
      </c>
      <c r="F39" s="634" t="s">
        <v>2085</v>
      </c>
      <c r="G39" s="633" t="s">
        <v>1745</v>
      </c>
      <c r="H39" s="633" t="s">
        <v>1746</v>
      </c>
      <c r="I39" s="635">
        <v>5.95</v>
      </c>
      <c r="J39" s="635">
        <v>100</v>
      </c>
      <c r="K39" s="636">
        <v>595</v>
      </c>
    </row>
    <row r="40" spans="1:11" ht="14.4" customHeight="1" x14ac:dyDescent="0.3">
      <c r="A40" s="631" t="s">
        <v>512</v>
      </c>
      <c r="B40" s="632" t="s">
        <v>1459</v>
      </c>
      <c r="C40" s="633" t="s">
        <v>517</v>
      </c>
      <c r="D40" s="634" t="s">
        <v>1460</v>
      </c>
      <c r="E40" s="633" t="s">
        <v>2084</v>
      </c>
      <c r="F40" s="634" t="s">
        <v>2085</v>
      </c>
      <c r="G40" s="633" t="s">
        <v>1747</v>
      </c>
      <c r="H40" s="633" t="s">
        <v>1748</v>
      </c>
      <c r="I40" s="635">
        <v>1.4249999999999998</v>
      </c>
      <c r="J40" s="635">
        <v>400</v>
      </c>
      <c r="K40" s="636">
        <v>570</v>
      </c>
    </row>
    <row r="41" spans="1:11" ht="14.4" customHeight="1" x14ac:dyDescent="0.3">
      <c r="A41" s="631" t="s">
        <v>512</v>
      </c>
      <c r="B41" s="632" t="s">
        <v>1459</v>
      </c>
      <c r="C41" s="633" t="s">
        <v>517</v>
      </c>
      <c r="D41" s="634" t="s">
        <v>1460</v>
      </c>
      <c r="E41" s="633" t="s">
        <v>2084</v>
      </c>
      <c r="F41" s="634" t="s">
        <v>2085</v>
      </c>
      <c r="G41" s="633" t="s">
        <v>1749</v>
      </c>
      <c r="H41" s="633" t="s">
        <v>1750</v>
      </c>
      <c r="I41" s="635">
        <v>86.38</v>
      </c>
      <c r="J41" s="635">
        <v>30</v>
      </c>
      <c r="K41" s="636">
        <v>2591.34</v>
      </c>
    </row>
    <row r="42" spans="1:11" ht="14.4" customHeight="1" x14ac:dyDescent="0.3">
      <c r="A42" s="631" t="s">
        <v>512</v>
      </c>
      <c r="B42" s="632" t="s">
        <v>1459</v>
      </c>
      <c r="C42" s="633" t="s">
        <v>517</v>
      </c>
      <c r="D42" s="634" t="s">
        <v>1460</v>
      </c>
      <c r="E42" s="633" t="s">
        <v>2084</v>
      </c>
      <c r="F42" s="634" t="s">
        <v>2085</v>
      </c>
      <c r="G42" s="633" t="s">
        <v>1751</v>
      </c>
      <c r="H42" s="633" t="s">
        <v>1752</v>
      </c>
      <c r="I42" s="635">
        <v>61.53</v>
      </c>
      <c r="J42" s="635">
        <v>20</v>
      </c>
      <c r="K42" s="636">
        <v>1230.5</v>
      </c>
    </row>
    <row r="43" spans="1:11" ht="14.4" customHeight="1" x14ac:dyDescent="0.3">
      <c r="A43" s="631" t="s">
        <v>512</v>
      </c>
      <c r="B43" s="632" t="s">
        <v>1459</v>
      </c>
      <c r="C43" s="633" t="s">
        <v>517</v>
      </c>
      <c r="D43" s="634" t="s">
        <v>1460</v>
      </c>
      <c r="E43" s="633" t="s">
        <v>2084</v>
      </c>
      <c r="F43" s="634" t="s">
        <v>2085</v>
      </c>
      <c r="G43" s="633" t="s">
        <v>1753</v>
      </c>
      <c r="H43" s="633" t="s">
        <v>1754</v>
      </c>
      <c r="I43" s="635">
        <v>0.26</v>
      </c>
      <c r="J43" s="635">
        <v>300</v>
      </c>
      <c r="K43" s="636">
        <v>78</v>
      </c>
    </row>
    <row r="44" spans="1:11" ht="14.4" customHeight="1" x14ac:dyDescent="0.3">
      <c r="A44" s="631" t="s">
        <v>512</v>
      </c>
      <c r="B44" s="632" t="s">
        <v>1459</v>
      </c>
      <c r="C44" s="633" t="s">
        <v>517</v>
      </c>
      <c r="D44" s="634" t="s">
        <v>1460</v>
      </c>
      <c r="E44" s="633" t="s">
        <v>2084</v>
      </c>
      <c r="F44" s="634" t="s">
        <v>2085</v>
      </c>
      <c r="G44" s="633" t="s">
        <v>1755</v>
      </c>
      <c r="H44" s="633" t="s">
        <v>1756</v>
      </c>
      <c r="I44" s="635">
        <v>1</v>
      </c>
      <c r="J44" s="635">
        <v>200</v>
      </c>
      <c r="K44" s="636">
        <v>200</v>
      </c>
    </row>
    <row r="45" spans="1:11" ht="14.4" customHeight="1" x14ac:dyDescent="0.3">
      <c r="A45" s="631" t="s">
        <v>512</v>
      </c>
      <c r="B45" s="632" t="s">
        <v>1459</v>
      </c>
      <c r="C45" s="633" t="s">
        <v>517</v>
      </c>
      <c r="D45" s="634" t="s">
        <v>1460</v>
      </c>
      <c r="E45" s="633" t="s">
        <v>2084</v>
      </c>
      <c r="F45" s="634" t="s">
        <v>2085</v>
      </c>
      <c r="G45" s="633" t="s">
        <v>1757</v>
      </c>
      <c r="H45" s="633" t="s">
        <v>1758</v>
      </c>
      <c r="I45" s="635">
        <v>22.150000000000002</v>
      </c>
      <c r="J45" s="635">
        <v>300</v>
      </c>
      <c r="K45" s="636">
        <v>6645</v>
      </c>
    </row>
    <row r="46" spans="1:11" ht="14.4" customHeight="1" x14ac:dyDescent="0.3">
      <c r="A46" s="631" t="s">
        <v>512</v>
      </c>
      <c r="B46" s="632" t="s">
        <v>1459</v>
      </c>
      <c r="C46" s="633" t="s">
        <v>517</v>
      </c>
      <c r="D46" s="634" t="s">
        <v>1460</v>
      </c>
      <c r="E46" s="633" t="s">
        <v>2084</v>
      </c>
      <c r="F46" s="634" t="s">
        <v>2085</v>
      </c>
      <c r="G46" s="633" t="s">
        <v>1759</v>
      </c>
      <c r="H46" s="633" t="s">
        <v>1760</v>
      </c>
      <c r="I46" s="635">
        <v>30.18</v>
      </c>
      <c r="J46" s="635">
        <v>100</v>
      </c>
      <c r="K46" s="636">
        <v>3018</v>
      </c>
    </row>
    <row r="47" spans="1:11" ht="14.4" customHeight="1" x14ac:dyDescent="0.3">
      <c r="A47" s="631" t="s">
        <v>512</v>
      </c>
      <c r="B47" s="632" t="s">
        <v>1459</v>
      </c>
      <c r="C47" s="633" t="s">
        <v>517</v>
      </c>
      <c r="D47" s="634" t="s">
        <v>1460</v>
      </c>
      <c r="E47" s="633" t="s">
        <v>2084</v>
      </c>
      <c r="F47" s="634" t="s">
        <v>2085</v>
      </c>
      <c r="G47" s="633" t="s">
        <v>1761</v>
      </c>
      <c r="H47" s="633" t="s">
        <v>1762</v>
      </c>
      <c r="I47" s="635">
        <v>272.43</v>
      </c>
      <c r="J47" s="635">
        <v>6</v>
      </c>
      <c r="K47" s="636">
        <v>1634.6</v>
      </c>
    </row>
    <row r="48" spans="1:11" ht="14.4" customHeight="1" x14ac:dyDescent="0.3">
      <c r="A48" s="631" t="s">
        <v>512</v>
      </c>
      <c r="B48" s="632" t="s">
        <v>1459</v>
      </c>
      <c r="C48" s="633" t="s">
        <v>517</v>
      </c>
      <c r="D48" s="634" t="s">
        <v>1460</v>
      </c>
      <c r="E48" s="633" t="s">
        <v>2084</v>
      </c>
      <c r="F48" s="634" t="s">
        <v>2085</v>
      </c>
      <c r="G48" s="633" t="s">
        <v>1763</v>
      </c>
      <c r="H48" s="633" t="s">
        <v>1764</v>
      </c>
      <c r="I48" s="635">
        <v>1.252</v>
      </c>
      <c r="J48" s="635">
        <v>1375</v>
      </c>
      <c r="K48" s="636">
        <v>1724.2</v>
      </c>
    </row>
    <row r="49" spans="1:11" ht="14.4" customHeight="1" x14ac:dyDescent="0.3">
      <c r="A49" s="631" t="s">
        <v>512</v>
      </c>
      <c r="B49" s="632" t="s">
        <v>1459</v>
      </c>
      <c r="C49" s="633" t="s">
        <v>517</v>
      </c>
      <c r="D49" s="634" t="s">
        <v>1460</v>
      </c>
      <c r="E49" s="633" t="s">
        <v>2084</v>
      </c>
      <c r="F49" s="634" t="s">
        <v>2085</v>
      </c>
      <c r="G49" s="633" t="s">
        <v>1765</v>
      </c>
      <c r="H49" s="633" t="s">
        <v>1766</v>
      </c>
      <c r="I49" s="635">
        <v>12.42</v>
      </c>
      <c r="J49" s="635">
        <v>210</v>
      </c>
      <c r="K49" s="636">
        <v>2608.1999999999998</v>
      </c>
    </row>
    <row r="50" spans="1:11" ht="14.4" customHeight="1" x14ac:dyDescent="0.3">
      <c r="A50" s="631" t="s">
        <v>512</v>
      </c>
      <c r="B50" s="632" t="s">
        <v>1459</v>
      </c>
      <c r="C50" s="633" t="s">
        <v>517</v>
      </c>
      <c r="D50" s="634" t="s">
        <v>1460</v>
      </c>
      <c r="E50" s="633" t="s">
        <v>2084</v>
      </c>
      <c r="F50" s="634" t="s">
        <v>2085</v>
      </c>
      <c r="G50" s="633" t="s">
        <v>1767</v>
      </c>
      <c r="H50" s="633" t="s">
        <v>1768</v>
      </c>
      <c r="I50" s="635">
        <v>1.38</v>
      </c>
      <c r="J50" s="635">
        <v>300</v>
      </c>
      <c r="K50" s="636">
        <v>414</v>
      </c>
    </row>
    <row r="51" spans="1:11" ht="14.4" customHeight="1" x14ac:dyDescent="0.3">
      <c r="A51" s="631" t="s">
        <v>512</v>
      </c>
      <c r="B51" s="632" t="s">
        <v>1459</v>
      </c>
      <c r="C51" s="633" t="s">
        <v>517</v>
      </c>
      <c r="D51" s="634" t="s">
        <v>1460</v>
      </c>
      <c r="E51" s="633" t="s">
        <v>2084</v>
      </c>
      <c r="F51" s="634" t="s">
        <v>2085</v>
      </c>
      <c r="G51" s="633" t="s">
        <v>1769</v>
      </c>
      <c r="H51" s="633" t="s">
        <v>1770</v>
      </c>
      <c r="I51" s="635">
        <v>3.94</v>
      </c>
      <c r="J51" s="635">
        <v>1500</v>
      </c>
      <c r="K51" s="636">
        <v>5914.6</v>
      </c>
    </row>
    <row r="52" spans="1:11" ht="14.4" customHeight="1" x14ac:dyDescent="0.3">
      <c r="A52" s="631" t="s">
        <v>512</v>
      </c>
      <c r="B52" s="632" t="s">
        <v>1459</v>
      </c>
      <c r="C52" s="633" t="s">
        <v>517</v>
      </c>
      <c r="D52" s="634" t="s">
        <v>1460</v>
      </c>
      <c r="E52" s="633" t="s">
        <v>2084</v>
      </c>
      <c r="F52" s="634" t="s">
        <v>2085</v>
      </c>
      <c r="G52" s="633" t="s">
        <v>1771</v>
      </c>
      <c r="H52" s="633" t="s">
        <v>1772</v>
      </c>
      <c r="I52" s="635">
        <v>0.44</v>
      </c>
      <c r="J52" s="635">
        <v>3000</v>
      </c>
      <c r="K52" s="636">
        <v>1320</v>
      </c>
    </row>
    <row r="53" spans="1:11" ht="14.4" customHeight="1" x14ac:dyDescent="0.3">
      <c r="A53" s="631" t="s">
        <v>512</v>
      </c>
      <c r="B53" s="632" t="s">
        <v>1459</v>
      </c>
      <c r="C53" s="633" t="s">
        <v>517</v>
      </c>
      <c r="D53" s="634" t="s">
        <v>1460</v>
      </c>
      <c r="E53" s="633" t="s">
        <v>2084</v>
      </c>
      <c r="F53" s="634" t="s">
        <v>2085</v>
      </c>
      <c r="G53" s="633" t="s">
        <v>1773</v>
      </c>
      <c r="H53" s="633" t="s">
        <v>1774</v>
      </c>
      <c r="I53" s="635">
        <v>450</v>
      </c>
      <c r="J53" s="635">
        <v>2</v>
      </c>
      <c r="K53" s="636">
        <v>899.99</v>
      </c>
    </row>
    <row r="54" spans="1:11" ht="14.4" customHeight="1" x14ac:dyDescent="0.3">
      <c r="A54" s="631" t="s">
        <v>512</v>
      </c>
      <c r="B54" s="632" t="s">
        <v>1459</v>
      </c>
      <c r="C54" s="633" t="s">
        <v>517</v>
      </c>
      <c r="D54" s="634" t="s">
        <v>1460</v>
      </c>
      <c r="E54" s="633" t="s">
        <v>2084</v>
      </c>
      <c r="F54" s="634" t="s">
        <v>2085</v>
      </c>
      <c r="G54" s="633" t="s">
        <v>1775</v>
      </c>
      <c r="H54" s="633" t="s">
        <v>1776</v>
      </c>
      <c r="I54" s="635">
        <v>8.5766666666666662</v>
      </c>
      <c r="J54" s="635">
        <v>96</v>
      </c>
      <c r="K54" s="636">
        <v>823.2</v>
      </c>
    </row>
    <row r="55" spans="1:11" ht="14.4" customHeight="1" x14ac:dyDescent="0.3">
      <c r="A55" s="631" t="s">
        <v>512</v>
      </c>
      <c r="B55" s="632" t="s">
        <v>1459</v>
      </c>
      <c r="C55" s="633" t="s">
        <v>517</v>
      </c>
      <c r="D55" s="634" t="s">
        <v>1460</v>
      </c>
      <c r="E55" s="633" t="s">
        <v>2084</v>
      </c>
      <c r="F55" s="634" t="s">
        <v>2085</v>
      </c>
      <c r="G55" s="633" t="s">
        <v>1777</v>
      </c>
      <c r="H55" s="633" t="s">
        <v>1778</v>
      </c>
      <c r="I55" s="635">
        <v>13.02</v>
      </c>
      <c r="J55" s="635">
        <v>1</v>
      </c>
      <c r="K55" s="636">
        <v>13.02</v>
      </c>
    </row>
    <row r="56" spans="1:11" ht="14.4" customHeight="1" x14ac:dyDescent="0.3">
      <c r="A56" s="631" t="s">
        <v>512</v>
      </c>
      <c r="B56" s="632" t="s">
        <v>1459</v>
      </c>
      <c r="C56" s="633" t="s">
        <v>517</v>
      </c>
      <c r="D56" s="634" t="s">
        <v>1460</v>
      </c>
      <c r="E56" s="633" t="s">
        <v>2084</v>
      </c>
      <c r="F56" s="634" t="s">
        <v>2085</v>
      </c>
      <c r="G56" s="633" t="s">
        <v>1779</v>
      </c>
      <c r="H56" s="633" t="s">
        <v>1780</v>
      </c>
      <c r="I56" s="635">
        <v>27.936666666666667</v>
      </c>
      <c r="J56" s="635">
        <v>16</v>
      </c>
      <c r="K56" s="636">
        <v>446.97999999999996</v>
      </c>
    </row>
    <row r="57" spans="1:11" ht="14.4" customHeight="1" x14ac:dyDescent="0.3">
      <c r="A57" s="631" t="s">
        <v>512</v>
      </c>
      <c r="B57" s="632" t="s">
        <v>1459</v>
      </c>
      <c r="C57" s="633" t="s">
        <v>517</v>
      </c>
      <c r="D57" s="634" t="s">
        <v>1460</v>
      </c>
      <c r="E57" s="633" t="s">
        <v>2084</v>
      </c>
      <c r="F57" s="634" t="s">
        <v>2085</v>
      </c>
      <c r="G57" s="633" t="s">
        <v>1781</v>
      </c>
      <c r="H57" s="633" t="s">
        <v>1782</v>
      </c>
      <c r="I57" s="635">
        <v>1.236</v>
      </c>
      <c r="J57" s="635">
        <v>7000</v>
      </c>
      <c r="K57" s="636">
        <v>8743.1200000000008</v>
      </c>
    </row>
    <row r="58" spans="1:11" ht="14.4" customHeight="1" x14ac:dyDescent="0.3">
      <c r="A58" s="631" t="s">
        <v>512</v>
      </c>
      <c r="B58" s="632" t="s">
        <v>1459</v>
      </c>
      <c r="C58" s="633" t="s">
        <v>517</v>
      </c>
      <c r="D58" s="634" t="s">
        <v>1460</v>
      </c>
      <c r="E58" s="633" t="s">
        <v>2084</v>
      </c>
      <c r="F58" s="634" t="s">
        <v>2085</v>
      </c>
      <c r="G58" s="633" t="s">
        <v>1783</v>
      </c>
      <c r="H58" s="633" t="s">
        <v>1784</v>
      </c>
      <c r="I58" s="635">
        <v>9.99</v>
      </c>
      <c r="J58" s="635">
        <v>30</v>
      </c>
      <c r="K58" s="636">
        <v>299.58</v>
      </c>
    </row>
    <row r="59" spans="1:11" ht="14.4" customHeight="1" x14ac:dyDescent="0.3">
      <c r="A59" s="631" t="s">
        <v>512</v>
      </c>
      <c r="B59" s="632" t="s">
        <v>1459</v>
      </c>
      <c r="C59" s="633" t="s">
        <v>517</v>
      </c>
      <c r="D59" s="634" t="s">
        <v>1460</v>
      </c>
      <c r="E59" s="633" t="s">
        <v>2084</v>
      </c>
      <c r="F59" s="634" t="s">
        <v>2085</v>
      </c>
      <c r="G59" s="633" t="s">
        <v>1785</v>
      </c>
      <c r="H59" s="633" t="s">
        <v>1786</v>
      </c>
      <c r="I59" s="635">
        <v>46.123333333333335</v>
      </c>
      <c r="J59" s="635">
        <v>6</v>
      </c>
      <c r="K59" s="636">
        <v>276.75</v>
      </c>
    </row>
    <row r="60" spans="1:11" ht="14.4" customHeight="1" x14ac:dyDescent="0.3">
      <c r="A60" s="631" t="s">
        <v>512</v>
      </c>
      <c r="B60" s="632" t="s">
        <v>1459</v>
      </c>
      <c r="C60" s="633" t="s">
        <v>517</v>
      </c>
      <c r="D60" s="634" t="s">
        <v>1460</v>
      </c>
      <c r="E60" s="633" t="s">
        <v>2084</v>
      </c>
      <c r="F60" s="634" t="s">
        <v>2085</v>
      </c>
      <c r="G60" s="633" t="s">
        <v>1787</v>
      </c>
      <c r="H60" s="633" t="s">
        <v>1788</v>
      </c>
      <c r="I60" s="635">
        <v>105.59</v>
      </c>
      <c r="J60" s="635">
        <v>12</v>
      </c>
      <c r="K60" s="636">
        <v>1267.1199999999999</v>
      </c>
    </row>
    <row r="61" spans="1:11" ht="14.4" customHeight="1" x14ac:dyDescent="0.3">
      <c r="A61" s="631" t="s">
        <v>512</v>
      </c>
      <c r="B61" s="632" t="s">
        <v>1459</v>
      </c>
      <c r="C61" s="633" t="s">
        <v>517</v>
      </c>
      <c r="D61" s="634" t="s">
        <v>1460</v>
      </c>
      <c r="E61" s="633" t="s">
        <v>2084</v>
      </c>
      <c r="F61" s="634" t="s">
        <v>2085</v>
      </c>
      <c r="G61" s="633" t="s">
        <v>1789</v>
      </c>
      <c r="H61" s="633" t="s">
        <v>1790</v>
      </c>
      <c r="I61" s="635">
        <v>31.049999999999997</v>
      </c>
      <c r="J61" s="635">
        <v>20</v>
      </c>
      <c r="K61" s="636">
        <v>621</v>
      </c>
    </row>
    <row r="62" spans="1:11" ht="14.4" customHeight="1" x14ac:dyDescent="0.3">
      <c r="A62" s="631" t="s">
        <v>512</v>
      </c>
      <c r="B62" s="632" t="s">
        <v>1459</v>
      </c>
      <c r="C62" s="633" t="s">
        <v>517</v>
      </c>
      <c r="D62" s="634" t="s">
        <v>1460</v>
      </c>
      <c r="E62" s="633" t="s">
        <v>2084</v>
      </c>
      <c r="F62" s="634" t="s">
        <v>2085</v>
      </c>
      <c r="G62" s="633" t="s">
        <v>1791</v>
      </c>
      <c r="H62" s="633" t="s">
        <v>1792</v>
      </c>
      <c r="I62" s="635">
        <v>122.07</v>
      </c>
      <c r="J62" s="635">
        <v>10</v>
      </c>
      <c r="K62" s="636">
        <v>1220.73</v>
      </c>
    </row>
    <row r="63" spans="1:11" ht="14.4" customHeight="1" x14ac:dyDescent="0.3">
      <c r="A63" s="631" t="s">
        <v>512</v>
      </c>
      <c r="B63" s="632" t="s">
        <v>1459</v>
      </c>
      <c r="C63" s="633" t="s">
        <v>517</v>
      </c>
      <c r="D63" s="634" t="s">
        <v>1460</v>
      </c>
      <c r="E63" s="633" t="s">
        <v>2084</v>
      </c>
      <c r="F63" s="634" t="s">
        <v>2085</v>
      </c>
      <c r="G63" s="633" t="s">
        <v>1793</v>
      </c>
      <c r="H63" s="633" t="s">
        <v>1794</v>
      </c>
      <c r="I63" s="635">
        <v>7.4933333333333332</v>
      </c>
      <c r="J63" s="635">
        <v>64</v>
      </c>
      <c r="K63" s="636">
        <v>479.52</v>
      </c>
    </row>
    <row r="64" spans="1:11" ht="14.4" customHeight="1" x14ac:dyDescent="0.3">
      <c r="A64" s="631" t="s">
        <v>512</v>
      </c>
      <c r="B64" s="632" t="s">
        <v>1459</v>
      </c>
      <c r="C64" s="633" t="s">
        <v>517</v>
      </c>
      <c r="D64" s="634" t="s">
        <v>1460</v>
      </c>
      <c r="E64" s="633" t="s">
        <v>2084</v>
      </c>
      <c r="F64" s="634" t="s">
        <v>2085</v>
      </c>
      <c r="G64" s="633" t="s">
        <v>1685</v>
      </c>
      <c r="H64" s="633" t="s">
        <v>1686</v>
      </c>
      <c r="I64" s="635">
        <v>0.85749999999999993</v>
      </c>
      <c r="J64" s="635">
        <v>800</v>
      </c>
      <c r="K64" s="636">
        <v>686</v>
      </c>
    </row>
    <row r="65" spans="1:11" ht="14.4" customHeight="1" x14ac:dyDescent="0.3">
      <c r="A65" s="631" t="s">
        <v>512</v>
      </c>
      <c r="B65" s="632" t="s">
        <v>1459</v>
      </c>
      <c r="C65" s="633" t="s">
        <v>517</v>
      </c>
      <c r="D65" s="634" t="s">
        <v>1460</v>
      </c>
      <c r="E65" s="633" t="s">
        <v>2084</v>
      </c>
      <c r="F65" s="634" t="s">
        <v>2085</v>
      </c>
      <c r="G65" s="633" t="s">
        <v>1687</v>
      </c>
      <c r="H65" s="633" t="s">
        <v>1688</v>
      </c>
      <c r="I65" s="635">
        <v>1.52</v>
      </c>
      <c r="J65" s="635">
        <v>600</v>
      </c>
      <c r="K65" s="636">
        <v>912</v>
      </c>
    </row>
    <row r="66" spans="1:11" ht="14.4" customHeight="1" x14ac:dyDescent="0.3">
      <c r="A66" s="631" t="s">
        <v>512</v>
      </c>
      <c r="B66" s="632" t="s">
        <v>1459</v>
      </c>
      <c r="C66" s="633" t="s">
        <v>517</v>
      </c>
      <c r="D66" s="634" t="s">
        <v>1460</v>
      </c>
      <c r="E66" s="633" t="s">
        <v>2084</v>
      </c>
      <c r="F66" s="634" t="s">
        <v>2085</v>
      </c>
      <c r="G66" s="633" t="s">
        <v>1795</v>
      </c>
      <c r="H66" s="633" t="s">
        <v>1796</v>
      </c>
      <c r="I66" s="635">
        <v>2.06</v>
      </c>
      <c r="J66" s="635">
        <v>100</v>
      </c>
      <c r="K66" s="636">
        <v>206</v>
      </c>
    </row>
    <row r="67" spans="1:11" ht="14.4" customHeight="1" x14ac:dyDescent="0.3">
      <c r="A67" s="631" t="s">
        <v>512</v>
      </c>
      <c r="B67" s="632" t="s">
        <v>1459</v>
      </c>
      <c r="C67" s="633" t="s">
        <v>517</v>
      </c>
      <c r="D67" s="634" t="s">
        <v>1460</v>
      </c>
      <c r="E67" s="633" t="s">
        <v>2084</v>
      </c>
      <c r="F67" s="634" t="s">
        <v>2085</v>
      </c>
      <c r="G67" s="633" t="s">
        <v>1797</v>
      </c>
      <c r="H67" s="633" t="s">
        <v>1798</v>
      </c>
      <c r="I67" s="635">
        <v>3.36</v>
      </c>
      <c r="J67" s="635">
        <v>100</v>
      </c>
      <c r="K67" s="636">
        <v>336</v>
      </c>
    </row>
    <row r="68" spans="1:11" ht="14.4" customHeight="1" x14ac:dyDescent="0.3">
      <c r="A68" s="631" t="s">
        <v>512</v>
      </c>
      <c r="B68" s="632" t="s">
        <v>1459</v>
      </c>
      <c r="C68" s="633" t="s">
        <v>517</v>
      </c>
      <c r="D68" s="634" t="s">
        <v>1460</v>
      </c>
      <c r="E68" s="633" t="s">
        <v>2084</v>
      </c>
      <c r="F68" s="634" t="s">
        <v>2085</v>
      </c>
      <c r="G68" s="633" t="s">
        <v>1799</v>
      </c>
      <c r="H68" s="633" t="s">
        <v>1800</v>
      </c>
      <c r="I68" s="635">
        <v>1253.2</v>
      </c>
      <c r="J68" s="635">
        <v>5</v>
      </c>
      <c r="K68" s="636">
        <v>6266</v>
      </c>
    </row>
    <row r="69" spans="1:11" ht="14.4" customHeight="1" x14ac:dyDescent="0.3">
      <c r="A69" s="631" t="s">
        <v>512</v>
      </c>
      <c r="B69" s="632" t="s">
        <v>1459</v>
      </c>
      <c r="C69" s="633" t="s">
        <v>517</v>
      </c>
      <c r="D69" s="634" t="s">
        <v>1460</v>
      </c>
      <c r="E69" s="633" t="s">
        <v>2084</v>
      </c>
      <c r="F69" s="634" t="s">
        <v>2085</v>
      </c>
      <c r="G69" s="633" t="s">
        <v>1801</v>
      </c>
      <c r="H69" s="633" t="s">
        <v>1802</v>
      </c>
      <c r="I69" s="635">
        <v>243.58</v>
      </c>
      <c r="J69" s="635">
        <v>1</v>
      </c>
      <c r="K69" s="636">
        <v>243.58</v>
      </c>
    </row>
    <row r="70" spans="1:11" ht="14.4" customHeight="1" x14ac:dyDescent="0.3">
      <c r="A70" s="631" t="s">
        <v>512</v>
      </c>
      <c r="B70" s="632" t="s">
        <v>1459</v>
      </c>
      <c r="C70" s="633" t="s">
        <v>517</v>
      </c>
      <c r="D70" s="634" t="s">
        <v>1460</v>
      </c>
      <c r="E70" s="633" t="s">
        <v>2084</v>
      </c>
      <c r="F70" s="634" t="s">
        <v>2085</v>
      </c>
      <c r="G70" s="633" t="s">
        <v>1803</v>
      </c>
      <c r="H70" s="633" t="s">
        <v>1804</v>
      </c>
      <c r="I70" s="635">
        <v>2.92</v>
      </c>
      <c r="J70" s="635">
        <v>50</v>
      </c>
      <c r="K70" s="636">
        <v>146.11000000000001</v>
      </c>
    </row>
    <row r="71" spans="1:11" ht="14.4" customHeight="1" x14ac:dyDescent="0.3">
      <c r="A71" s="631" t="s">
        <v>512</v>
      </c>
      <c r="B71" s="632" t="s">
        <v>1459</v>
      </c>
      <c r="C71" s="633" t="s">
        <v>517</v>
      </c>
      <c r="D71" s="634" t="s">
        <v>1460</v>
      </c>
      <c r="E71" s="633" t="s">
        <v>2084</v>
      </c>
      <c r="F71" s="634" t="s">
        <v>2085</v>
      </c>
      <c r="G71" s="633" t="s">
        <v>1805</v>
      </c>
      <c r="H71" s="633" t="s">
        <v>1806</v>
      </c>
      <c r="I71" s="635">
        <v>0.16</v>
      </c>
      <c r="J71" s="635">
        <v>500</v>
      </c>
      <c r="K71" s="636">
        <v>80</v>
      </c>
    </row>
    <row r="72" spans="1:11" ht="14.4" customHeight="1" x14ac:dyDescent="0.3">
      <c r="A72" s="631" t="s">
        <v>512</v>
      </c>
      <c r="B72" s="632" t="s">
        <v>1459</v>
      </c>
      <c r="C72" s="633" t="s">
        <v>517</v>
      </c>
      <c r="D72" s="634" t="s">
        <v>1460</v>
      </c>
      <c r="E72" s="633" t="s">
        <v>2084</v>
      </c>
      <c r="F72" s="634" t="s">
        <v>2085</v>
      </c>
      <c r="G72" s="633" t="s">
        <v>1807</v>
      </c>
      <c r="H72" s="633" t="s">
        <v>1808</v>
      </c>
      <c r="I72" s="635">
        <v>170.63</v>
      </c>
      <c r="J72" s="635">
        <v>12</v>
      </c>
      <c r="K72" s="636">
        <v>2047.5</v>
      </c>
    </row>
    <row r="73" spans="1:11" ht="14.4" customHeight="1" x14ac:dyDescent="0.3">
      <c r="A73" s="631" t="s">
        <v>512</v>
      </c>
      <c r="B73" s="632" t="s">
        <v>1459</v>
      </c>
      <c r="C73" s="633" t="s">
        <v>517</v>
      </c>
      <c r="D73" s="634" t="s">
        <v>1460</v>
      </c>
      <c r="E73" s="633" t="s">
        <v>2084</v>
      </c>
      <c r="F73" s="634" t="s">
        <v>2085</v>
      </c>
      <c r="G73" s="633" t="s">
        <v>1809</v>
      </c>
      <c r="H73" s="633" t="s">
        <v>1810</v>
      </c>
      <c r="I73" s="635">
        <v>69</v>
      </c>
      <c r="J73" s="635">
        <v>30</v>
      </c>
      <c r="K73" s="636">
        <v>2070</v>
      </c>
    </row>
    <row r="74" spans="1:11" ht="14.4" customHeight="1" x14ac:dyDescent="0.3">
      <c r="A74" s="631" t="s">
        <v>512</v>
      </c>
      <c r="B74" s="632" t="s">
        <v>1459</v>
      </c>
      <c r="C74" s="633" t="s">
        <v>517</v>
      </c>
      <c r="D74" s="634" t="s">
        <v>1460</v>
      </c>
      <c r="E74" s="633" t="s">
        <v>2084</v>
      </c>
      <c r="F74" s="634" t="s">
        <v>2085</v>
      </c>
      <c r="G74" s="633" t="s">
        <v>1811</v>
      </c>
      <c r="H74" s="633" t="s">
        <v>1812</v>
      </c>
      <c r="I74" s="635">
        <v>5.27</v>
      </c>
      <c r="J74" s="635">
        <v>250</v>
      </c>
      <c r="K74" s="636">
        <v>1317.5</v>
      </c>
    </row>
    <row r="75" spans="1:11" ht="14.4" customHeight="1" x14ac:dyDescent="0.3">
      <c r="A75" s="631" t="s">
        <v>512</v>
      </c>
      <c r="B75" s="632" t="s">
        <v>1459</v>
      </c>
      <c r="C75" s="633" t="s">
        <v>517</v>
      </c>
      <c r="D75" s="634" t="s">
        <v>1460</v>
      </c>
      <c r="E75" s="633" t="s">
        <v>2084</v>
      </c>
      <c r="F75" s="634" t="s">
        <v>2085</v>
      </c>
      <c r="G75" s="633" t="s">
        <v>1813</v>
      </c>
      <c r="H75" s="633" t="s">
        <v>1814</v>
      </c>
      <c r="I75" s="635">
        <v>140.46</v>
      </c>
      <c r="J75" s="635">
        <v>1</v>
      </c>
      <c r="K75" s="636">
        <v>140.46</v>
      </c>
    </row>
    <row r="76" spans="1:11" ht="14.4" customHeight="1" x14ac:dyDescent="0.3">
      <c r="A76" s="631" t="s">
        <v>512</v>
      </c>
      <c r="B76" s="632" t="s">
        <v>1459</v>
      </c>
      <c r="C76" s="633" t="s">
        <v>517</v>
      </c>
      <c r="D76" s="634" t="s">
        <v>1460</v>
      </c>
      <c r="E76" s="633" t="s">
        <v>2084</v>
      </c>
      <c r="F76" s="634" t="s">
        <v>2085</v>
      </c>
      <c r="G76" s="633" t="s">
        <v>1815</v>
      </c>
      <c r="H76" s="633" t="s">
        <v>1816</v>
      </c>
      <c r="I76" s="635">
        <v>129.94999999999999</v>
      </c>
      <c r="J76" s="635">
        <v>50</v>
      </c>
      <c r="K76" s="636">
        <v>6497.5</v>
      </c>
    </row>
    <row r="77" spans="1:11" ht="14.4" customHeight="1" x14ac:dyDescent="0.3">
      <c r="A77" s="631" t="s">
        <v>512</v>
      </c>
      <c r="B77" s="632" t="s">
        <v>1459</v>
      </c>
      <c r="C77" s="633" t="s">
        <v>517</v>
      </c>
      <c r="D77" s="634" t="s">
        <v>1460</v>
      </c>
      <c r="E77" s="633" t="s">
        <v>2086</v>
      </c>
      <c r="F77" s="634" t="s">
        <v>2087</v>
      </c>
      <c r="G77" s="633" t="s">
        <v>1817</v>
      </c>
      <c r="H77" s="633" t="s">
        <v>1818</v>
      </c>
      <c r="I77" s="635">
        <v>268.62</v>
      </c>
      <c r="J77" s="635">
        <v>120</v>
      </c>
      <c r="K77" s="636">
        <v>32234.400000000001</v>
      </c>
    </row>
    <row r="78" spans="1:11" ht="14.4" customHeight="1" x14ac:dyDescent="0.3">
      <c r="A78" s="631" t="s">
        <v>512</v>
      </c>
      <c r="B78" s="632" t="s">
        <v>1459</v>
      </c>
      <c r="C78" s="633" t="s">
        <v>517</v>
      </c>
      <c r="D78" s="634" t="s">
        <v>1460</v>
      </c>
      <c r="E78" s="633" t="s">
        <v>2086</v>
      </c>
      <c r="F78" s="634" t="s">
        <v>2087</v>
      </c>
      <c r="G78" s="633" t="s">
        <v>1819</v>
      </c>
      <c r="H78" s="633" t="s">
        <v>1820</v>
      </c>
      <c r="I78" s="635">
        <v>58.38</v>
      </c>
      <c r="J78" s="635">
        <v>50</v>
      </c>
      <c r="K78" s="636">
        <v>2919</v>
      </c>
    </row>
    <row r="79" spans="1:11" ht="14.4" customHeight="1" x14ac:dyDescent="0.3">
      <c r="A79" s="631" t="s">
        <v>512</v>
      </c>
      <c r="B79" s="632" t="s">
        <v>1459</v>
      </c>
      <c r="C79" s="633" t="s">
        <v>517</v>
      </c>
      <c r="D79" s="634" t="s">
        <v>1460</v>
      </c>
      <c r="E79" s="633" t="s">
        <v>2086</v>
      </c>
      <c r="F79" s="634" t="s">
        <v>2087</v>
      </c>
      <c r="G79" s="633" t="s">
        <v>1821</v>
      </c>
      <c r="H79" s="633" t="s">
        <v>1822</v>
      </c>
      <c r="I79" s="635">
        <v>5.2024999999999997</v>
      </c>
      <c r="J79" s="635">
        <v>2400</v>
      </c>
      <c r="K79" s="636">
        <v>12484</v>
      </c>
    </row>
    <row r="80" spans="1:11" ht="14.4" customHeight="1" x14ac:dyDescent="0.3">
      <c r="A80" s="631" t="s">
        <v>512</v>
      </c>
      <c r="B80" s="632" t="s">
        <v>1459</v>
      </c>
      <c r="C80" s="633" t="s">
        <v>517</v>
      </c>
      <c r="D80" s="634" t="s">
        <v>1460</v>
      </c>
      <c r="E80" s="633" t="s">
        <v>2086</v>
      </c>
      <c r="F80" s="634" t="s">
        <v>2087</v>
      </c>
      <c r="G80" s="633" t="s">
        <v>1823</v>
      </c>
      <c r="H80" s="633" t="s">
        <v>1824</v>
      </c>
      <c r="I80" s="635">
        <v>37.51</v>
      </c>
      <c r="J80" s="635">
        <v>600</v>
      </c>
      <c r="K80" s="636">
        <v>22506</v>
      </c>
    </row>
    <row r="81" spans="1:11" ht="14.4" customHeight="1" x14ac:dyDescent="0.3">
      <c r="A81" s="631" t="s">
        <v>512</v>
      </c>
      <c r="B81" s="632" t="s">
        <v>1459</v>
      </c>
      <c r="C81" s="633" t="s">
        <v>517</v>
      </c>
      <c r="D81" s="634" t="s">
        <v>1460</v>
      </c>
      <c r="E81" s="633" t="s">
        <v>2086</v>
      </c>
      <c r="F81" s="634" t="s">
        <v>2087</v>
      </c>
      <c r="G81" s="633" t="s">
        <v>1825</v>
      </c>
      <c r="H81" s="633" t="s">
        <v>1826</v>
      </c>
      <c r="I81" s="635">
        <v>0.22</v>
      </c>
      <c r="J81" s="635">
        <v>100</v>
      </c>
      <c r="K81" s="636">
        <v>22</v>
      </c>
    </row>
    <row r="82" spans="1:11" ht="14.4" customHeight="1" x14ac:dyDescent="0.3">
      <c r="A82" s="631" t="s">
        <v>512</v>
      </c>
      <c r="B82" s="632" t="s">
        <v>1459</v>
      </c>
      <c r="C82" s="633" t="s">
        <v>517</v>
      </c>
      <c r="D82" s="634" t="s">
        <v>1460</v>
      </c>
      <c r="E82" s="633" t="s">
        <v>2086</v>
      </c>
      <c r="F82" s="634" t="s">
        <v>2087</v>
      </c>
      <c r="G82" s="633" t="s">
        <v>1827</v>
      </c>
      <c r="H82" s="633" t="s">
        <v>1828</v>
      </c>
      <c r="I82" s="635">
        <v>11.143333333333333</v>
      </c>
      <c r="J82" s="635">
        <v>1200</v>
      </c>
      <c r="K82" s="636">
        <v>13373</v>
      </c>
    </row>
    <row r="83" spans="1:11" ht="14.4" customHeight="1" x14ac:dyDescent="0.3">
      <c r="A83" s="631" t="s">
        <v>512</v>
      </c>
      <c r="B83" s="632" t="s">
        <v>1459</v>
      </c>
      <c r="C83" s="633" t="s">
        <v>517</v>
      </c>
      <c r="D83" s="634" t="s">
        <v>1460</v>
      </c>
      <c r="E83" s="633" t="s">
        <v>2086</v>
      </c>
      <c r="F83" s="634" t="s">
        <v>2087</v>
      </c>
      <c r="G83" s="633" t="s">
        <v>1829</v>
      </c>
      <c r="H83" s="633" t="s">
        <v>1830</v>
      </c>
      <c r="I83" s="635">
        <v>16.29</v>
      </c>
      <c r="J83" s="635">
        <v>3</v>
      </c>
      <c r="K83" s="636">
        <v>48.87</v>
      </c>
    </row>
    <row r="84" spans="1:11" ht="14.4" customHeight="1" x14ac:dyDescent="0.3">
      <c r="A84" s="631" t="s">
        <v>512</v>
      </c>
      <c r="B84" s="632" t="s">
        <v>1459</v>
      </c>
      <c r="C84" s="633" t="s">
        <v>517</v>
      </c>
      <c r="D84" s="634" t="s">
        <v>1460</v>
      </c>
      <c r="E84" s="633" t="s">
        <v>2086</v>
      </c>
      <c r="F84" s="634" t="s">
        <v>2087</v>
      </c>
      <c r="G84" s="633" t="s">
        <v>1831</v>
      </c>
      <c r="H84" s="633" t="s">
        <v>1832</v>
      </c>
      <c r="I84" s="635">
        <v>33.983333333333334</v>
      </c>
      <c r="J84" s="635">
        <v>11</v>
      </c>
      <c r="K84" s="636">
        <v>382.73</v>
      </c>
    </row>
    <row r="85" spans="1:11" ht="14.4" customHeight="1" x14ac:dyDescent="0.3">
      <c r="A85" s="631" t="s">
        <v>512</v>
      </c>
      <c r="B85" s="632" t="s">
        <v>1459</v>
      </c>
      <c r="C85" s="633" t="s">
        <v>517</v>
      </c>
      <c r="D85" s="634" t="s">
        <v>1460</v>
      </c>
      <c r="E85" s="633" t="s">
        <v>2086</v>
      </c>
      <c r="F85" s="634" t="s">
        <v>2087</v>
      </c>
      <c r="G85" s="633" t="s">
        <v>1693</v>
      </c>
      <c r="H85" s="633" t="s">
        <v>1694</v>
      </c>
      <c r="I85" s="635">
        <v>0.93399999999999994</v>
      </c>
      <c r="J85" s="635">
        <v>7500</v>
      </c>
      <c r="K85" s="636">
        <v>7001.24</v>
      </c>
    </row>
    <row r="86" spans="1:11" ht="14.4" customHeight="1" x14ac:dyDescent="0.3">
      <c r="A86" s="631" t="s">
        <v>512</v>
      </c>
      <c r="B86" s="632" t="s">
        <v>1459</v>
      </c>
      <c r="C86" s="633" t="s">
        <v>517</v>
      </c>
      <c r="D86" s="634" t="s">
        <v>1460</v>
      </c>
      <c r="E86" s="633" t="s">
        <v>2086</v>
      </c>
      <c r="F86" s="634" t="s">
        <v>2087</v>
      </c>
      <c r="G86" s="633" t="s">
        <v>1695</v>
      </c>
      <c r="H86" s="633" t="s">
        <v>1696</v>
      </c>
      <c r="I86" s="635">
        <v>1.4350000000000001</v>
      </c>
      <c r="J86" s="635">
        <v>6600</v>
      </c>
      <c r="K86" s="636">
        <v>9468</v>
      </c>
    </row>
    <row r="87" spans="1:11" ht="14.4" customHeight="1" x14ac:dyDescent="0.3">
      <c r="A87" s="631" t="s">
        <v>512</v>
      </c>
      <c r="B87" s="632" t="s">
        <v>1459</v>
      </c>
      <c r="C87" s="633" t="s">
        <v>517</v>
      </c>
      <c r="D87" s="634" t="s">
        <v>1460</v>
      </c>
      <c r="E87" s="633" t="s">
        <v>2086</v>
      </c>
      <c r="F87" s="634" t="s">
        <v>2087</v>
      </c>
      <c r="G87" s="633" t="s">
        <v>1833</v>
      </c>
      <c r="H87" s="633" t="s">
        <v>1834</v>
      </c>
      <c r="I87" s="635">
        <v>0.41749999999999998</v>
      </c>
      <c r="J87" s="635">
        <v>4000</v>
      </c>
      <c r="K87" s="636">
        <v>1670</v>
      </c>
    </row>
    <row r="88" spans="1:11" ht="14.4" customHeight="1" x14ac:dyDescent="0.3">
      <c r="A88" s="631" t="s">
        <v>512</v>
      </c>
      <c r="B88" s="632" t="s">
        <v>1459</v>
      </c>
      <c r="C88" s="633" t="s">
        <v>517</v>
      </c>
      <c r="D88" s="634" t="s">
        <v>1460</v>
      </c>
      <c r="E88" s="633" t="s">
        <v>2086</v>
      </c>
      <c r="F88" s="634" t="s">
        <v>2087</v>
      </c>
      <c r="G88" s="633" t="s">
        <v>1835</v>
      </c>
      <c r="H88" s="633" t="s">
        <v>1836</v>
      </c>
      <c r="I88" s="635">
        <v>0.57999999999999996</v>
      </c>
      <c r="J88" s="635">
        <v>1500</v>
      </c>
      <c r="K88" s="636">
        <v>870</v>
      </c>
    </row>
    <row r="89" spans="1:11" ht="14.4" customHeight="1" x14ac:dyDescent="0.3">
      <c r="A89" s="631" t="s">
        <v>512</v>
      </c>
      <c r="B89" s="632" t="s">
        <v>1459</v>
      </c>
      <c r="C89" s="633" t="s">
        <v>517</v>
      </c>
      <c r="D89" s="634" t="s">
        <v>1460</v>
      </c>
      <c r="E89" s="633" t="s">
        <v>2086</v>
      </c>
      <c r="F89" s="634" t="s">
        <v>2087</v>
      </c>
      <c r="G89" s="633" t="s">
        <v>1837</v>
      </c>
      <c r="H89" s="633" t="s">
        <v>1838</v>
      </c>
      <c r="I89" s="635">
        <v>3.1349999999999998</v>
      </c>
      <c r="J89" s="635">
        <v>700</v>
      </c>
      <c r="K89" s="636">
        <v>2194</v>
      </c>
    </row>
    <row r="90" spans="1:11" ht="14.4" customHeight="1" x14ac:dyDescent="0.3">
      <c r="A90" s="631" t="s">
        <v>512</v>
      </c>
      <c r="B90" s="632" t="s">
        <v>1459</v>
      </c>
      <c r="C90" s="633" t="s">
        <v>517</v>
      </c>
      <c r="D90" s="634" t="s">
        <v>1460</v>
      </c>
      <c r="E90" s="633" t="s">
        <v>2086</v>
      </c>
      <c r="F90" s="634" t="s">
        <v>2087</v>
      </c>
      <c r="G90" s="633" t="s">
        <v>1839</v>
      </c>
      <c r="H90" s="633" t="s">
        <v>1840</v>
      </c>
      <c r="I90" s="635">
        <v>6.19</v>
      </c>
      <c r="J90" s="635">
        <v>10</v>
      </c>
      <c r="K90" s="636">
        <v>61.9</v>
      </c>
    </row>
    <row r="91" spans="1:11" ht="14.4" customHeight="1" x14ac:dyDescent="0.3">
      <c r="A91" s="631" t="s">
        <v>512</v>
      </c>
      <c r="B91" s="632" t="s">
        <v>1459</v>
      </c>
      <c r="C91" s="633" t="s">
        <v>517</v>
      </c>
      <c r="D91" s="634" t="s">
        <v>1460</v>
      </c>
      <c r="E91" s="633" t="s">
        <v>2086</v>
      </c>
      <c r="F91" s="634" t="s">
        <v>2087</v>
      </c>
      <c r="G91" s="633" t="s">
        <v>1841</v>
      </c>
      <c r="H91" s="633" t="s">
        <v>1842</v>
      </c>
      <c r="I91" s="635">
        <v>23.35</v>
      </c>
      <c r="J91" s="635">
        <v>80</v>
      </c>
      <c r="K91" s="636">
        <v>1868.24</v>
      </c>
    </row>
    <row r="92" spans="1:11" ht="14.4" customHeight="1" x14ac:dyDescent="0.3">
      <c r="A92" s="631" t="s">
        <v>512</v>
      </c>
      <c r="B92" s="632" t="s">
        <v>1459</v>
      </c>
      <c r="C92" s="633" t="s">
        <v>517</v>
      </c>
      <c r="D92" s="634" t="s">
        <v>1460</v>
      </c>
      <c r="E92" s="633" t="s">
        <v>2086</v>
      </c>
      <c r="F92" s="634" t="s">
        <v>2087</v>
      </c>
      <c r="G92" s="633" t="s">
        <v>1843</v>
      </c>
      <c r="H92" s="633" t="s">
        <v>1844</v>
      </c>
      <c r="I92" s="635">
        <v>6.3</v>
      </c>
      <c r="J92" s="635">
        <v>10</v>
      </c>
      <c r="K92" s="636">
        <v>63</v>
      </c>
    </row>
    <row r="93" spans="1:11" ht="14.4" customHeight="1" x14ac:dyDescent="0.3">
      <c r="A93" s="631" t="s">
        <v>512</v>
      </c>
      <c r="B93" s="632" t="s">
        <v>1459</v>
      </c>
      <c r="C93" s="633" t="s">
        <v>517</v>
      </c>
      <c r="D93" s="634" t="s">
        <v>1460</v>
      </c>
      <c r="E93" s="633" t="s">
        <v>2086</v>
      </c>
      <c r="F93" s="634" t="s">
        <v>2087</v>
      </c>
      <c r="G93" s="633" t="s">
        <v>1845</v>
      </c>
      <c r="H93" s="633" t="s">
        <v>1846</v>
      </c>
      <c r="I93" s="635">
        <v>6.29</v>
      </c>
      <c r="J93" s="635">
        <v>10</v>
      </c>
      <c r="K93" s="636">
        <v>62.9</v>
      </c>
    </row>
    <row r="94" spans="1:11" ht="14.4" customHeight="1" x14ac:dyDescent="0.3">
      <c r="A94" s="631" t="s">
        <v>512</v>
      </c>
      <c r="B94" s="632" t="s">
        <v>1459</v>
      </c>
      <c r="C94" s="633" t="s">
        <v>517</v>
      </c>
      <c r="D94" s="634" t="s">
        <v>1460</v>
      </c>
      <c r="E94" s="633" t="s">
        <v>2086</v>
      </c>
      <c r="F94" s="634" t="s">
        <v>2087</v>
      </c>
      <c r="G94" s="633" t="s">
        <v>1847</v>
      </c>
      <c r="H94" s="633" t="s">
        <v>1848</v>
      </c>
      <c r="I94" s="635">
        <v>6.1050000000000004</v>
      </c>
      <c r="J94" s="635">
        <v>250</v>
      </c>
      <c r="K94" s="636">
        <v>1529.5</v>
      </c>
    </row>
    <row r="95" spans="1:11" ht="14.4" customHeight="1" x14ac:dyDescent="0.3">
      <c r="A95" s="631" t="s">
        <v>512</v>
      </c>
      <c r="B95" s="632" t="s">
        <v>1459</v>
      </c>
      <c r="C95" s="633" t="s">
        <v>517</v>
      </c>
      <c r="D95" s="634" t="s">
        <v>1460</v>
      </c>
      <c r="E95" s="633" t="s">
        <v>2086</v>
      </c>
      <c r="F95" s="634" t="s">
        <v>2087</v>
      </c>
      <c r="G95" s="633" t="s">
        <v>1849</v>
      </c>
      <c r="H95" s="633" t="s">
        <v>1850</v>
      </c>
      <c r="I95" s="635">
        <v>203.76</v>
      </c>
      <c r="J95" s="635">
        <v>30</v>
      </c>
      <c r="K95" s="636">
        <v>6112.8</v>
      </c>
    </row>
    <row r="96" spans="1:11" ht="14.4" customHeight="1" x14ac:dyDescent="0.3">
      <c r="A96" s="631" t="s">
        <v>512</v>
      </c>
      <c r="B96" s="632" t="s">
        <v>1459</v>
      </c>
      <c r="C96" s="633" t="s">
        <v>517</v>
      </c>
      <c r="D96" s="634" t="s">
        <v>1460</v>
      </c>
      <c r="E96" s="633" t="s">
        <v>2086</v>
      </c>
      <c r="F96" s="634" t="s">
        <v>2087</v>
      </c>
      <c r="G96" s="633" t="s">
        <v>1851</v>
      </c>
      <c r="H96" s="633" t="s">
        <v>1852</v>
      </c>
      <c r="I96" s="635">
        <v>80.573999999999984</v>
      </c>
      <c r="J96" s="635">
        <v>240</v>
      </c>
      <c r="K96" s="636">
        <v>19337.8</v>
      </c>
    </row>
    <row r="97" spans="1:11" ht="14.4" customHeight="1" x14ac:dyDescent="0.3">
      <c r="A97" s="631" t="s">
        <v>512</v>
      </c>
      <c r="B97" s="632" t="s">
        <v>1459</v>
      </c>
      <c r="C97" s="633" t="s">
        <v>517</v>
      </c>
      <c r="D97" s="634" t="s">
        <v>1460</v>
      </c>
      <c r="E97" s="633" t="s">
        <v>2086</v>
      </c>
      <c r="F97" s="634" t="s">
        <v>2087</v>
      </c>
      <c r="G97" s="633" t="s">
        <v>1853</v>
      </c>
      <c r="H97" s="633" t="s">
        <v>1854</v>
      </c>
      <c r="I97" s="635">
        <v>5.5666666666666664</v>
      </c>
      <c r="J97" s="635">
        <v>600</v>
      </c>
      <c r="K97" s="636">
        <v>3340</v>
      </c>
    </row>
    <row r="98" spans="1:11" ht="14.4" customHeight="1" x14ac:dyDescent="0.3">
      <c r="A98" s="631" t="s">
        <v>512</v>
      </c>
      <c r="B98" s="632" t="s">
        <v>1459</v>
      </c>
      <c r="C98" s="633" t="s">
        <v>517</v>
      </c>
      <c r="D98" s="634" t="s">
        <v>1460</v>
      </c>
      <c r="E98" s="633" t="s">
        <v>2086</v>
      </c>
      <c r="F98" s="634" t="s">
        <v>2087</v>
      </c>
      <c r="G98" s="633" t="s">
        <v>1855</v>
      </c>
      <c r="H98" s="633" t="s">
        <v>1856</v>
      </c>
      <c r="I98" s="635">
        <v>102.84999999999998</v>
      </c>
      <c r="J98" s="635">
        <v>40</v>
      </c>
      <c r="K98" s="636">
        <v>4114</v>
      </c>
    </row>
    <row r="99" spans="1:11" ht="14.4" customHeight="1" x14ac:dyDescent="0.3">
      <c r="A99" s="631" t="s">
        <v>512</v>
      </c>
      <c r="B99" s="632" t="s">
        <v>1459</v>
      </c>
      <c r="C99" s="633" t="s">
        <v>517</v>
      </c>
      <c r="D99" s="634" t="s">
        <v>1460</v>
      </c>
      <c r="E99" s="633" t="s">
        <v>2086</v>
      </c>
      <c r="F99" s="634" t="s">
        <v>2087</v>
      </c>
      <c r="G99" s="633" t="s">
        <v>1857</v>
      </c>
      <c r="H99" s="633" t="s">
        <v>1858</v>
      </c>
      <c r="I99" s="635">
        <v>108.875</v>
      </c>
      <c r="J99" s="635">
        <v>20</v>
      </c>
      <c r="K99" s="636">
        <v>2177.5</v>
      </c>
    </row>
    <row r="100" spans="1:11" ht="14.4" customHeight="1" x14ac:dyDescent="0.3">
      <c r="A100" s="631" t="s">
        <v>512</v>
      </c>
      <c r="B100" s="632" t="s">
        <v>1459</v>
      </c>
      <c r="C100" s="633" t="s">
        <v>517</v>
      </c>
      <c r="D100" s="634" t="s">
        <v>1460</v>
      </c>
      <c r="E100" s="633" t="s">
        <v>2086</v>
      </c>
      <c r="F100" s="634" t="s">
        <v>2087</v>
      </c>
      <c r="G100" s="633" t="s">
        <v>1859</v>
      </c>
      <c r="H100" s="633" t="s">
        <v>1860</v>
      </c>
      <c r="I100" s="635">
        <v>195.14</v>
      </c>
      <c r="J100" s="635">
        <v>5</v>
      </c>
      <c r="K100" s="636">
        <v>975.7</v>
      </c>
    </row>
    <row r="101" spans="1:11" ht="14.4" customHeight="1" x14ac:dyDescent="0.3">
      <c r="A101" s="631" t="s">
        <v>512</v>
      </c>
      <c r="B101" s="632" t="s">
        <v>1459</v>
      </c>
      <c r="C101" s="633" t="s">
        <v>517</v>
      </c>
      <c r="D101" s="634" t="s">
        <v>1460</v>
      </c>
      <c r="E101" s="633" t="s">
        <v>2086</v>
      </c>
      <c r="F101" s="634" t="s">
        <v>2087</v>
      </c>
      <c r="G101" s="633" t="s">
        <v>1861</v>
      </c>
      <c r="H101" s="633" t="s">
        <v>1862</v>
      </c>
      <c r="I101" s="635">
        <v>167.19</v>
      </c>
      <c r="J101" s="635">
        <v>12</v>
      </c>
      <c r="K101" s="636">
        <v>2006.28</v>
      </c>
    </row>
    <row r="102" spans="1:11" ht="14.4" customHeight="1" x14ac:dyDescent="0.3">
      <c r="A102" s="631" t="s">
        <v>512</v>
      </c>
      <c r="B102" s="632" t="s">
        <v>1459</v>
      </c>
      <c r="C102" s="633" t="s">
        <v>517</v>
      </c>
      <c r="D102" s="634" t="s">
        <v>1460</v>
      </c>
      <c r="E102" s="633" t="s">
        <v>2086</v>
      </c>
      <c r="F102" s="634" t="s">
        <v>2087</v>
      </c>
      <c r="G102" s="633" t="s">
        <v>1863</v>
      </c>
      <c r="H102" s="633" t="s">
        <v>1864</v>
      </c>
      <c r="I102" s="635">
        <v>22.19</v>
      </c>
      <c r="J102" s="635">
        <v>50</v>
      </c>
      <c r="K102" s="636">
        <v>1109.5</v>
      </c>
    </row>
    <row r="103" spans="1:11" ht="14.4" customHeight="1" x14ac:dyDescent="0.3">
      <c r="A103" s="631" t="s">
        <v>512</v>
      </c>
      <c r="B103" s="632" t="s">
        <v>1459</v>
      </c>
      <c r="C103" s="633" t="s">
        <v>517</v>
      </c>
      <c r="D103" s="634" t="s">
        <v>1460</v>
      </c>
      <c r="E103" s="633" t="s">
        <v>2086</v>
      </c>
      <c r="F103" s="634" t="s">
        <v>2087</v>
      </c>
      <c r="G103" s="633" t="s">
        <v>1865</v>
      </c>
      <c r="H103" s="633" t="s">
        <v>1866</v>
      </c>
      <c r="I103" s="635">
        <v>8.9600000000000009</v>
      </c>
      <c r="J103" s="635">
        <v>10</v>
      </c>
      <c r="K103" s="636">
        <v>89.6</v>
      </c>
    </row>
    <row r="104" spans="1:11" ht="14.4" customHeight="1" x14ac:dyDescent="0.3">
      <c r="A104" s="631" t="s">
        <v>512</v>
      </c>
      <c r="B104" s="632" t="s">
        <v>1459</v>
      </c>
      <c r="C104" s="633" t="s">
        <v>517</v>
      </c>
      <c r="D104" s="634" t="s">
        <v>1460</v>
      </c>
      <c r="E104" s="633" t="s">
        <v>2086</v>
      </c>
      <c r="F104" s="634" t="s">
        <v>2087</v>
      </c>
      <c r="G104" s="633" t="s">
        <v>1867</v>
      </c>
      <c r="H104" s="633" t="s">
        <v>1868</v>
      </c>
      <c r="I104" s="635">
        <v>1.8</v>
      </c>
      <c r="J104" s="635">
        <v>10</v>
      </c>
      <c r="K104" s="636">
        <v>18</v>
      </c>
    </row>
    <row r="105" spans="1:11" ht="14.4" customHeight="1" x14ac:dyDescent="0.3">
      <c r="A105" s="631" t="s">
        <v>512</v>
      </c>
      <c r="B105" s="632" t="s">
        <v>1459</v>
      </c>
      <c r="C105" s="633" t="s">
        <v>517</v>
      </c>
      <c r="D105" s="634" t="s">
        <v>1460</v>
      </c>
      <c r="E105" s="633" t="s">
        <v>2086</v>
      </c>
      <c r="F105" s="634" t="s">
        <v>2087</v>
      </c>
      <c r="G105" s="633" t="s">
        <v>1869</v>
      </c>
      <c r="H105" s="633" t="s">
        <v>1870</v>
      </c>
      <c r="I105" s="635">
        <v>23.475000000000001</v>
      </c>
      <c r="J105" s="635">
        <v>180</v>
      </c>
      <c r="K105" s="636">
        <v>4225.8</v>
      </c>
    </row>
    <row r="106" spans="1:11" ht="14.4" customHeight="1" x14ac:dyDescent="0.3">
      <c r="A106" s="631" t="s">
        <v>512</v>
      </c>
      <c r="B106" s="632" t="s">
        <v>1459</v>
      </c>
      <c r="C106" s="633" t="s">
        <v>517</v>
      </c>
      <c r="D106" s="634" t="s">
        <v>1460</v>
      </c>
      <c r="E106" s="633" t="s">
        <v>2086</v>
      </c>
      <c r="F106" s="634" t="s">
        <v>2087</v>
      </c>
      <c r="G106" s="633" t="s">
        <v>1871</v>
      </c>
      <c r="H106" s="633" t="s">
        <v>1872</v>
      </c>
      <c r="I106" s="635">
        <v>1.8</v>
      </c>
      <c r="J106" s="635">
        <v>50</v>
      </c>
      <c r="K106" s="636">
        <v>90</v>
      </c>
    </row>
    <row r="107" spans="1:11" ht="14.4" customHeight="1" x14ac:dyDescent="0.3">
      <c r="A107" s="631" t="s">
        <v>512</v>
      </c>
      <c r="B107" s="632" t="s">
        <v>1459</v>
      </c>
      <c r="C107" s="633" t="s">
        <v>517</v>
      </c>
      <c r="D107" s="634" t="s">
        <v>1460</v>
      </c>
      <c r="E107" s="633" t="s">
        <v>2086</v>
      </c>
      <c r="F107" s="634" t="s">
        <v>2087</v>
      </c>
      <c r="G107" s="633" t="s">
        <v>1873</v>
      </c>
      <c r="H107" s="633" t="s">
        <v>1874</v>
      </c>
      <c r="I107" s="635">
        <v>1.7760000000000002</v>
      </c>
      <c r="J107" s="635">
        <v>1500</v>
      </c>
      <c r="K107" s="636">
        <v>2664</v>
      </c>
    </row>
    <row r="108" spans="1:11" ht="14.4" customHeight="1" x14ac:dyDescent="0.3">
      <c r="A108" s="631" t="s">
        <v>512</v>
      </c>
      <c r="B108" s="632" t="s">
        <v>1459</v>
      </c>
      <c r="C108" s="633" t="s">
        <v>517</v>
      </c>
      <c r="D108" s="634" t="s">
        <v>1460</v>
      </c>
      <c r="E108" s="633" t="s">
        <v>2086</v>
      </c>
      <c r="F108" s="634" t="s">
        <v>2087</v>
      </c>
      <c r="G108" s="633" t="s">
        <v>1875</v>
      </c>
      <c r="H108" s="633" t="s">
        <v>1876</v>
      </c>
      <c r="I108" s="635">
        <v>1.76</v>
      </c>
      <c r="J108" s="635">
        <v>100</v>
      </c>
      <c r="K108" s="636">
        <v>176</v>
      </c>
    </row>
    <row r="109" spans="1:11" ht="14.4" customHeight="1" x14ac:dyDescent="0.3">
      <c r="A109" s="631" t="s">
        <v>512</v>
      </c>
      <c r="B109" s="632" t="s">
        <v>1459</v>
      </c>
      <c r="C109" s="633" t="s">
        <v>517</v>
      </c>
      <c r="D109" s="634" t="s">
        <v>1460</v>
      </c>
      <c r="E109" s="633" t="s">
        <v>2086</v>
      </c>
      <c r="F109" s="634" t="s">
        <v>2087</v>
      </c>
      <c r="G109" s="633" t="s">
        <v>1877</v>
      </c>
      <c r="H109" s="633" t="s">
        <v>1878</v>
      </c>
      <c r="I109" s="635">
        <v>2.8275000000000001</v>
      </c>
      <c r="J109" s="635">
        <v>600</v>
      </c>
      <c r="K109" s="636">
        <v>1692</v>
      </c>
    </row>
    <row r="110" spans="1:11" ht="14.4" customHeight="1" x14ac:dyDescent="0.3">
      <c r="A110" s="631" t="s">
        <v>512</v>
      </c>
      <c r="B110" s="632" t="s">
        <v>1459</v>
      </c>
      <c r="C110" s="633" t="s">
        <v>517</v>
      </c>
      <c r="D110" s="634" t="s">
        <v>1460</v>
      </c>
      <c r="E110" s="633" t="s">
        <v>2086</v>
      </c>
      <c r="F110" s="634" t="s">
        <v>2087</v>
      </c>
      <c r="G110" s="633" t="s">
        <v>1879</v>
      </c>
      <c r="H110" s="633" t="s">
        <v>1880</v>
      </c>
      <c r="I110" s="635">
        <v>1.7650000000000001</v>
      </c>
      <c r="J110" s="635">
        <v>150</v>
      </c>
      <c r="K110" s="636">
        <v>264.5</v>
      </c>
    </row>
    <row r="111" spans="1:11" ht="14.4" customHeight="1" x14ac:dyDescent="0.3">
      <c r="A111" s="631" t="s">
        <v>512</v>
      </c>
      <c r="B111" s="632" t="s">
        <v>1459</v>
      </c>
      <c r="C111" s="633" t="s">
        <v>517</v>
      </c>
      <c r="D111" s="634" t="s">
        <v>1460</v>
      </c>
      <c r="E111" s="633" t="s">
        <v>2086</v>
      </c>
      <c r="F111" s="634" t="s">
        <v>2087</v>
      </c>
      <c r="G111" s="633" t="s">
        <v>1881</v>
      </c>
      <c r="H111" s="633" t="s">
        <v>1882</v>
      </c>
      <c r="I111" s="635">
        <v>2.4300000000000002</v>
      </c>
      <c r="J111" s="635">
        <v>50</v>
      </c>
      <c r="K111" s="636">
        <v>121.5</v>
      </c>
    </row>
    <row r="112" spans="1:11" ht="14.4" customHeight="1" x14ac:dyDescent="0.3">
      <c r="A112" s="631" t="s">
        <v>512</v>
      </c>
      <c r="B112" s="632" t="s">
        <v>1459</v>
      </c>
      <c r="C112" s="633" t="s">
        <v>517</v>
      </c>
      <c r="D112" s="634" t="s">
        <v>1460</v>
      </c>
      <c r="E112" s="633" t="s">
        <v>2086</v>
      </c>
      <c r="F112" s="634" t="s">
        <v>2087</v>
      </c>
      <c r="G112" s="633" t="s">
        <v>1883</v>
      </c>
      <c r="H112" s="633" t="s">
        <v>1884</v>
      </c>
      <c r="I112" s="635">
        <v>1.75</v>
      </c>
      <c r="J112" s="635">
        <v>200</v>
      </c>
      <c r="K112" s="636">
        <v>350</v>
      </c>
    </row>
    <row r="113" spans="1:11" ht="14.4" customHeight="1" x14ac:dyDescent="0.3">
      <c r="A113" s="631" t="s">
        <v>512</v>
      </c>
      <c r="B113" s="632" t="s">
        <v>1459</v>
      </c>
      <c r="C113" s="633" t="s">
        <v>517</v>
      </c>
      <c r="D113" s="634" t="s">
        <v>1460</v>
      </c>
      <c r="E113" s="633" t="s">
        <v>2086</v>
      </c>
      <c r="F113" s="634" t="s">
        <v>2087</v>
      </c>
      <c r="G113" s="633" t="s">
        <v>1885</v>
      </c>
      <c r="H113" s="633" t="s">
        <v>1886</v>
      </c>
      <c r="I113" s="635">
        <v>4.8116666666666665</v>
      </c>
      <c r="J113" s="635">
        <v>2300</v>
      </c>
      <c r="K113" s="636">
        <v>11068</v>
      </c>
    </row>
    <row r="114" spans="1:11" ht="14.4" customHeight="1" x14ac:dyDescent="0.3">
      <c r="A114" s="631" t="s">
        <v>512</v>
      </c>
      <c r="B114" s="632" t="s">
        <v>1459</v>
      </c>
      <c r="C114" s="633" t="s">
        <v>517</v>
      </c>
      <c r="D114" s="634" t="s">
        <v>1460</v>
      </c>
      <c r="E114" s="633" t="s">
        <v>2086</v>
      </c>
      <c r="F114" s="634" t="s">
        <v>2087</v>
      </c>
      <c r="G114" s="633" t="s">
        <v>1887</v>
      </c>
      <c r="H114" s="633" t="s">
        <v>1888</v>
      </c>
      <c r="I114" s="635">
        <v>0.02</v>
      </c>
      <c r="J114" s="635">
        <v>20</v>
      </c>
      <c r="K114" s="636">
        <v>0.4</v>
      </c>
    </row>
    <row r="115" spans="1:11" ht="14.4" customHeight="1" x14ac:dyDescent="0.3">
      <c r="A115" s="631" t="s">
        <v>512</v>
      </c>
      <c r="B115" s="632" t="s">
        <v>1459</v>
      </c>
      <c r="C115" s="633" t="s">
        <v>517</v>
      </c>
      <c r="D115" s="634" t="s">
        <v>1460</v>
      </c>
      <c r="E115" s="633" t="s">
        <v>2086</v>
      </c>
      <c r="F115" s="634" t="s">
        <v>2087</v>
      </c>
      <c r="G115" s="633" t="s">
        <v>1889</v>
      </c>
      <c r="H115" s="633" t="s">
        <v>1890</v>
      </c>
      <c r="I115" s="635">
        <v>1.99</v>
      </c>
      <c r="J115" s="635">
        <v>50</v>
      </c>
      <c r="K115" s="636">
        <v>99.5</v>
      </c>
    </row>
    <row r="116" spans="1:11" ht="14.4" customHeight="1" x14ac:dyDescent="0.3">
      <c r="A116" s="631" t="s">
        <v>512</v>
      </c>
      <c r="B116" s="632" t="s">
        <v>1459</v>
      </c>
      <c r="C116" s="633" t="s">
        <v>517</v>
      </c>
      <c r="D116" s="634" t="s">
        <v>1460</v>
      </c>
      <c r="E116" s="633" t="s">
        <v>2086</v>
      </c>
      <c r="F116" s="634" t="s">
        <v>2087</v>
      </c>
      <c r="G116" s="633" t="s">
        <v>1891</v>
      </c>
      <c r="H116" s="633" t="s">
        <v>1892</v>
      </c>
      <c r="I116" s="635">
        <v>2.8050000000000002</v>
      </c>
      <c r="J116" s="635">
        <v>650</v>
      </c>
      <c r="K116" s="636">
        <v>1822.5</v>
      </c>
    </row>
    <row r="117" spans="1:11" ht="14.4" customHeight="1" x14ac:dyDescent="0.3">
      <c r="A117" s="631" t="s">
        <v>512</v>
      </c>
      <c r="B117" s="632" t="s">
        <v>1459</v>
      </c>
      <c r="C117" s="633" t="s">
        <v>517</v>
      </c>
      <c r="D117" s="634" t="s">
        <v>1460</v>
      </c>
      <c r="E117" s="633" t="s">
        <v>2086</v>
      </c>
      <c r="F117" s="634" t="s">
        <v>2087</v>
      </c>
      <c r="G117" s="633" t="s">
        <v>1893</v>
      </c>
      <c r="H117" s="633" t="s">
        <v>1894</v>
      </c>
      <c r="I117" s="635">
        <v>2</v>
      </c>
      <c r="J117" s="635">
        <v>800</v>
      </c>
      <c r="K117" s="636">
        <v>1600</v>
      </c>
    </row>
    <row r="118" spans="1:11" ht="14.4" customHeight="1" x14ac:dyDescent="0.3">
      <c r="A118" s="631" t="s">
        <v>512</v>
      </c>
      <c r="B118" s="632" t="s">
        <v>1459</v>
      </c>
      <c r="C118" s="633" t="s">
        <v>517</v>
      </c>
      <c r="D118" s="634" t="s">
        <v>1460</v>
      </c>
      <c r="E118" s="633" t="s">
        <v>2086</v>
      </c>
      <c r="F118" s="634" t="s">
        <v>2087</v>
      </c>
      <c r="G118" s="633" t="s">
        <v>1895</v>
      </c>
      <c r="H118" s="633" t="s">
        <v>1896</v>
      </c>
      <c r="I118" s="635">
        <v>4.24</v>
      </c>
      <c r="J118" s="635">
        <v>50</v>
      </c>
      <c r="K118" s="636">
        <v>212</v>
      </c>
    </row>
    <row r="119" spans="1:11" ht="14.4" customHeight="1" x14ac:dyDescent="0.3">
      <c r="A119" s="631" t="s">
        <v>512</v>
      </c>
      <c r="B119" s="632" t="s">
        <v>1459</v>
      </c>
      <c r="C119" s="633" t="s">
        <v>517</v>
      </c>
      <c r="D119" s="634" t="s">
        <v>1460</v>
      </c>
      <c r="E119" s="633" t="s">
        <v>2086</v>
      </c>
      <c r="F119" s="634" t="s">
        <v>2087</v>
      </c>
      <c r="G119" s="633" t="s">
        <v>1897</v>
      </c>
      <c r="H119" s="633" t="s">
        <v>1898</v>
      </c>
      <c r="I119" s="635">
        <v>90.99</v>
      </c>
      <c r="J119" s="635">
        <v>200</v>
      </c>
      <c r="K119" s="636">
        <v>18198</v>
      </c>
    </row>
    <row r="120" spans="1:11" ht="14.4" customHeight="1" x14ac:dyDescent="0.3">
      <c r="A120" s="631" t="s">
        <v>512</v>
      </c>
      <c r="B120" s="632" t="s">
        <v>1459</v>
      </c>
      <c r="C120" s="633" t="s">
        <v>517</v>
      </c>
      <c r="D120" s="634" t="s">
        <v>1460</v>
      </c>
      <c r="E120" s="633" t="s">
        <v>2086</v>
      </c>
      <c r="F120" s="634" t="s">
        <v>2087</v>
      </c>
      <c r="G120" s="633" t="s">
        <v>1899</v>
      </c>
      <c r="H120" s="633" t="s">
        <v>1900</v>
      </c>
      <c r="I120" s="635">
        <v>2.1724999999999999</v>
      </c>
      <c r="J120" s="635">
        <v>700</v>
      </c>
      <c r="K120" s="636">
        <v>1521</v>
      </c>
    </row>
    <row r="121" spans="1:11" ht="14.4" customHeight="1" x14ac:dyDescent="0.3">
      <c r="A121" s="631" t="s">
        <v>512</v>
      </c>
      <c r="B121" s="632" t="s">
        <v>1459</v>
      </c>
      <c r="C121" s="633" t="s">
        <v>517</v>
      </c>
      <c r="D121" s="634" t="s">
        <v>1460</v>
      </c>
      <c r="E121" s="633" t="s">
        <v>2086</v>
      </c>
      <c r="F121" s="634" t="s">
        <v>2087</v>
      </c>
      <c r="G121" s="633" t="s">
        <v>1901</v>
      </c>
      <c r="H121" s="633" t="s">
        <v>1902</v>
      </c>
      <c r="I121" s="635">
        <v>58.92</v>
      </c>
      <c r="J121" s="635">
        <v>50</v>
      </c>
      <c r="K121" s="636">
        <v>2945.75</v>
      </c>
    </row>
    <row r="122" spans="1:11" ht="14.4" customHeight="1" x14ac:dyDescent="0.3">
      <c r="A122" s="631" t="s">
        <v>512</v>
      </c>
      <c r="B122" s="632" t="s">
        <v>1459</v>
      </c>
      <c r="C122" s="633" t="s">
        <v>517</v>
      </c>
      <c r="D122" s="634" t="s">
        <v>1460</v>
      </c>
      <c r="E122" s="633" t="s">
        <v>2086</v>
      </c>
      <c r="F122" s="634" t="s">
        <v>2087</v>
      </c>
      <c r="G122" s="633" t="s">
        <v>1903</v>
      </c>
      <c r="H122" s="633" t="s">
        <v>1904</v>
      </c>
      <c r="I122" s="635">
        <v>34.729999999999997</v>
      </c>
      <c r="J122" s="635">
        <v>80</v>
      </c>
      <c r="K122" s="636">
        <v>2778.2</v>
      </c>
    </row>
    <row r="123" spans="1:11" ht="14.4" customHeight="1" x14ac:dyDescent="0.3">
      <c r="A123" s="631" t="s">
        <v>512</v>
      </c>
      <c r="B123" s="632" t="s">
        <v>1459</v>
      </c>
      <c r="C123" s="633" t="s">
        <v>517</v>
      </c>
      <c r="D123" s="634" t="s">
        <v>1460</v>
      </c>
      <c r="E123" s="633" t="s">
        <v>2086</v>
      </c>
      <c r="F123" s="634" t="s">
        <v>2087</v>
      </c>
      <c r="G123" s="633" t="s">
        <v>1905</v>
      </c>
      <c r="H123" s="633" t="s">
        <v>1906</v>
      </c>
      <c r="I123" s="635">
        <v>29.899999999999995</v>
      </c>
      <c r="J123" s="635">
        <v>300</v>
      </c>
      <c r="K123" s="636">
        <v>8970</v>
      </c>
    </row>
    <row r="124" spans="1:11" ht="14.4" customHeight="1" x14ac:dyDescent="0.3">
      <c r="A124" s="631" t="s">
        <v>512</v>
      </c>
      <c r="B124" s="632" t="s">
        <v>1459</v>
      </c>
      <c r="C124" s="633" t="s">
        <v>517</v>
      </c>
      <c r="D124" s="634" t="s">
        <v>1460</v>
      </c>
      <c r="E124" s="633" t="s">
        <v>2086</v>
      </c>
      <c r="F124" s="634" t="s">
        <v>2087</v>
      </c>
      <c r="G124" s="633" t="s">
        <v>1907</v>
      </c>
      <c r="H124" s="633" t="s">
        <v>1908</v>
      </c>
      <c r="I124" s="635">
        <v>220.22</v>
      </c>
      <c r="J124" s="635">
        <v>20</v>
      </c>
      <c r="K124" s="636">
        <v>4404.3999999999996</v>
      </c>
    </row>
    <row r="125" spans="1:11" ht="14.4" customHeight="1" x14ac:dyDescent="0.3">
      <c r="A125" s="631" t="s">
        <v>512</v>
      </c>
      <c r="B125" s="632" t="s">
        <v>1459</v>
      </c>
      <c r="C125" s="633" t="s">
        <v>517</v>
      </c>
      <c r="D125" s="634" t="s">
        <v>1460</v>
      </c>
      <c r="E125" s="633" t="s">
        <v>2086</v>
      </c>
      <c r="F125" s="634" t="s">
        <v>2087</v>
      </c>
      <c r="G125" s="633" t="s">
        <v>1909</v>
      </c>
      <c r="H125" s="633" t="s">
        <v>1910</v>
      </c>
      <c r="I125" s="635">
        <v>0.59750000000000003</v>
      </c>
      <c r="J125" s="635">
        <v>8000</v>
      </c>
      <c r="K125" s="636">
        <v>4780</v>
      </c>
    </row>
    <row r="126" spans="1:11" ht="14.4" customHeight="1" x14ac:dyDescent="0.3">
      <c r="A126" s="631" t="s">
        <v>512</v>
      </c>
      <c r="B126" s="632" t="s">
        <v>1459</v>
      </c>
      <c r="C126" s="633" t="s">
        <v>517</v>
      </c>
      <c r="D126" s="634" t="s">
        <v>1460</v>
      </c>
      <c r="E126" s="633" t="s">
        <v>2086</v>
      </c>
      <c r="F126" s="634" t="s">
        <v>2087</v>
      </c>
      <c r="G126" s="633" t="s">
        <v>1911</v>
      </c>
      <c r="H126" s="633" t="s">
        <v>1912</v>
      </c>
      <c r="I126" s="635">
        <v>1.58</v>
      </c>
      <c r="J126" s="635">
        <v>1500</v>
      </c>
      <c r="K126" s="636">
        <v>2370</v>
      </c>
    </row>
    <row r="127" spans="1:11" ht="14.4" customHeight="1" x14ac:dyDescent="0.3">
      <c r="A127" s="631" t="s">
        <v>512</v>
      </c>
      <c r="B127" s="632" t="s">
        <v>1459</v>
      </c>
      <c r="C127" s="633" t="s">
        <v>517</v>
      </c>
      <c r="D127" s="634" t="s">
        <v>1460</v>
      </c>
      <c r="E127" s="633" t="s">
        <v>2086</v>
      </c>
      <c r="F127" s="634" t="s">
        <v>2087</v>
      </c>
      <c r="G127" s="633" t="s">
        <v>1913</v>
      </c>
      <c r="H127" s="633" t="s">
        <v>1914</v>
      </c>
      <c r="I127" s="635">
        <v>31.07</v>
      </c>
      <c r="J127" s="635">
        <v>200</v>
      </c>
      <c r="K127" s="636">
        <v>6214.56</v>
      </c>
    </row>
    <row r="128" spans="1:11" ht="14.4" customHeight="1" x14ac:dyDescent="0.3">
      <c r="A128" s="631" t="s">
        <v>512</v>
      </c>
      <c r="B128" s="632" t="s">
        <v>1459</v>
      </c>
      <c r="C128" s="633" t="s">
        <v>517</v>
      </c>
      <c r="D128" s="634" t="s">
        <v>1460</v>
      </c>
      <c r="E128" s="633" t="s">
        <v>2086</v>
      </c>
      <c r="F128" s="634" t="s">
        <v>2087</v>
      </c>
      <c r="G128" s="633" t="s">
        <v>1915</v>
      </c>
      <c r="H128" s="633" t="s">
        <v>1916</v>
      </c>
      <c r="I128" s="635">
        <v>21.77</v>
      </c>
      <c r="J128" s="635">
        <v>12</v>
      </c>
      <c r="K128" s="636">
        <v>261.26</v>
      </c>
    </row>
    <row r="129" spans="1:11" ht="14.4" customHeight="1" x14ac:dyDescent="0.3">
      <c r="A129" s="631" t="s">
        <v>512</v>
      </c>
      <c r="B129" s="632" t="s">
        <v>1459</v>
      </c>
      <c r="C129" s="633" t="s">
        <v>517</v>
      </c>
      <c r="D129" s="634" t="s">
        <v>1460</v>
      </c>
      <c r="E129" s="633" t="s">
        <v>2086</v>
      </c>
      <c r="F129" s="634" t="s">
        <v>2087</v>
      </c>
      <c r="G129" s="633" t="s">
        <v>1917</v>
      </c>
      <c r="H129" s="633" t="s">
        <v>1918</v>
      </c>
      <c r="I129" s="635">
        <v>2.91</v>
      </c>
      <c r="J129" s="635">
        <v>50</v>
      </c>
      <c r="K129" s="636">
        <v>145.5</v>
      </c>
    </row>
    <row r="130" spans="1:11" ht="14.4" customHeight="1" x14ac:dyDescent="0.3">
      <c r="A130" s="631" t="s">
        <v>512</v>
      </c>
      <c r="B130" s="632" t="s">
        <v>1459</v>
      </c>
      <c r="C130" s="633" t="s">
        <v>517</v>
      </c>
      <c r="D130" s="634" t="s">
        <v>1460</v>
      </c>
      <c r="E130" s="633" t="s">
        <v>2086</v>
      </c>
      <c r="F130" s="634" t="s">
        <v>2087</v>
      </c>
      <c r="G130" s="633" t="s">
        <v>1699</v>
      </c>
      <c r="H130" s="633" t="s">
        <v>1700</v>
      </c>
      <c r="I130" s="635">
        <v>7.95</v>
      </c>
      <c r="J130" s="635">
        <v>800</v>
      </c>
      <c r="K130" s="636">
        <v>6360</v>
      </c>
    </row>
    <row r="131" spans="1:11" ht="14.4" customHeight="1" x14ac:dyDescent="0.3">
      <c r="A131" s="631" t="s">
        <v>512</v>
      </c>
      <c r="B131" s="632" t="s">
        <v>1459</v>
      </c>
      <c r="C131" s="633" t="s">
        <v>517</v>
      </c>
      <c r="D131" s="634" t="s">
        <v>1460</v>
      </c>
      <c r="E131" s="633" t="s">
        <v>2086</v>
      </c>
      <c r="F131" s="634" t="s">
        <v>2087</v>
      </c>
      <c r="G131" s="633" t="s">
        <v>1919</v>
      </c>
      <c r="H131" s="633" t="s">
        <v>1920</v>
      </c>
      <c r="I131" s="635">
        <v>84.906666666666666</v>
      </c>
      <c r="J131" s="635">
        <v>100</v>
      </c>
      <c r="K131" s="636">
        <v>8490.57</v>
      </c>
    </row>
    <row r="132" spans="1:11" ht="14.4" customHeight="1" x14ac:dyDescent="0.3">
      <c r="A132" s="631" t="s">
        <v>512</v>
      </c>
      <c r="B132" s="632" t="s">
        <v>1459</v>
      </c>
      <c r="C132" s="633" t="s">
        <v>517</v>
      </c>
      <c r="D132" s="634" t="s">
        <v>1460</v>
      </c>
      <c r="E132" s="633" t="s">
        <v>2086</v>
      </c>
      <c r="F132" s="634" t="s">
        <v>2087</v>
      </c>
      <c r="G132" s="633" t="s">
        <v>1921</v>
      </c>
      <c r="H132" s="633" t="s">
        <v>1922</v>
      </c>
      <c r="I132" s="635">
        <v>17.98</v>
      </c>
      <c r="J132" s="635">
        <v>100</v>
      </c>
      <c r="K132" s="636">
        <v>1798</v>
      </c>
    </row>
    <row r="133" spans="1:11" ht="14.4" customHeight="1" x14ac:dyDescent="0.3">
      <c r="A133" s="631" t="s">
        <v>512</v>
      </c>
      <c r="B133" s="632" t="s">
        <v>1459</v>
      </c>
      <c r="C133" s="633" t="s">
        <v>517</v>
      </c>
      <c r="D133" s="634" t="s">
        <v>1460</v>
      </c>
      <c r="E133" s="633" t="s">
        <v>2086</v>
      </c>
      <c r="F133" s="634" t="s">
        <v>2087</v>
      </c>
      <c r="G133" s="633" t="s">
        <v>1923</v>
      </c>
      <c r="H133" s="633" t="s">
        <v>1924</v>
      </c>
      <c r="I133" s="635">
        <v>17.98</v>
      </c>
      <c r="J133" s="635">
        <v>100</v>
      </c>
      <c r="K133" s="636">
        <v>1798</v>
      </c>
    </row>
    <row r="134" spans="1:11" ht="14.4" customHeight="1" x14ac:dyDescent="0.3">
      <c r="A134" s="631" t="s">
        <v>512</v>
      </c>
      <c r="B134" s="632" t="s">
        <v>1459</v>
      </c>
      <c r="C134" s="633" t="s">
        <v>517</v>
      </c>
      <c r="D134" s="634" t="s">
        <v>1460</v>
      </c>
      <c r="E134" s="633" t="s">
        <v>2086</v>
      </c>
      <c r="F134" s="634" t="s">
        <v>2087</v>
      </c>
      <c r="G134" s="633" t="s">
        <v>1925</v>
      </c>
      <c r="H134" s="633" t="s">
        <v>1926</v>
      </c>
      <c r="I134" s="635">
        <v>17.98</v>
      </c>
      <c r="J134" s="635">
        <v>50</v>
      </c>
      <c r="K134" s="636">
        <v>899.03</v>
      </c>
    </row>
    <row r="135" spans="1:11" ht="14.4" customHeight="1" x14ac:dyDescent="0.3">
      <c r="A135" s="631" t="s">
        <v>512</v>
      </c>
      <c r="B135" s="632" t="s">
        <v>1459</v>
      </c>
      <c r="C135" s="633" t="s">
        <v>517</v>
      </c>
      <c r="D135" s="634" t="s">
        <v>1460</v>
      </c>
      <c r="E135" s="633" t="s">
        <v>2086</v>
      </c>
      <c r="F135" s="634" t="s">
        <v>2087</v>
      </c>
      <c r="G135" s="633" t="s">
        <v>1927</v>
      </c>
      <c r="H135" s="633" t="s">
        <v>1928</v>
      </c>
      <c r="I135" s="635">
        <v>15.01</v>
      </c>
      <c r="J135" s="635">
        <v>150</v>
      </c>
      <c r="K135" s="636">
        <v>2251.5</v>
      </c>
    </row>
    <row r="136" spans="1:11" ht="14.4" customHeight="1" x14ac:dyDescent="0.3">
      <c r="A136" s="631" t="s">
        <v>512</v>
      </c>
      <c r="B136" s="632" t="s">
        <v>1459</v>
      </c>
      <c r="C136" s="633" t="s">
        <v>517</v>
      </c>
      <c r="D136" s="634" t="s">
        <v>1460</v>
      </c>
      <c r="E136" s="633" t="s">
        <v>2086</v>
      </c>
      <c r="F136" s="634" t="s">
        <v>2087</v>
      </c>
      <c r="G136" s="633" t="s">
        <v>1929</v>
      </c>
      <c r="H136" s="633" t="s">
        <v>1930</v>
      </c>
      <c r="I136" s="635">
        <v>17.98</v>
      </c>
      <c r="J136" s="635">
        <v>50</v>
      </c>
      <c r="K136" s="636">
        <v>899.03</v>
      </c>
    </row>
    <row r="137" spans="1:11" ht="14.4" customHeight="1" x14ac:dyDescent="0.3">
      <c r="A137" s="631" t="s">
        <v>512</v>
      </c>
      <c r="B137" s="632" t="s">
        <v>1459</v>
      </c>
      <c r="C137" s="633" t="s">
        <v>517</v>
      </c>
      <c r="D137" s="634" t="s">
        <v>1460</v>
      </c>
      <c r="E137" s="633" t="s">
        <v>2086</v>
      </c>
      <c r="F137" s="634" t="s">
        <v>2087</v>
      </c>
      <c r="G137" s="633" t="s">
        <v>1931</v>
      </c>
      <c r="H137" s="633" t="s">
        <v>1932</v>
      </c>
      <c r="I137" s="635">
        <v>8.9533333333333331</v>
      </c>
      <c r="J137" s="635">
        <v>1200</v>
      </c>
      <c r="K137" s="636">
        <v>10744</v>
      </c>
    </row>
    <row r="138" spans="1:11" ht="14.4" customHeight="1" x14ac:dyDescent="0.3">
      <c r="A138" s="631" t="s">
        <v>512</v>
      </c>
      <c r="B138" s="632" t="s">
        <v>1459</v>
      </c>
      <c r="C138" s="633" t="s">
        <v>517</v>
      </c>
      <c r="D138" s="634" t="s">
        <v>1460</v>
      </c>
      <c r="E138" s="633" t="s">
        <v>2086</v>
      </c>
      <c r="F138" s="634" t="s">
        <v>2087</v>
      </c>
      <c r="G138" s="633" t="s">
        <v>1933</v>
      </c>
      <c r="H138" s="633" t="s">
        <v>1934</v>
      </c>
      <c r="I138" s="635">
        <v>2.84</v>
      </c>
      <c r="J138" s="635">
        <v>100</v>
      </c>
      <c r="K138" s="636">
        <v>284</v>
      </c>
    </row>
    <row r="139" spans="1:11" ht="14.4" customHeight="1" x14ac:dyDescent="0.3">
      <c r="A139" s="631" t="s">
        <v>512</v>
      </c>
      <c r="B139" s="632" t="s">
        <v>1459</v>
      </c>
      <c r="C139" s="633" t="s">
        <v>517</v>
      </c>
      <c r="D139" s="634" t="s">
        <v>1460</v>
      </c>
      <c r="E139" s="633" t="s">
        <v>2086</v>
      </c>
      <c r="F139" s="634" t="s">
        <v>2087</v>
      </c>
      <c r="G139" s="633" t="s">
        <v>1935</v>
      </c>
      <c r="H139" s="633" t="s">
        <v>1936</v>
      </c>
      <c r="I139" s="635">
        <v>44.53</v>
      </c>
      <c r="J139" s="635">
        <v>30</v>
      </c>
      <c r="K139" s="636">
        <v>1336</v>
      </c>
    </row>
    <row r="140" spans="1:11" ht="14.4" customHeight="1" x14ac:dyDescent="0.3">
      <c r="A140" s="631" t="s">
        <v>512</v>
      </c>
      <c r="B140" s="632" t="s">
        <v>1459</v>
      </c>
      <c r="C140" s="633" t="s">
        <v>517</v>
      </c>
      <c r="D140" s="634" t="s">
        <v>1460</v>
      </c>
      <c r="E140" s="633" t="s">
        <v>2086</v>
      </c>
      <c r="F140" s="634" t="s">
        <v>2087</v>
      </c>
      <c r="G140" s="633" t="s">
        <v>1701</v>
      </c>
      <c r="H140" s="633" t="s">
        <v>1702</v>
      </c>
      <c r="I140" s="635">
        <v>1.94</v>
      </c>
      <c r="J140" s="635">
        <v>300</v>
      </c>
      <c r="K140" s="636">
        <v>582</v>
      </c>
    </row>
    <row r="141" spans="1:11" ht="14.4" customHeight="1" x14ac:dyDescent="0.3">
      <c r="A141" s="631" t="s">
        <v>512</v>
      </c>
      <c r="B141" s="632" t="s">
        <v>1459</v>
      </c>
      <c r="C141" s="633" t="s">
        <v>517</v>
      </c>
      <c r="D141" s="634" t="s">
        <v>1460</v>
      </c>
      <c r="E141" s="633" t="s">
        <v>2086</v>
      </c>
      <c r="F141" s="634" t="s">
        <v>2087</v>
      </c>
      <c r="G141" s="633" t="s">
        <v>1937</v>
      </c>
      <c r="H141" s="633" t="s">
        <v>1938</v>
      </c>
      <c r="I141" s="635">
        <v>5.2050000000000001</v>
      </c>
      <c r="J141" s="635">
        <v>2550</v>
      </c>
      <c r="K141" s="636">
        <v>13270.2</v>
      </c>
    </row>
    <row r="142" spans="1:11" ht="14.4" customHeight="1" x14ac:dyDescent="0.3">
      <c r="A142" s="631" t="s">
        <v>512</v>
      </c>
      <c r="B142" s="632" t="s">
        <v>1459</v>
      </c>
      <c r="C142" s="633" t="s">
        <v>517</v>
      </c>
      <c r="D142" s="634" t="s">
        <v>1460</v>
      </c>
      <c r="E142" s="633" t="s">
        <v>2086</v>
      </c>
      <c r="F142" s="634" t="s">
        <v>2087</v>
      </c>
      <c r="G142" s="633" t="s">
        <v>1939</v>
      </c>
      <c r="H142" s="633" t="s">
        <v>1940</v>
      </c>
      <c r="I142" s="635">
        <v>13.2</v>
      </c>
      <c r="J142" s="635">
        <v>10</v>
      </c>
      <c r="K142" s="636">
        <v>132</v>
      </c>
    </row>
    <row r="143" spans="1:11" ht="14.4" customHeight="1" x14ac:dyDescent="0.3">
      <c r="A143" s="631" t="s">
        <v>512</v>
      </c>
      <c r="B143" s="632" t="s">
        <v>1459</v>
      </c>
      <c r="C143" s="633" t="s">
        <v>517</v>
      </c>
      <c r="D143" s="634" t="s">
        <v>1460</v>
      </c>
      <c r="E143" s="633" t="s">
        <v>2086</v>
      </c>
      <c r="F143" s="634" t="s">
        <v>2087</v>
      </c>
      <c r="G143" s="633" t="s">
        <v>1941</v>
      </c>
      <c r="H143" s="633" t="s">
        <v>1942</v>
      </c>
      <c r="I143" s="635">
        <v>1.55</v>
      </c>
      <c r="J143" s="635">
        <v>900</v>
      </c>
      <c r="K143" s="636">
        <v>1395</v>
      </c>
    </row>
    <row r="144" spans="1:11" ht="14.4" customHeight="1" x14ac:dyDescent="0.3">
      <c r="A144" s="631" t="s">
        <v>512</v>
      </c>
      <c r="B144" s="632" t="s">
        <v>1459</v>
      </c>
      <c r="C144" s="633" t="s">
        <v>517</v>
      </c>
      <c r="D144" s="634" t="s">
        <v>1460</v>
      </c>
      <c r="E144" s="633" t="s">
        <v>2086</v>
      </c>
      <c r="F144" s="634" t="s">
        <v>2087</v>
      </c>
      <c r="G144" s="633" t="s">
        <v>1943</v>
      </c>
      <c r="H144" s="633" t="s">
        <v>1944</v>
      </c>
      <c r="I144" s="635">
        <v>21.24</v>
      </c>
      <c r="J144" s="635">
        <v>30</v>
      </c>
      <c r="K144" s="636">
        <v>637.20000000000005</v>
      </c>
    </row>
    <row r="145" spans="1:11" ht="14.4" customHeight="1" x14ac:dyDescent="0.3">
      <c r="A145" s="631" t="s">
        <v>512</v>
      </c>
      <c r="B145" s="632" t="s">
        <v>1459</v>
      </c>
      <c r="C145" s="633" t="s">
        <v>517</v>
      </c>
      <c r="D145" s="634" t="s">
        <v>1460</v>
      </c>
      <c r="E145" s="633" t="s">
        <v>2086</v>
      </c>
      <c r="F145" s="634" t="s">
        <v>2087</v>
      </c>
      <c r="G145" s="633" t="s">
        <v>1945</v>
      </c>
      <c r="H145" s="633" t="s">
        <v>1946</v>
      </c>
      <c r="I145" s="635">
        <v>21.23</v>
      </c>
      <c r="J145" s="635">
        <v>20</v>
      </c>
      <c r="K145" s="636">
        <v>424.6</v>
      </c>
    </row>
    <row r="146" spans="1:11" ht="14.4" customHeight="1" x14ac:dyDescent="0.3">
      <c r="A146" s="631" t="s">
        <v>512</v>
      </c>
      <c r="B146" s="632" t="s">
        <v>1459</v>
      </c>
      <c r="C146" s="633" t="s">
        <v>517</v>
      </c>
      <c r="D146" s="634" t="s">
        <v>1460</v>
      </c>
      <c r="E146" s="633" t="s">
        <v>2086</v>
      </c>
      <c r="F146" s="634" t="s">
        <v>2087</v>
      </c>
      <c r="G146" s="633" t="s">
        <v>1947</v>
      </c>
      <c r="H146" s="633" t="s">
        <v>1948</v>
      </c>
      <c r="I146" s="635">
        <v>9.8266666666666662</v>
      </c>
      <c r="J146" s="635">
        <v>150</v>
      </c>
      <c r="K146" s="636">
        <v>1474</v>
      </c>
    </row>
    <row r="147" spans="1:11" ht="14.4" customHeight="1" x14ac:dyDescent="0.3">
      <c r="A147" s="631" t="s">
        <v>512</v>
      </c>
      <c r="B147" s="632" t="s">
        <v>1459</v>
      </c>
      <c r="C147" s="633" t="s">
        <v>517</v>
      </c>
      <c r="D147" s="634" t="s">
        <v>1460</v>
      </c>
      <c r="E147" s="633" t="s">
        <v>2086</v>
      </c>
      <c r="F147" s="634" t="s">
        <v>2087</v>
      </c>
      <c r="G147" s="633" t="s">
        <v>1949</v>
      </c>
      <c r="H147" s="633" t="s">
        <v>1950</v>
      </c>
      <c r="I147" s="635">
        <v>13.19</v>
      </c>
      <c r="J147" s="635">
        <v>10</v>
      </c>
      <c r="K147" s="636">
        <v>131.9</v>
      </c>
    </row>
    <row r="148" spans="1:11" ht="14.4" customHeight="1" x14ac:dyDescent="0.3">
      <c r="A148" s="631" t="s">
        <v>512</v>
      </c>
      <c r="B148" s="632" t="s">
        <v>1459</v>
      </c>
      <c r="C148" s="633" t="s">
        <v>517</v>
      </c>
      <c r="D148" s="634" t="s">
        <v>1460</v>
      </c>
      <c r="E148" s="633" t="s">
        <v>2086</v>
      </c>
      <c r="F148" s="634" t="s">
        <v>2087</v>
      </c>
      <c r="G148" s="633" t="s">
        <v>1951</v>
      </c>
      <c r="H148" s="633" t="s">
        <v>1952</v>
      </c>
      <c r="I148" s="635">
        <v>18.149999999999999</v>
      </c>
      <c r="J148" s="635">
        <v>500</v>
      </c>
      <c r="K148" s="636">
        <v>9075</v>
      </c>
    </row>
    <row r="149" spans="1:11" ht="14.4" customHeight="1" x14ac:dyDescent="0.3">
      <c r="A149" s="631" t="s">
        <v>512</v>
      </c>
      <c r="B149" s="632" t="s">
        <v>1459</v>
      </c>
      <c r="C149" s="633" t="s">
        <v>517</v>
      </c>
      <c r="D149" s="634" t="s">
        <v>1460</v>
      </c>
      <c r="E149" s="633" t="s">
        <v>2086</v>
      </c>
      <c r="F149" s="634" t="s">
        <v>2087</v>
      </c>
      <c r="G149" s="633" t="s">
        <v>1953</v>
      </c>
      <c r="H149" s="633" t="s">
        <v>1954</v>
      </c>
      <c r="I149" s="635">
        <v>6.6533333333333333</v>
      </c>
      <c r="J149" s="635">
        <v>30</v>
      </c>
      <c r="K149" s="636">
        <v>199.6</v>
      </c>
    </row>
    <row r="150" spans="1:11" ht="14.4" customHeight="1" x14ac:dyDescent="0.3">
      <c r="A150" s="631" t="s">
        <v>512</v>
      </c>
      <c r="B150" s="632" t="s">
        <v>1459</v>
      </c>
      <c r="C150" s="633" t="s">
        <v>517</v>
      </c>
      <c r="D150" s="634" t="s">
        <v>1460</v>
      </c>
      <c r="E150" s="633" t="s">
        <v>2086</v>
      </c>
      <c r="F150" s="634" t="s">
        <v>2087</v>
      </c>
      <c r="G150" s="633" t="s">
        <v>1955</v>
      </c>
      <c r="H150" s="633" t="s">
        <v>1956</v>
      </c>
      <c r="I150" s="635">
        <v>6.6566666666666663</v>
      </c>
      <c r="J150" s="635">
        <v>30</v>
      </c>
      <c r="K150" s="636">
        <v>199.7</v>
      </c>
    </row>
    <row r="151" spans="1:11" ht="14.4" customHeight="1" x14ac:dyDescent="0.3">
      <c r="A151" s="631" t="s">
        <v>512</v>
      </c>
      <c r="B151" s="632" t="s">
        <v>1459</v>
      </c>
      <c r="C151" s="633" t="s">
        <v>517</v>
      </c>
      <c r="D151" s="634" t="s">
        <v>1460</v>
      </c>
      <c r="E151" s="633" t="s">
        <v>2086</v>
      </c>
      <c r="F151" s="634" t="s">
        <v>2087</v>
      </c>
      <c r="G151" s="633" t="s">
        <v>1957</v>
      </c>
      <c r="H151" s="633" t="s">
        <v>1958</v>
      </c>
      <c r="I151" s="635">
        <v>6.66</v>
      </c>
      <c r="J151" s="635">
        <v>20</v>
      </c>
      <c r="K151" s="636">
        <v>133.19999999999999</v>
      </c>
    </row>
    <row r="152" spans="1:11" ht="14.4" customHeight="1" x14ac:dyDescent="0.3">
      <c r="A152" s="631" t="s">
        <v>512</v>
      </c>
      <c r="B152" s="632" t="s">
        <v>1459</v>
      </c>
      <c r="C152" s="633" t="s">
        <v>517</v>
      </c>
      <c r="D152" s="634" t="s">
        <v>1460</v>
      </c>
      <c r="E152" s="633" t="s">
        <v>2086</v>
      </c>
      <c r="F152" s="634" t="s">
        <v>2087</v>
      </c>
      <c r="G152" s="633" t="s">
        <v>1959</v>
      </c>
      <c r="H152" s="633" t="s">
        <v>1960</v>
      </c>
      <c r="I152" s="635">
        <v>106.14</v>
      </c>
      <c r="J152" s="635">
        <v>100</v>
      </c>
      <c r="K152" s="636">
        <v>10614.12</v>
      </c>
    </row>
    <row r="153" spans="1:11" ht="14.4" customHeight="1" x14ac:dyDescent="0.3">
      <c r="A153" s="631" t="s">
        <v>512</v>
      </c>
      <c r="B153" s="632" t="s">
        <v>1459</v>
      </c>
      <c r="C153" s="633" t="s">
        <v>517</v>
      </c>
      <c r="D153" s="634" t="s">
        <v>1460</v>
      </c>
      <c r="E153" s="633" t="s">
        <v>2086</v>
      </c>
      <c r="F153" s="634" t="s">
        <v>2087</v>
      </c>
      <c r="G153" s="633" t="s">
        <v>1705</v>
      </c>
      <c r="H153" s="633" t="s">
        <v>1706</v>
      </c>
      <c r="I153" s="635">
        <v>0.47</v>
      </c>
      <c r="J153" s="635">
        <v>1000</v>
      </c>
      <c r="K153" s="636">
        <v>470</v>
      </c>
    </row>
    <row r="154" spans="1:11" ht="14.4" customHeight="1" x14ac:dyDescent="0.3">
      <c r="A154" s="631" t="s">
        <v>512</v>
      </c>
      <c r="B154" s="632" t="s">
        <v>1459</v>
      </c>
      <c r="C154" s="633" t="s">
        <v>517</v>
      </c>
      <c r="D154" s="634" t="s">
        <v>1460</v>
      </c>
      <c r="E154" s="633" t="s">
        <v>2086</v>
      </c>
      <c r="F154" s="634" t="s">
        <v>2087</v>
      </c>
      <c r="G154" s="633" t="s">
        <v>1961</v>
      </c>
      <c r="H154" s="633" t="s">
        <v>1962</v>
      </c>
      <c r="I154" s="635">
        <v>0.47</v>
      </c>
      <c r="J154" s="635">
        <v>1000</v>
      </c>
      <c r="K154" s="636">
        <v>470</v>
      </c>
    </row>
    <row r="155" spans="1:11" ht="14.4" customHeight="1" x14ac:dyDescent="0.3">
      <c r="A155" s="631" t="s">
        <v>512</v>
      </c>
      <c r="B155" s="632" t="s">
        <v>1459</v>
      </c>
      <c r="C155" s="633" t="s">
        <v>517</v>
      </c>
      <c r="D155" s="634" t="s">
        <v>1460</v>
      </c>
      <c r="E155" s="633" t="s">
        <v>2086</v>
      </c>
      <c r="F155" s="634" t="s">
        <v>2087</v>
      </c>
      <c r="G155" s="633" t="s">
        <v>1963</v>
      </c>
      <c r="H155" s="633" t="s">
        <v>1964</v>
      </c>
      <c r="I155" s="635">
        <v>2.6040000000000001</v>
      </c>
      <c r="J155" s="635">
        <v>900</v>
      </c>
      <c r="K155" s="636">
        <v>2342.5</v>
      </c>
    </row>
    <row r="156" spans="1:11" ht="14.4" customHeight="1" x14ac:dyDescent="0.3">
      <c r="A156" s="631" t="s">
        <v>512</v>
      </c>
      <c r="B156" s="632" t="s">
        <v>1459</v>
      </c>
      <c r="C156" s="633" t="s">
        <v>517</v>
      </c>
      <c r="D156" s="634" t="s">
        <v>1460</v>
      </c>
      <c r="E156" s="633" t="s">
        <v>2086</v>
      </c>
      <c r="F156" s="634" t="s">
        <v>2087</v>
      </c>
      <c r="G156" s="633" t="s">
        <v>1965</v>
      </c>
      <c r="H156" s="633" t="s">
        <v>1966</v>
      </c>
      <c r="I156" s="635">
        <v>2.6</v>
      </c>
      <c r="J156" s="635">
        <v>1500</v>
      </c>
      <c r="K156" s="636">
        <v>3900</v>
      </c>
    </row>
    <row r="157" spans="1:11" ht="14.4" customHeight="1" x14ac:dyDescent="0.3">
      <c r="A157" s="631" t="s">
        <v>512</v>
      </c>
      <c r="B157" s="632" t="s">
        <v>1459</v>
      </c>
      <c r="C157" s="633" t="s">
        <v>517</v>
      </c>
      <c r="D157" s="634" t="s">
        <v>1460</v>
      </c>
      <c r="E157" s="633" t="s">
        <v>2086</v>
      </c>
      <c r="F157" s="634" t="s">
        <v>2087</v>
      </c>
      <c r="G157" s="633" t="s">
        <v>1967</v>
      </c>
      <c r="H157" s="633" t="s">
        <v>1968</v>
      </c>
      <c r="I157" s="635">
        <v>2.605</v>
      </c>
      <c r="J157" s="635">
        <v>400</v>
      </c>
      <c r="K157" s="636">
        <v>1042</v>
      </c>
    </row>
    <row r="158" spans="1:11" ht="14.4" customHeight="1" x14ac:dyDescent="0.3">
      <c r="A158" s="631" t="s">
        <v>512</v>
      </c>
      <c r="B158" s="632" t="s">
        <v>1459</v>
      </c>
      <c r="C158" s="633" t="s">
        <v>517</v>
      </c>
      <c r="D158" s="634" t="s">
        <v>1460</v>
      </c>
      <c r="E158" s="633" t="s">
        <v>2086</v>
      </c>
      <c r="F158" s="634" t="s">
        <v>2087</v>
      </c>
      <c r="G158" s="633" t="s">
        <v>1969</v>
      </c>
      <c r="H158" s="633" t="s">
        <v>1970</v>
      </c>
      <c r="I158" s="635">
        <v>2.6</v>
      </c>
      <c r="J158" s="635">
        <v>800</v>
      </c>
      <c r="K158" s="636">
        <v>2080</v>
      </c>
    </row>
    <row r="159" spans="1:11" ht="14.4" customHeight="1" x14ac:dyDescent="0.3">
      <c r="A159" s="631" t="s">
        <v>512</v>
      </c>
      <c r="B159" s="632" t="s">
        <v>1459</v>
      </c>
      <c r="C159" s="633" t="s">
        <v>517</v>
      </c>
      <c r="D159" s="634" t="s">
        <v>1460</v>
      </c>
      <c r="E159" s="633" t="s">
        <v>2086</v>
      </c>
      <c r="F159" s="634" t="s">
        <v>2087</v>
      </c>
      <c r="G159" s="633" t="s">
        <v>1971</v>
      </c>
      <c r="H159" s="633" t="s">
        <v>1972</v>
      </c>
      <c r="I159" s="635">
        <v>484.04</v>
      </c>
      <c r="J159" s="635">
        <v>10</v>
      </c>
      <c r="K159" s="636">
        <v>4840.3999999999996</v>
      </c>
    </row>
    <row r="160" spans="1:11" ht="14.4" customHeight="1" x14ac:dyDescent="0.3">
      <c r="A160" s="631" t="s">
        <v>512</v>
      </c>
      <c r="B160" s="632" t="s">
        <v>1459</v>
      </c>
      <c r="C160" s="633" t="s">
        <v>517</v>
      </c>
      <c r="D160" s="634" t="s">
        <v>1460</v>
      </c>
      <c r="E160" s="633" t="s">
        <v>2086</v>
      </c>
      <c r="F160" s="634" t="s">
        <v>2087</v>
      </c>
      <c r="G160" s="633" t="s">
        <v>1973</v>
      </c>
      <c r="H160" s="633" t="s">
        <v>1974</v>
      </c>
      <c r="I160" s="635">
        <v>168.19</v>
      </c>
      <c r="J160" s="635">
        <v>10</v>
      </c>
      <c r="K160" s="636">
        <v>1681.9</v>
      </c>
    </row>
    <row r="161" spans="1:11" ht="14.4" customHeight="1" x14ac:dyDescent="0.3">
      <c r="A161" s="631" t="s">
        <v>512</v>
      </c>
      <c r="B161" s="632" t="s">
        <v>1459</v>
      </c>
      <c r="C161" s="633" t="s">
        <v>517</v>
      </c>
      <c r="D161" s="634" t="s">
        <v>1460</v>
      </c>
      <c r="E161" s="633" t="s">
        <v>2086</v>
      </c>
      <c r="F161" s="634" t="s">
        <v>2087</v>
      </c>
      <c r="G161" s="633" t="s">
        <v>1975</v>
      </c>
      <c r="H161" s="633" t="s">
        <v>1976</v>
      </c>
      <c r="I161" s="635">
        <v>16</v>
      </c>
      <c r="J161" s="635">
        <v>10</v>
      </c>
      <c r="K161" s="636">
        <v>159.96</v>
      </c>
    </row>
    <row r="162" spans="1:11" ht="14.4" customHeight="1" x14ac:dyDescent="0.3">
      <c r="A162" s="631" t="s">
        <v>512</v>
      </c>
      <c r="B162" s="632" t="s">
        <v>1459</v>
      </c>
      <c r="C162" s="633" t="s">
        <v>517</v>
      </c>
      <c r="D162" s="634" t="s">
        <v>1460</v>
      </c>
      <c r="E162" s="633" t="s">
        <v>2086</v>
      </c>
      <c r="F162" s="634" t="s">
        <v>2087</v>
      </c>
      <c r="G162" s="633" t="s">
        <v>1977</v>
      </c>
      <c r="H162" s="633" t="s">
        <v>1978</v>
      </c>
      <c r="I162" s="635">
        <v>24.399999999999995</v>
      </c>
      <c r="J162" s="635">
        <v>200</v>
      </c>
      <c r="K162" s="636">
        <v>4880.79</v>
      </c>
    </row>
    <row r="163" spans="1:11" ht="14.4" customHeight="1" x14ac:dyDescent="0.3">
      <c r="A163" s="631" t="s">
        <v>512</v>
      </c>
      <c r="B163" s="632" t="s">
        <v>1459</v>
      </c>
      <c r="C163" s="633" t="s">
        <v>517</v>
      </c>
      <c r="D163" s="634" t="s">
        <v>1460</v>
      </c>
      <c r="E163" s="633" t="s">
        <v>2086</v>
      </c>
      <c r="F163" s="634" t="s">
        <v>2087</v>
      </c>
      <c r="G163" s="633" t="s">
        <v>1979</v>
      </c>
      <c r="H163" s="633" t="s">
        <v>1980</v>
      </c>
      <c r="I163" s="635">
        <v>484.04</v>
      </c>
      <c r="J163" s="635">
        <v>10</v>
      </c>
      <c r="K163" s="636">
        <v>4840.3500000000004</v>
      </c>
    </row>
    <row r="164" spans="1:11" ht="14.4" customHeight="1" x14ac:dyDescent="0.3">
      <c r="A164" s="631" t="s">
        <v>512</v>
      </c>
      <c r="B164" s="632" t="s">
        <v>1459</v>
      </c>
      <c r="C164" s="633" t="s">
        <v>517</v>
      </c>
      <c r="D164" s="634" t="s">
        <v>1460</v>
      </c>
      <c r="E164" s="633" t="s">
        <v>2086</v>
      </c>
      <c r="F164" s="634" t="s">
        <v>2087</v>
      </c>
      <c r="G164" s="633" t="s">
        <v>1981</v>
      </c>
      <c r="H164" s="633" t="s">
        <v>1982</v>
      </c>
      <c r="I164" s="635">
        <v>484.04</v>
      </c>
      <c r="J164" s="635">
        <v>5</v>
      </c>
      <c r="K164" s="636">
        <v>2420.1999999999998</v>
      </c>
    </row>
    <row r="165" spans="1:11" ht="14.4" customHeight="1" x14ac:dyDescent="0.3">
      <c r="A165" s="631" t="s">
        <v>512</v>
      </c>
      <c r="B165" s="632" t="s">
        <v>1459</v>
      </c>
      <c r="C165" s="633" t="s">
        <v>517</v>
      </c>
      <c r="D165" s="634" t="s">
        <v>1460</v>
      </c>
      <c r="E165" s="633" t="s">
        <v>2086</v>
      </c>
      <c r="F165" s="634" t="s">
        <v>2087</v>
      </c>
      <c r="G165" s="633" t="s">
        <v>1983</v>
      </c>
      <c r="H165" s="633" t="s">
        <v>1984</v>
      </c>
      <c r="I165" s="635">
        <v>38</v>
      </c>
      <c r="J165" s="635">
        <v>10</v>
      </c>
      <c r="K165" s="636">
        <v>380</v>
      </c>
    </row>
    <row r="166" spans="1:11" ht="14.4" customHeight="1" x14ac:dyDescent="0.3">
      <c r="A166" s="631" t="s">
        <v>512</v>
      </c>
      <c r="B166" s="632" t="s">
        <v>1459</v>
      </c>
      <c r="C166" s="633" t="s">
        <v>517</v>
      </c>
      <c r="D166" s="634" t="s">
        <v>1460</v>
      </c>
      <c r="E166" s="633" t="s">
        <v>2086</v>
      </c>
      <c r="F166" s="634" t="s">
        <v>2087</v>
      </c>
      <c r="G166" s="633" t="s">
        <v>1985</v>
      </c>
      <c r="H166" s="633" t="s">
        <v>1986</v>
      </c>
      <c r="I166" s="635">
        <v>242</v>
      </c>
      <c r="J166" s="635">
        <v>10</v>
      </c>
      <c r="K166" s="636">
        <v>2420</v>
      </c>
    </row>
    <row r="167" spans="1:11" ht="14.4" customHeight="1" x14ac:dyDescent="0.3">
      <c r="A167" s="631" t="s">
        <v>512</v>
      </c>
      <c r="B167" s="632" t="s">
        <v>1459</v>
      </c>
      <c r="C167" s="633" t="s">
        <v>517</v>
      </c>
      <c r="D167" s="634" t="s">
        <v>1460</v>
      </c>
      <c r="E167" s="633" t="s">
        <v>2086</v>
      </c>
      <c r="F167" s="634" t="s">
        <v>2087</v>
      </c>
      <c r="G167" s="633" t="s">
        <v>1987</v>
      </c>
      <c r="H167" s="633" t="s">
        <v>1988</v>
      </c>
      <c r="I167" s="635">
        <v>91.72</v>
      </c>
      <c r="J167" s="635">
        <v>24</v>
      </c>
      <c r="K167" s="636">
        <v>2201.23</v>
      </c>
    </row>
    <row r="168" spans="1:11" ht="14.4" customHeight="1" x14ac:dyDescent="0.3">
      <c r="A168" s="631" t="s">
        <v>512</v>
      </c>
      <c r="B168" s="632" t="s">
        <v>1459</v>
      </c>
      <c r="C168" s="633" t="s">
        <v>517</v>
      </c>
      <c r="D168" s="634" t="s">
        <v>1460</v>
      </c>
      <c r="E168" s="633" t="s">
        <v>2086</v>
      </c>
      <c r="F168" s="634" t="s">
        <v>2087</v>
      </c>
      <c r="G168" s="633" t="s">
        <v>1989</v>
      </c>
      <c r="H168" s="633" t="s">
        <v>1990</v>
      </c>
      <c r="I168" s="635">
        <v>68.64</v>
      </c>
      <c r="J168" s="635">
        <v>20</v>
      </c>
      <c r="K168" s="636">
        <v>1372.76</v>
      </c>
    </row>
    <row r="169" spans="1:11" ht="14.4" customHeight="1" x14ac:dyDescent="0.3">
      <c r="A169" s="631" t="s">
        <v>512</v>
      </c>
      <c r="B169" s="632" t="s">
        <v>1459</v>
      </c>
      <c r="C169" s="633" t="s">
        <v>517</v>
      </c>
      <c r="D169" s="634" t="s">
        <v>1460</v>
      </c>
      <c r="E169" s="633" t="s">
        <v>2086</v>
      </c>
      <c r="F169" s="634" t="s">
        <v>2087</v>
      </c>
      <c r="G169" s="633" t="s">
        <v>1991</v>
      </c>
      <c r="H169" s="633" t="s">
        <v>1992</v>
      </c>
      <c r="I169" s="635">
        <v>172.56</v>
      </c>
      <c r="J169" s="635">
        <v>10</v>
      </c>
      <c r="K169" s="636">
        <v>1725.56</v>
      </c>
    </row>
    <row r="170" spans="1:11" ht="14.4" customHeight="1" x14ac:dyDescent="0.3">
      <c r="A170" s="631" t="s">
        <v>512</v>
      </c>
      <c r="B170" s="632" t="s">
        <v>1459</v>
      </c>
      <c r="C170" s="633" t="s">
        <v>517</v>
      </c>
      <c r="D170" s="634" t="s">
        <v>1460</v>
      </c>
      <c r="E170" s="633" t="s">
        <v>2086</v>
      </c>
      <c r="F170" s="634" t="s">
        <v>2087</v>
      </c>
      <c r="G170" s="633" t="s">
        <v>1993</v>
      </c>
      <c r="H170" s="633" t="s">
        <v>1994</v>
      </c>
      <c r="I170" s="635">
        <v>271.95999999999998</v>
      </c>
      <c r="J170" s="635">
        <v>5</v>
      </c>
      <c r="K170" s="636">
        <v>1359.8</v>
      </c>
    </row>
    <row r="171" spans="1:11" ht="14.4" customHeight="1" x14ac:dyDescent="0.3">
      <c r="A171" s="631" t="s">
        <v>512</v>
      </c>
      <c r="B171" s="632" t="s">
        <v>1459</v>
      </c>
      <c r="C171" s="633" t="s">
        <v>517</v>
      </c>
      <c r="D171" s="634" t="s">
        <v>1460</v>
      </c>
      <c r="E171" s="633" t="s">
        <v>2086</v>
      </c>
      <c r="F171" s="634" t="s">
        <v>2087</v>
      </c>
      <c r="G171" s="633" t="s">
        <v>1995</v>
      </c>
      <c r="H171" s="633" t="s">
        <v>1996</v>
      </c>
      <c r="I171" s="635">
        <v>15.76</v>
      </c>
      <c r="J171" s="635">
        <v>200</v>
      </c>
      <c r="K171" s="636">
        <v>3152.66</v>
      </c>
    </row>
    <row r="172" spans="1:11" ht="14.4" customHeight="1" x14ac:dyDescent="0.3">
      <c r="A172" s="631" t="s">
        <v>512</v>
      </c>
      <c r="B172" s="632" t="s">
        <v>1459</v>
      </c>
      <c r="C172" s="633" t="s">
        <v>517</v>
      </c>
      <c r="D172" s="634" t="s">
        <v>1460</v>
      </c>
      <c r="E172" s="633" t="s">
        <v>2086</v>
      </c>
      <c r="F172" s="634" t="s">
        <v>2087</v>
      </c>
      <c r="G172" s="633" t="s">
        <v>1997</v>
      </c>
      <c r="H172" s="633" t="s">
        <v>1998</v>
      </c>
      <c r="I172" s="635">
        <v>9.1999999999999993</v>
      </c>
      <c r="J172" s="635">
        <v>2500</v>
      </c>
      <c r="K172" s="636">
        <v>23000</v>
      </c>
    </row>
    <row r="173" spans="1:11" ht="14.4" customHeight="1" x14ac:dyDescent="0.3">
      <c r="A173" s="631" t="s">
        <v>512</v>
      </c>
      <c r="B173" s="632" t="s">
        <v>1459</v>
      </c>
      <c r="C173" s="633" t="s">
        <v>517</v>
      </c>
      <c r="D173" s="634" t="s">
        <v>1460</v>
      </c>
      <c r="E173" s="633" t="s">
        <v>2086</v>
      </c>
      <c r="F173" s="634" t="s">
        <v>2087</v>
      </c>
      <c r="G173" s="633" t="s">
        <v>1999</v>
      </c>
      <c r="H173" s="633" t="s">
        <v>2000</v>
      </c>
      <c r="I173" s="635">
        <v>172.5</v>
      </c>
      <c r="J173" s="635">
        <v>3</v>
      </c>
      <c r="K173" s="636">
        <v>517.5</v>
      </c>
    </row>
    <row r="174" spans="1:11" ht="14.4" customHeight="1" x14ac:dyDescent="0.3">
      <c r="A174" s="631" t="s">
        <v>512</v>
      </c>
      <c r="B174" s="632" t="s">
        <v>1459</v>
      </c>
      <c r="C174" s="633" t="s">
        <v>517</v>
      </c>
      <c r="D174" s="634" t="s">
        <v>1460</v>
      </c>
      <c r="E174" s="633" t="s">
        <v>2086</v>
      </c>
      <c r="F174" s="634" t="s">
        <v>2087</v>
      </c>
      <c r="G174" s="633" t="s">
        <v>2001</v>
      </c>
      <c r="H174" s="633" t="s">
        <v>2002</v>
      </c>
      <c r="I174" s="635">
        <v>9.68</v>
      </c>
      <c r="J174" s="635">
        <v>1100</v>
      </c>
      <c r="K174" s="636">
        <v>10648</v>
      </c>
    </row>
    <row r="175" spans="1:11" ht="14.4" customHeight="1" x14ac:dyDescent="0.3">
      <c r="A175" s="631" t="s">
        <v>512</v>
      </c>
      <c r="B175" s="632" t="s">
        <v>1459</v>
      </c>
      <c r="C175" s="633" t="s">
        <v>517</v>
      </c>
      <c r="D175" s="634" t="s">
        <v>1460</v>
      </c>
      <c r="E175" s="633" t="s">
        <v>2086</v>
      </c>
      <c r="F175" s="634" t="s">
        <v>2087</v>
      </c>
      <c r="G175" s="633" t="s">
        <v>2003</v>
      </c>
      <c r="H175" s="633" t="s">
        <v>2004</v>
      </c>
      <c r="I175" s="635">
        <v>15.729999999999999</v>
      </c>
      <c r="J175" s="635">
        <v>180</v>
      </c>
      <c r="K175" s="636">
        <v>2831.3999999999996</v>
      </c>
    </row>
    <row r="176" spans="1:11" ht="14.4" customHeight="1" x14ac:dyDescent="0.3">
      <c r="A176" s="631" t="s">
        <v>512</v>
      </c>
      <c r="B176" s="632" t="s">
        <v>1459</v>
      </c>
      <c r="C176" s="633" t="s">
        <v>517</v>
      </c>
      <c r="D176" s="634" t="s">
        <v>1460</v>
      </c>
      <c r="E176" s="633" t="s">
        <v>2086</v>
      </c>
      <c r="F176" s="634" t="s">
        <v>2087</v>
      </c>
      <c r="G176" s="633" t="s">
        <v>2005</v>
      </c>
      <c r="H176" s="633" t="s">
        <v>2006</v>
      </c>
      <c r="I176" s="635">
        <v>96.8</v>
      </c>
      <c r="J176" s="635">
        <v>50</v>
      </c>
      <c r="K176" s="636">
        <v>4840</v>
      </c>
    </row>
    <row r="177" spans="1:11" ht="14.4" customHeight="1" x14ac:dyDescent="0.3">
      <c r="A177" s="631" t="s">
        <v>512</v>
      </c>
      <c r="B177" s="632" t="s">
        <v>1459</v>
      </c>
      <c r="C177" s="633" t="s">
        <v>517</v>
      </c>
      <c r="D177" s="634" t="s">
        <v>1460</v>
      </c>
      <c r="E177" s="633" t="s">
        <v>2086</v>
      </c>
      <c r="F177" s="634" t="s">
        <v>2087</v>
      </c>
      <c r="G177" s="633" t="s">
        <v>2007</v>
      </c>
      <c r="H177" s="633" t="s">
        <v>2008</v>
      </c>
      <c r="I177" s="635">
        <v>233.44</v>
      </c>
      <c r="J177" s="635">
        <v>10</v>
      </c>
      <c r="K177" s="636">
        <v>2334.4</v>
      </c>
    </row>
    <row r="178" spans="1:11" ht="14.4" customHeight="1" x14ac:dyDescent="0.3">
      <c r="A178" s="631" t="s">
        <v>512</v>
      </c>
      <c r="B178" s="632" t="s">
        <v>1459</v>
      </c>
      <c r="C178" s="633" t="s">
        <v>517</v>
      </c>
      <c r="D178" s="634" t="s">
        <v>1460</v>
      </c>
      <c r="E178" s="633" t="s">
        <v>2086</v>
      </c>
      <c r="F178" s="634" t="s">
        <v>2087</v>
      </c>
      <c r="G178" s="633" t="s">
        <v>2009</v>
      </c>
      <c r="H178" s="633" t="s">
        <v>2010</v>
      </c>
      <c r="I178" s="635">
        <v>24.2</v>
      </c>
      <c r="J178" s="635">
        <v>80</v>
      </c>
      <c r="K178" s="636">
        <v>1936</v>
      </c>
    </row>
    <row r="179" spans="1:11" ht="14.4" customHeight="1" x14ac:dyDescent="0.3">
      <c r="A179" s="631" t="s">
        <v>512</v>
      </c>
      <c r="B179" s="632" t="s">
        <v>1459</v>
      </c>
      <c r="C179" s="633" t="s">
        <v>517</v>
      </c>
      <c r="D179" s="634" t="s">
        <v>1460</v>
      </c>
      <c r="E179" s="633" t="s">
        <v>2086</v>
      </c>
      <c r="F179" s="634" t="s">
        <v>2087</v>
      </c>
      <c r="G179" s="633" t="s">
        <v>2011</v>
      </c>
      <c r="H179" s="633" t="s">
        <v>2012</v>
      </c>
      <c r="I179" s="635">
        <v>124.63</v>
      </c>
      <c r="J179" s="635">
        <v>50</v>
      </c>
      <c r="K179" s="636">
        <v>6231.5</v>
      </c>
    </row>
    <row r="180" spans="1:11" ht="14.4" customHeight="1" x14ac:dyDescent="0.3">
      <c r="A180" s="631" t="s">
        <v>512</v>
      </c>
      <c r="B180" s="632" t="s">
        <v>1459</v>
      </c>
      <c r="C180" s="633" t="s">
        <v>517</v>
      </c>
      <c r="D180" s="634" t="s">
        <v>1460</v>
      </c>
      <c r="E180" s="633" t="s">
        <v>2086</v>
      </c>
      <c r="F180" s="634" t="s">
        <v>2087</v>
      </c>
      <c r="G180" s="633" t="s">
        <v>2013</v>
      </c>
      <c r="H180" s="633" t="s">
        <v>2014</v>
      </c>
      <c r="I180" s="635">
        <v>38</v>
      </c>
      <c r="J180" s="635">
        <v>10</v>
      </c>
      <c r="K180" s="636">
        <v>380</v>
      </c>
    </row>
    <row r="181" spans="1:11" ht="14.4" customHeight="1" x14ac:dyDescent="0.3">
      <c r="A181" s="631" t="s">
        <v>512</v>
      </c>
      <c r="B181" s="632" t="s">
        <v>1459</v>
      </c>
      <c r="C181" s="633" t="s">
        <v>517</v>
      </c>
      <c r="D181" s="634" t="s">
        <v>1460</v>
      </c>
      <c r="E181" s="633" t="s">
        <v>2086</v>
      </c>
      <c r="F181" s="634" t="s">
        <v>2087</v>
      </c>
      <c r="G181" s="633" t="s">
        <v>2015</v>
      </c>
      <c r="H181" s="633" t="s">
        <v>2016</v>
      </c>
      <c r="I181" s="635">
        <v>1234.2</v>
      </c>
      <c r="J181" s="635">
        <v>10</v>
      </c>
      <c r="K181" s="636">
        <v>12342</v>
      </c>
    </row>
    <row r="182" spans="1:11" ht="14.4" customHeight="1" x14ac:dyDescent="0.3">
      <c r="A182" s="631" t="s">
        <v>512</v>
      </c>
      <c r="B182" s="632" t="s">
        <v>1459</v>
      </c>
      <c r="C182" s="633" t="s">
        <v>517</v>
      </c>
      <c r="D182" s="634" t="s">
        <v>1460</v>
      </c>
      <c r="E182" s="633" t="s">
        <v>2086</v>
      </c>
      <c r="F182" s="634" t="s">
        <v>2087</v>
      </c>
      <c r="G182" s="633" t="s">
        <v>2017</v>
      </c>
      <c r="H182" s="633" t="s">
        <v>2018</v>
      </c>
      <c r="I182" s="635">
        <v>172.56</v>
      </c>
      <c r="J182" s="635">
        <v>10</v>
      </c>
      <c r="K182" s="636">
        <v>1725.59</v>
      </c>
    </row>
    <row r="183" spans="1:11" ht="14.4" customHeight="1" x14ac:dyDescent="0.3">
      <c r="A183" s="631" t="s">
        <v>512</v>
      </c>
      <c r="B183" s="632" t="s">
        <v>1459</v>
      </c>
      <c r="C183" s="633" t="s">
        <v>517</v>
      </c>
      <c r="D183" s="634" t="s">
        <v>1460</v>
      </c>
      <c r="E183" s="633" t="s">
        <v>2086</v>
      </c>
      <c r="F183" s="634" t="s">
        <v>2087</v>
      </c>
      <c r="G183" s="633" t="s">
        <v>2019</v>
      </c>
      <c r="H183" s="633" t="s">
        <v>2020</v>
      </c>
      <c r="I183" s="635">
        <v>50.6</v>
      </c>
      <c r="J183" s="635">
        <v>50</v>
      </c>
      <c r="K183" s="636">
        <v>2530</v>
      </c>
    </row>
    <row r="184" spans="1:11" ht="14.4" customHeight="1" x14ac:dyDescent="0.3">
      <c r="A184" s="631" t="s">
        <v>512</v>
      </c>
      <c r="B184" s="632" t="s">
        <v>1459</v>
      </c>
      <c r="C184" s="633" t="s">
        <v>517</v>
      </c>
      <c r="D184" s="634" t="s">
        <v>1460</v>
      </c>
      <c r="E184" s="633" t="s">
        <v>2086</v>
      </c>
      <c r="F184" s="634" t="s">
        <v>2087</v>
      </c>
      <c r="G184" s="633" t="s">
        <v>2021</v>
      </c>
      <c r="H184" s="633" t="s">
        <v>2022</v>
      </c>
      <c r="I184" s="635">
        <v>1128.25</v>
      </c>
      <c r="J184" s="635">
        <v>1</v>
      </c>
      <c r="K184" s="636">
        <v>1128.25</v>
      </c>
    </row>
    <row r="185" spans="1:11" ht="14.4" customHeight="1" x14ac:dyDescent="0.3">
      <c r="A185" s="631" t="s">
        <v>512</v>
      </c>
      <c r="B185" s="632" t="s">
        <v>1459</v>
      </c>
      <c r="C185" s="633" t="s">
        <v>517</v>
      </c>
      <c r="D185" s="634" t="s">
        <v>1460</v>
      </c>
      <c r="E185" s="633" t="s">
        <v>2086</v>
      </c>
      <c r="F185" s="634" t="s">
        <v>2087</v>
      </c>
      <c r="G185" s="633" t="s">
        <v>2023</v>
      </c>
      <c r="H185" s="633" t="s">
        <v>2024</v>
      </c>
      <c r="I185" s="635">
        <v>16</v>
      </c>
      <c r="J185" s="635">
        <v>10</v>
      </c>
      <c r="K185" s="636">
        <v>159.96</v>
      </c>
    </row>
    <row r="186" spans="1:11" ht="14.4" customHeight="1" x14ac:dyDescent="0.3">
      <c r="A186" s="631" t="s">
        <v>512</v>
      </c>
      <c r="B186" s="632" t="s">
        <v>1459</v>
      </c>
      <c r="C186" s="633" t="s">
        <v>517</v>
      </c>
      <c r="D186" s="634" t="s">
        <v>1460</v>
      </c>
      <c r="E186" s="633" t="s">
        <v>2094</v>
      </c>
      <c r="F186" s="634" t="s">
        <v>2095</v>
      </c>
      <c r="G186" s="633" t="s">
        <v>2025</v>
      </c>
      <c r="H186" s="633" t="s">
        <v>2026</v>
      </c>
      <c r="I186" s="635">
        <v>155.16</v>
      </c>
      <c r="J186" s="635">
        <v>1</v>
      </c>
      <c r="K186" s="636">
        <v>155.16</v>
      </c>
    </row>
    <row r="187" spans="1:11" ht="14.4" customHeight="1" x14ac:dyDescent="0.3">
      <c r="A187" s="631" t="s">
        <v>512</v>
      </c>
      <c r="B187" s="632" t="s">
        <v>1459</v>
      </c>
      <c r="C187" s="633" t="s">
        <v>517</v>
      </c>
      <c r="D187" s="634" t="s">
        <v>1460</v>
      </c>
      <c r="E187" s="633" t="s">
        <v>2096</v>
      </c>
      <c r="F187" s="634" t="s">
        <v>2097</v>
      </c>
      <c r="G187" s="633" t="s">
        <v>2027</v>
      </c>
      <c r="H187" s="633" t="s">
        <v>2028</v>
      </c>
      <c r="I187" s="635">
        <v>161.5</v>
      </c>
      <c r="J187" s="635">
        <v>4</v>
      </c>
      <c r="K187" s="636">
        <v>646</v>
      </c>
    </row>
    <row r="188" spans="1:11" ht="14.4" customHeight="1" x14ac:dyDescent="0.3">
      <c r="A188" s="631" t="s">
        <v>512</v>
      </c>
      <c r="B188" s="632" t="s">
        <v>1459</v>
      </c>
      <c r="C188" s="633" t="s">
        <v>517</v>
      </c>
      <c r="D188" s="634" t="s">
        <v>1460</v>
      </c>
      <c r="E188" s="633" t="s">
        <v>2098</v>
      </c>
      <c r="F188" s="634" t="s">
        <v>2099</v>
      </c>
      <c r="G188" s="633" t="s">
        <v>2029</v>
      </c>
      <c r="H188" s="633" t="s">
        <v>2030</v>
      </c>
      <c r="I188" s="635">
        <v>319.91000000000003</v>
      </c>
      <c r="J188" s="635">
        <v>20</v>
      </c>
      <c r="K188" s="636">
        <v>6398.24</v>
      </c>
    </row>
    <row r="189" spans="1:11" ht="14.4" customHeight="1" x14ac:dyDescent="0.3">
      <c r="A189" s="631" t="s">
        <v>512</v>
      </c>
      <c r="B189" s="632" t="s">
        <v>1459</v>
      </c>
      <c r="C189" s="633" t="s">
        <v>517</v>
      </c>
      <c r="D189" s="634" t="s">
        <v>1460</v>
      </c>
      <c r="E189" s="633" t="s">
        <v>2098</v>
      </c>
      <c r="F189" s="634" t="s">
        <v>2099</v>
      </c>
      <c r="G189" s="633" t="s">
        <v>2031</v>
      </c>
      <c r="H189" s="633" t="s">
        <v>2032</v>
      </c>
      <c r="I189" s="635">
        <v>568.79</v>
      </c>
      <c r="J189" s="635">
        <v>20</v>
      </c>
      <c r="K189" s="636">
        <v>11375.7</v>
      </c>
    </row>
    <row r="190" spans="1:11" ht="14.4" customHeight="1" x14ac:dyDescent="0.3">
      <c r="A190" s="631" t="s">
        <v>512</v>
      </c>
      <c r="B190" s="632" t="s">
        <v>1459</v>
      </c>
      <c r="C190" s="633" t="s">
        <v>517</v>
      </c>
      <c r="D190" s="634" t="s">
        <v>1460</v>
      </c>
      <c r="E190" s="633" t="s">
        <v>2098</v>
      </c>
      <c r="F190" s="634" t="s">
        <v>2099</v>
      </c>
      <c r="G190" s="633" t="s">
        <v>2033</v>
      </c>
      <c r="H190" s="633" t="s">
        <v>2034</v>
      </c>
      <c r="I190" s="635">
        <v>442.39</v>
      </c>
      <c r="J190" s="635">
        <v>10</v>
      </c>
      <c r="K190" s="636">
        <v>4423.88</v>
      </c>
    </row>
    <row r="191" spans="1:11" ht="14.4" customHeight="1" x14ac:dyDescent="0.3">
      <c r="A191" s="631" t="s">
        <v>512</v>
      </c>
      <c r="B191" s="632" t="s">
        <v>1459</v>
      </c>
      <c r="C191" s="633" t="s">
        <v>517</v>
      </c>
      <c r="D191" s="634" t="s">
        <v>1460</v>
      </c>
      <c r="E191" s="633" t="s">
        <v>2088</v>
      </c>
      <c r="F191" s="634" t="s">
        <v>2089</v>
      </c>
      <c r="G191" s="633" t="s">
        <v>2035</v>
      </c>
      <c r="H191" s="633" t="s">
        <v>2036</v>
      </c>
      <c r="I191" s="635">
        <v>2299</v>
      </c>
      <c r="J191" s="635">
        <v>1</v>
      </c>
      <c r="K191" s="636">
        <v>2299</v>
      </c>
    </row>
    <row r="192" spans="1:11" ht="14.4" customHeight="1" x14ac:dyDescent="0.3">
      <c r="A192" s="631" t="s">
        <v>512</v>
      </c>
      <c r="B192" s="632" t="s">
        <v>1459</v>
      </c>
      <c r="C192" s="633" t="s">
        <v>517</v>
      </c>
      <c r="D192" s="634" t="s">
        <v>1460</v>
      </c>
      <c r="E192" s="633" t="s">
        <v>2088</v>
      </c>
      <c r="F192" s="634" t="s">
        <v>2089</v>
      </c>
      <c r="G192" s="633" t="s">
        <v>1707</v>
      </c>
      <c r="H192" s="633" t="s">
        <v>1708</v>
      </c>
      <c r="I192" s="635">
        <v>8.1675000000000004</v>
      </c>
      <c r="J192" s="635">
        <v>2600</v>
      </c>
      <c r="K192" s="636">
        <v>21234</v>
      </c>
    </row>
    <row r="193" spans="1:11" ht="14.4" customHeight="1" x14ac:dyDescent="0.3">
      <c r="A193" s="631" t="s">
        <v>512</v>
      </c>
      <c r="B193" s="632" t="s">
        <v>1459</v>
      </c>
      <c r="C193" s="633" t="s">
        <v>517</v>
      </c>
      <c r="D193" s="634" t="s">
        <v>1460</v>
      </c>
      <c r="E193" s="633" t="s">
        <v>2088</v>
      </c>
      <c r="F193" s="634" t="s">
        <v>2089</v>
      </c>
      <c r="G193" s="633" t="s">
        <v>2037</v>
      </c>
      <c r="H193" s="633" t="s">
        <v>2038</v>
      </c>
      <c r="I193" s="635">
        <v>162.63</v>
      </c>
      <c r="J193" s="635">
        <v>30</v>
      </c>
      <c r="K193" s="636">
        <v>4879</v>
      </c>
    </row>
    <row r="194" spans="1:11" ht="14.4" customHeight="1" x14ac:dyDescent="0.3">
      <c r="A194" s="631" t="s">
        <v>512</v>
      </c>
      <c r="B194" s="632" t="s">
        <v>1459</v>
      </c>
      <c r="C194" s="633" t="s">
        <v>517</v>
      </c>
      <c r="D194" s="634" t="s">
        <v>1460</v>
      </c>
      <c r="E194" s="633" t="s">
        <v>2088</v>
      </c>
      <c r="F194" s="634" t="s">
        <v>2089</v>
      </c>
      <c r="G194" s="633" t="s">
        <v>2039</v>
      </c>
      <c r="H194" s="633" t="s">
        <v>2040</v>
      </c>
      <c r="I194" s="635">
        <v>6.85</v>
      </c>
      <c r="J194" s="635">
        <v>400</v>
      </c>
      <c r="K194" s="636">
        <v>2740</v>
      </c>
    </row>
    <row r="195" spans="1:11" ht="14.4" customHeight="1" x14ac:dyDescent="0.3">
      <c r="A195" s="631" t="s">
        <v>512</v>
      </c>
      <c r="B195" s="632" t="s">
        <v>1459</v>
      </c>
      <c r="C195" s="633" t="s">
        <v>517</v>
      </c>
      <c r="D195" s="634" t="s">
        <v>1460</v>
      </c>
      <c r="E195" s="633" t="s">
        <v>2090</v>
      </c>
      <c r="F195" s="634" t="s">
        <v>2091</v>
      </c>
      <c r="G195" s="633" t="s">
        <v>2041</v>
      </c>
      <c r="H195" s="633" t="s">
        <v>2042</v>
      </c>
      <c r="I195" s="635">
        <v>0.30499999999999999</v>
      </c>
      <c r="J195" s="635">
        <v>2000</v>
      </c>
      <c r="K195" s="636">
        <v>610</v>
      </c>
    </row>
    <row r="196" spans="1:11" ht="14.4" customHeight="1" x14ac:dyDescent="0.3">
      <c r="A196" s="631" t="s">
        <v>512</v>
      </c>
      <c r="B196" s="632" t="s">
        <v>1459</v>
      </c>
      <c r="C196" s="633" t="s">
        <v>517</v>
      </c>
      <c r="D196" s="634" t="s">
        <v>1460</v>
      </c>
      <c r="E196" s="633" t="s">
        <v>2090</v>
      </c>
      <c r="F196" s="634" t="s">
        <v>2091</v>
      </c>
      <c r="G196" s="633" t="s">
        <v>2043</v>
      </c>
      <c r="H196" s="633" t="s">
        <v>2044</v>
      </c>
      <c r="I196" s="635">
        <v>0.30499999999999999</v>
      </c>
      <c r="J196" s="635">
        <v>1100</v>
      </c>
      <c r="K196" s="636">
        <v>340</v>
      </c>
    </row>
    <row r="197" spans="1:11" ht="14.4" customHeight="1" x14ac:dyDescent="0.3">
      <c r="A197" s="631" t="s">
        <v>512</v>
      </c>
      <c r="B197" s="632" t="s">
        <v>1459</v>
      </c>
      <c r="C197" s="633" t="s">
        <v>517</v>
      </c>
      <c r="D197" s="634" t="s">
        <v>1460</v>
      </c>
      <c r="E197" s="633" t="s">
        <v>2090</v>
      </c>
      <c r="F197" s="634" t="s">
        <v>2091</v>
      </c>
      <c r="G197" s="633" t="s">
        <v>2045</v>
      </c>
      <c r="H197" s="633" t="s">
        <v>2046</v>
      </c>
      <c r="I197" s="635">
        <v>0.30666666666666664</v>
      </c>
      <c r="J197" s="635">
        <v>2500</v>
      </c>
      <c r="K197" s="636">
        <v>765</v>
      </c>
    </row>
    <row r="198" spans="1:11" ht="14.4" customHeight="1" x14ac:dyDescent="0.3">
      <c r="A198" s="631" t="s">
        <v>512</v>
      </c>
      <c r="B198" s="632" t="s">
        <v>1459</v>
      </c>
      <c r="C198" s="633" t="s">
        <v>517</v>
      </c>
      <c r="D198" s="634" t="s">
        <v>1460</v>
      </c>
      <c r="E198" s="633" t="s">
        <v>2090</v>
      </c>
      <c r="F198" s="634" t="s">
        <v>2091</v>
      </c>
      <c r="G198" s="633" t="s">
        <v>2047</v>
      </c>
      <c r="H198" s="633" t="s">
        <v>2048</v>
      </c>
      <c r="I198" s="635">
        <v>0.3</v>
      </c>
      <c r="J198" s="635">
        <v>100</v>
      </c>
      <c r="K198" s="636">
        <v>30</v>
      </c>
    </row>
    <row r="199" spans="1:11" ht="14.4" customHeight="1" x14ac:dyDescent="0.3">
      <c r="A199" s="631" t="s">
        <v>512</v>
      </c>
      <c r="B199" s="632" t="s">
        <v>1459</v>
      </c>
      <c r="C199" s="633" t="s">
        <v>517</v>
      </c>
      <c r="D199" s="634" t="s">
        <v>1460</v>
      </c>
      <c r="E199" s="633" t="s">
        <v>2090</v>
      </c>
      <c r="F199" s="634" t="s">
        <v>2091</v>
      </c>
      <c r="G199" s="633" t="s">
        <v>2049</v>
      </c>
      <c r="H199" s="633" t="s">
        <v>2050</v>
      </c>
      <c r="I199" s="635">
        <v>0.68</v>
      </c>
      <c r="J199" s="635">
        <v>100</v>
      </c>
      <c r="K199" s="636">
        <v>68</v>
      </c>
    </row>
    <row r="200" spans="1:11" ht="14.4" customHeight="1" x14ac:dyDescent="0.3">
      <c r="A200" s="631" t="s">
        <v>512</v>
      </c>
      <c r="B200" s="632" t="s">
        <v>1459</v>
      </c>
      <c r="C200" s="633" t="s">
        <v>517</v>
      </c>
      <c r="D200" s="634" t="s">
        <v>1460</v>
      </c>
      <c r="E200" s="633" t="s">
        <v>2090</v>
      </c>
      <c r="F200" s="634" t="s">
        <v>2091</v>
      </c>
      <c r="G200" s="633" t="s">
        <v>2051</v>
      </c>
      <c r="H200" s="633" t="s">
        <v>2052</v>
      </c>
      <c r="I200" s="635">
        <v>10.45</v>
      </c>
      <c r="J200" s="635">
        <v>10</v>
      </c>
      <c r="K200" s="636">
        <v>104.54</v>
      </c>
    </row>
    <row r="201" spans="1:11" ht="14.4" customHeight="1" x14ac:dyDescent="0.3">
      <c r="A201" s="631" t="s">
        <v>512</v>
      </c>
      <c r="B201" s="632" t="s">
        <v>1459</v>
      </c>
      <c r="C201" s="633" t="s">
        <v>517</v>
      </c>
      <c r="D201" s="634" t="s">
        <v>1460</v>
      </c>
      <c r="E201" s="633" t="s">
        <v>2090</v>
      </c>
      <c r="F201" s="634" t="s">
        <v>2091</v>
      </c>
      <c r="G201" s="633" t="s">
        <v>2053</v>
      </c>
      <c r="H201" s="633" t="s">
        <v>2054</v>
      </c>
      <c r="I201" s="635">
        <v>0.30399999999999999</v>
      </c>
      <c r="J201" s="635">
        <v>11000</v>
      </c>
      <c r="K201" s="636">
        <v>3340</v>
      </c>
    </row>
    <row r="202" spans="1:11" ht="14.4" customHeight="1" x14ac:dyDescent="0.3">
      <c r="A202" s="631" t="s">
        <v>512</v>
      </c>
      <c r="B202" s="632" t="s">
        <v>1459</v>
      </c>
      <c r="C202" s="633" t="s">
        <v>517</v>
      </c>
      <c r="D202" s="634" t="s">
        <v>1460</v>
      </c>
      <c r="E202" s="633" t="s">
        <v>2090</v>
      </c>
      <c r="F202" s="634" t="s">
        <v>2091</v>
      </c>
      <c r="G202" s="633" t="s">
        <v>2055</v>
      </c>
      <c r="H202" s="633" t="s">
        <v>2056</v>
      </c>
      <c r="I202" s="635">
        <v>1.76</v>
      </c>
      <c r="J202" s="635">
        <v>200</v>
      </c>
      <c r="K202" s="636">
        <v>352</v>
      </c>
    </row>
    <row r="203" spans="1:11" ht="14.4" customHeight="1" x14ac:dyDescent="0.3">
      <c r="A203" s="631" t="s">
        <v>512</v>
      </c>
      <c r="B203" s="632" t="s">
        <v>1459</v>
      </c>
      <c r="C203" s="633" t="s">
        <v>517</v>
      </c>
      <c r="D203" s="634" t="s">
        <v>1460</v>
      </c>
      <c r="E203" s="633" t="s">
        <v>2092</v>
      </c>
      <c r="F203" s="634" t="s">
        <v>2093</v>
      </c>
      <c r="G203" s="633" t="s">
        <v>2057</v>
      </c>
      <c r="H203" s="633" t="s">
        <v>2058</v>
      </c>
      <c r="I203" s="635">
        <v>0.64</v>
      </c>
      <c r="J203" s="635">
        <v>9000</v>
      </c>
      <c r="K203" s="636">
        <v>5771.7000000000007</v>
      </c>
    </row>
    <row r="204" spans="1:11" ht="14.4" customHeight="1" x14ac:dyDescent="0.3">
      <c r="A204" s="631" t="s">
        <v>512</v>
      </c>
      <c r="B204" s="632" t="s">
        <v>1459</v>
      </c>
      <c r="C204" s="633" t="s">
        <v>517</v>
      </c>
      <c r="D204" s="634" t="s">
        <v>1460</v>
      </c>
      <c r="E204" s="633" t="s">
        <v>2092</v>
      </c>
      <c r="F204" s="634" t="s">
        <v>2093</v>
      </c>
      <c r="G204" s="633" t="s">
        <v>2059</v>
      </c>
      <c r="H204" s="633" t="s">
        <v>2060</v>
      </c>
      <c r="I204" s="635">
        <v>0.74</v>
      </c>
      <c r="J204" s="635">
        <v>1000</v>
      </c>
      <c r="K204" s="636">
        <v>740</v>
      </c>
    </row>
    <row r="205" spans="1:11" ht="14.4" customHeight="1" x14ac:dyDescent="0.3">
      <c r="A205" s="631" t="s">
        <v>512</v>
      </c>
      <c r="B205" s="632" t="s">
        <v>1459</v>
      </c>
      <c r="C205" s="633" t="s">
        <v>517</v>
      </c>
      <c r="D205" s="634" t="s">
        <v>1460</v>
      </c>
      <c r="E205" s="633" t="s">
        <v>2092</v>
      </c>
      <c r="F205" s="634" t="s">
        <v>2093</v>
      </c>
      <c r="G205" s="633" t="s">
        <v>1713</v>
      </c>
      <c r="H205" s="633" t="s">
        <v>1714</v>
      </c>
      <c r="I205" s="635">
        <v>7.51</v>
      </c>
      <c r="J205" s="635">
        <v>100</v>
      </c>
      <c r="K205" s="636">
        <v>751</v>
      </c>
    </row>
    <row r="206" spans="1:11" ht="14.4" customHeight="1" x14ac:dyDescent="0.3">
      <c r="A206" s="631" t="s">
        <v>512</v>
      </c>
      <c r="B206" s="632" t="s">
        <v>1459</v>
      </c>
      <c r="C206" s="633" t="s">
        <v>517</v>
      </c>
      <c r="D206" s="634" t="s">
        <v>1460</v>
      </c>
      <c r="E206" s="633" t="s">
        <v>2092</v>
      </c>
      <c r="F206" s="634" t="s">
        <v>2093</v>
      </c>
      <c r="G206" s="633" t="s">
        <v>1715</v>
      </c>
      <c r="H206" s="633" t="s">
        <v>1716</v>
      </c>
      <c r="I206" s="635">
        <v>7.5</v>
      </c>
      <c r="J206" s="635">
        <v>50</v>
      </c>
      <c r="K206" s="636">
        <v>375</v>
      </c>
    </row>
    <row r="207" spans="1:11" ht="14.4" customHeight="1" x14ac:dyDescent="0.3">
      <c r="A207" s="631" t="s">
        <v>512</v>
      </c>
      <c r="B207" s="632" t="s">
        <v>1459</v>
      </c>
      <c r="C207" s="633" t="s">
        <v>517</v>
      </c>
      <c r="D207" s="634" t="s">
        <v>1460</v>
      </c>
      <c r="E207" s="633" t="s">
        <v>2092</v>
      </c>
      <c r="F207" s="634" t="s">
        <v>2093</v>
      </c>
      <c r="G207" s="633" t="s">
        <v>2061</v>
      </c>
      <c r="H207" s="633" t="s">
        <v>2062</v>
      </c>
      <c r="I207" s="635">
        <v>11.01</v>
      </c>
      <c r="J207" s="635">
        <v>50</v>
      </c>
      <c r="K207" s="636">
        <v>550.5</v>
      </c>
    </row>
    <row r="208" spans="1:11" ht="14.4" customHeight="1" x14ac:dyDescent="0.3">
      <c r="A208" s="631" t="s">
        <v>512</v>
      </c>
      <c r="B208" s="632" t="s">
        <v>1459</v>
      </c>
      <c r="C208" s="633" t="s">
        <v>517</v>
      </c>
      <c r="D208" s="634" t="s">
        <v>1460</v>
      </c>
      <c r="E208" s="633" t="s">
        <v>2092</v>
      </c>
      <c r="F208" s="634" t="s">
        <v>2093</v>
      </c>
      <c r="G208" s="633" t="s">
        <v>2063</v>
      </c>
      <c r="H208" s="633" t="s">
        <v>2064</v>
      </c>
      <c r="I208" s="635">
        <v>0.77333333333333343</v>
      </c>
      <c r="J208" s="635">
        <v>3000</v>
      </c>
      <c r="K208" s="636">
        <v>2320</v>
      </c>
    </row>
    <row r="209" spans="1:11" ht="14.4" customHeight="1" x14ac:dyDescent="0.3">
      <c r="A209" s="631" t="s">
        <v>512</v>
      </c>
      <c r="B209" s="632" t="s">
        <v>1459</v>
      </c>
      <c r="C209" s="633" t="s">
        <v>517</v>
      </c>
      <c r="D209" s="634" t="s">
        <v>1460</v>
      </c>
      <c r="E209" s="633" t="s">
        <v>2092</v>
      </c>
      <c r="F209" s="634" t="s">
        <v>2093</v>
      </c>
      <c r="G209" s="633" t="s">
        <v>2065</v>
      </c>
      <c r="H209" s="633" t="s">
        <v>2066</v>
      </c>
      <c r="I209" s="635">
        <v>0.77</v>
      </c>
      <c r="J209" s="635">
        <v>45000</v>
      </c>
      <c r="K209" s="636">
        <v>34650</v>
      </c>
    </row>
    <row r="210" spans="1:11" ht="14.4" customHeight="1" x14ac:dyDescent="0.3">
      <c r="A210" s="631" t="s">
        <v>512</v>
      </c>
      <c r="B210" s="632" t="s">
        <v>1459</v>
      </c>
      <c r="C210" s="633" t="s">
        <v>517</v>
      </c>
      <c r="D210" s="634" t="s">
        <v>1460</v>
      </c>
      <c r="E210" s="633" t="s">
        <v>2100</v>
      </c>
      <c r="F210" s="634" t="s">
        <v>2101</v>
      </c>
      <c r="G210" s="633" t="s">
        <v>2067</v>
      </c>
      <c r="H210" s="633" t="s">
        <v>2068</v>
      </c>
      <c r="I210" s="635">
        <v>139.44</v>
      </c>
      <c r="J210" s="635">
        <v>30</v>
      </c>
      <c r="K210" s="636">
        <v>4183.2000000000007</v>
      </c>
    </row>
    <row r="211" spans="1:11" ht="14.4" customHeight="1" x14ac:dyDescent="0.3">
      <c r="A211" s="631" t="s">
        <v>512</v>
      </c>
      <c r="B211" s="632" t="s">
        <v>1459</v>
      </c>
      <c r="C211" s="633" t="s">
        <v>517</v>
      </c>
      <c r="D211" s="634" t="s">
        <v>1460</v>
      </c>
      <c r="E211" s="633" t="s">
        <v>2100</v>
      </c>
      <c r="F211" s="634" t="s">
        <v>2101</v>
      </c>
      <c r="G211" s="633" t="s">
        <v>2069</v>
      </c>
      <c r="H211" s="633" t="s">
        <v>2070</v>
      </c>
      <c r="I211" s="635">
        <v>139.43666666666667</v>
      </c>
      <c r="J211" s="635">
        <v>30</v>
      </c>
      <c r="K211" s="636">
        <v>4183.08</v>
      </c>
    </row>
    <row r="212" spans="1:11" ht="14.4" customHeight="1" x14ac:dyDescent="0.3">
      <c r="A212" s="631" t="s">
        <v>512</v>
      </c>
      <c r="B212" s="632" t="s">
        <v>1459</v>
      </c>
      <c r="C212" s="633" t="s">
        <v>517</v>
      </c>
      <c r="D212" s="634" t="s">
        <v>1460</v>
      </c>
      <c r="E212" s="633" t="s">
        <v>2100</v>
      </c>
      <c r="F212" s="634" t="s">
        <v>2101</v>
      </c>
      <c r="G212" s="633" t="s">
        <v>2071</v>
      </c>
      <c r="H212" s="633" t="s">
        <v>2072</v>
      </c>
      <c r="I212" s="635">
        <v>152.46</v>
      </c>
      <c r="J212" s="635">
        <v>4</v>
      </c>
      <c r="K212" s="636">
        <v>609.84</v>
      </c>
    </row>
    <row r="213" spans="1:11" ht="14.4" customHeight="1" x14ac:dyDescent="0.3">
      <c r="A213" s="631" t="s">
        <v>512</v>
      </c>
      <c r="B213" s="632" t="s">
        <v>1459</v>
      </c>
      <c r="C213" s="633" t="s">
        <v>517</v>
      </c>
      <c r="D213" s="634" t="s">
        <v>1460</v>
      </c>
      <c r="E213" s="633" t="s">
        <v>2100</v>
      </c>
      <c r="F213" s="634" t="s">
        <v>2101</v>
      </c>
      <c r="G213" s="633" t="s">
        <v>2073</v>
      </c>
      <c r="H213" s="633" t="s">
        <v>2074</v>
      </c>
      <c r="I213" s="635">
        <v>2746.7</v>
      </c>
      <c r="J213" s="635">
        <v>1</v>
      </c>
      <c r="K213" s="636">
        <v>2746.7</v>
      </c>
    </row>
    <row r="214" spans="1:11" ht="14.4" customHeight="1" x14ac:dyDescent="0.3">
      <c r="A214" s="631" t="s">
        <v>512</v>
      </c>
      <c r="B214" s="632" t="s">
        <v>1459</v>
      </c>
      <c r="C214" s="633" t="s">
        <v>517</v>
      </c>
      <c r="D214" s="634" t="s">
        <v>1460</v>
      </c>
      <c r="E214" s="633" t="s">
        <v>2100</v>
      </c>
      <c r="F214" s="634" t="s">
        <v>2101</v>
      </c>
      <c r="G214" s="633" t="s">
        <v>2075</v>
      </c>
      <c r="H214" s="633" t="s">
        <v>2076</v>
      </c>
      <c r="I214" s="635">
        <v>6352.5</v>
      </c>
      <c r="J214" s="635">
        <v>3</v>
      </c>
      <c r="K214" s="636">
        <v>19057.5</v>
      </c>
    </row>
    <row r="215" spans="1:11" ht="14.4" customHeight="1" x14ac:dyDescent="0.3">
      <c r="A215" s="631" t="s">
        <v>512</v>
      </c>
      <c r="B215" s="632" t="s">
        <v>1459</v>
      </c>
      <c r="C215" s="633" t="s">
        <v>517</v>
      </c>
      <c r="D215" s="634" t="s">
        <v>1460</v>
      </c>
      <c r="E215" s="633" t="s">
        <v>2100</v>
      </c>
      <c r="F215" s="634" t="s">
        <v>2101</v>
      </c>
      <c r="G215" s="633" t="s">
        <v>2077</v>
      </c>
      <c r="H215" s="633" t="s">
        <v>2078</v>
      </c>
      <c r="I215" s="635">
        <v>8470</v>
      </c>
      <c r="J215" s="635">
        <v>2</v>
      </c>
      <c r="K215" s="636">
        <v>16940</v>
      </c>
    </row>
    <row r="216" spans="1:11" ht="14.4" customHeight="1" x14ac:dyDescent="0.3">
      <c r="A216" s="631" t="s">
        <v>512</v>
      </c>
      <c r="B216" s="632" t="s">
        <v>1459</v>
      </c>
      <c r="C216" s="633" t="s">
        <v>517</v>
      </c>
      <c r="D216" s="634" t="s">
        <v>1460</v>
      </c>
      <c r="E216" s="633" t="s">
        <v>2100</v>
      </c>
      <c r="F216" s="634" t="s">
        <v>2101</v>
      </c>
      <c r="G216" s="633" t="s">
        <v>2079</v>
      </c>
      <c r="H216" s="633" t="s">
        <v>2080</v>
      </c>
      <c r="I216" s="635">
        <v>363</v>
      </c>
      <c r="J216" s="635">
        <v>12</v>
      </c>
      <c r="K216" s="636">
        <v>4356</v>
      </c>
    </row>
    <row r="217" spans="1:11" ht="14.4" customHeight="1" thickBot="1" x14ac:dyDescent="0.35">
      <c r="A217" s="637" t="s">
        <v>512</v>
      </c>
      <c r="B217" s="638" t="s">
        <v>1459</v>
      </c>
      <c r="C217" s="639" t="s">
        <v>517</v>
      </c>
      <c r="D217" s="640" t="s">
        <v>1460</v>
      </c>
      <c r="E217" s="639" t="s">
        <v>2100</v>
      </c>
      <c r="F217" s="640" t="s">
        <v>2101</v>
      </c>
      <c r="G217" s="639" t="s">
        <v>2081</v>
      </c>
      <c r="H217" s="639" t="s">
        <v>2082</v>
      </c>
      <c r="I217" s="641">
        <v>847</v>
      </c>
      <c r="J217" s="641">
        <v>1</v>
      </c>
      <c r="K217" s="642">
        <v>847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6" width="13.109375" customWidth="1"/>
    <col min="7" max="25" width="13.109375" hidden="1" customWidth="1"/>
    <col min="26" max="26" width="13.109375" customWidth="1"/>
    <col min="27" max="28" width="13.109375" hidden="1" customWidth="1"/>
    <col min="29" max="29" width="13.109375" customWidth="1"/>
    <col min="30" max="32" width="13.109375" hidden="1" customWidth="1"/>
    <col min="33" max="33" width="13.109375" customWidth="1"/>
  </cols>
  <sheetData>
    <row r="1" spans="1:34" ht="18.600000000000001" thickBot="1" x14ac:dyDescent="0.4">
      <c r="A1" s="521" t="s">
        <v>131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  <c r="W1" s="489"/>
      <c r="X1" s="489"/>
      <c r="Y1" s="489"/>
      <c r="Z1" s="489"/>
      <c r="AA1" s="489"/>
      <c r="AB1" s="489"/>
      <c r="AC1" s="489"/>
      <c r="AD1" s="489"/>
      <c r="AE1" s="489"/>
      <c r="AF1" s="489"/>
      <c r="AG1" s="489"/>
    </row>
    <row r="2" spans="1:34" ht="15" thickBot="1" x14ac:dyDescent="0.35">
      <c r="A2" s="386" t="s">
        <v>321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  <c r="W2" s="387"/>
      <c r="X2" s="387"/>
      <c r="Y2" s="387"/>
      <c r="Z2" s="387"/>
      <c r="AA2" s="387"/>
      <c r="AB2" s="387"/>
      <c r="AC2" s="387"/>
      <c r="AD2" s="387"/>
      <c r="AE2" s="387"/>
      <c r="AF2" s="387"/>
      <c r="AG2" s="387"/>
    </row>
    <row r="3" spans="1:34" x14ac:dyDescent="0.3">
      <c r="A3" s="405" t="s">
        <v>274</v>
      </c>
      <c r="B3" s="522" t="s">
        <v>255</v>
      </c>
      <c r="C3" s="388">
        <v>0</v>
      </c>
      <c r="D3" s="389">
        <v>101</v>
      </c>
      <c r="E3" s="389">
        <v>102</v>
      </c>
      <c r="F3" s="408">
        <v>305</v>
      </c>
      <c r="G3" s="408">
        <v>306</v>
      </c>
      <c r="H3" s="408">
        <v>408</v>
      </c>
      <c r="I3" s="408">
        <v>409</v>
      </c>
      <c r="J3" s="408">
        <v>410</v>
      </c>
      <c r="K3" s="408">
        <v>415</v>
      </c>
      <c r="L3" s="408">
        <v>416</v>
      </c>
      <c r="M3" s="408">
        <v>418</v>
      </c>
      <c r="N3" s="408">
        <v>419</v>
      </c>
      <c r="O3" s="408">
        <v>420</v>
      </c>
      <c r="P3" s="408">
        <v>421</v>
      </c>
      <c r="Q3" s="408">
        <v>522</v>
      </c>
      <c r="R3" s="408">
        <v>523</v>
      </c>
      <c r="S3" s="408">
        <v>524</v>
      </c>
      <c r="T3" s="408">
        <v>525</v>
      </c>
      <c r="U3" s="408">
        <v>526</v>
      </c>
      <c r="V3" s="408">
        <v>527</v>
      </c>
      <c r="W3" s="408">
        <v>528</v>
      </c>
      <c r="X3" s="408">
        <v>629</v>
      </c>
      <c r="Y3" s="408">
        <v>630</v>
      </c>
      <c r="Z3" s="408">
        <v>636</v>
      </c>
      <c r="AA3" s="408">
        <v>637</v>
      </c>
      <c r="AB3" s="408">
        <v>640</v>
      </c>
      <c r="AC3" s="408">
        <v>642</v>
      </c>
      <c r="AD3" s="408">
        <v>743</v>
      </c>
      <c r="AE3" s="389">
        <v>745</v>
      </c>
      <c r="AF3" s="389">
        <v>746</v>
      </c>
      <c r="AG3" s="725">
        <v>930</v>
      </c>
      <c r="AH3" s="740"/>
    </row>
    <row r="4" spans="1:34" ht="36.6" outlineLevel="1" thickBot="1" x14ac:dyDescent="0.35">
      <c r="A4" s="406">
        <v>2014</v>
      </c>
      <c r="B4" s="523"/>
      <c r="C4" s="390" t="s">
        <v>256</v>
      </c>
      <c r="D4" s="391" t="s">
        <v>257</v>
      </c>
      <c r="E4" s="391" t="s">
        <v>258</v>
      </c>
      <c r="F4" s="409" t="s">
        <v>286</v>
      </c>
      <c r="G4" s="409" t="s">
        <v>287</v>
      </c>
      <c r="H4" s="409" t="s">
        <v>288</v>
      </c>
      <c r="I4" s="409" t="s">
        <v>289</v>
      </c>
      <c r="J4" s="409" t="s">
        <v>290</v>
      </c>
      <c r="K4" s="409" t="s">
        <v>291</v>
      </c>
      <c r="L4" s="409" t="s">
        <v>292</v>
      </c>
      <c r="M4" s="409" t="s">
        <v>293</v>
      </c>
      <c r="N4" s="409" t="s">
        <v>294</v>
      </c>
      <c r="O4" s="409" t="s">
        <v>295</v>
      </c>
      <c r="P4" s="409" t="s">
        <v>296</v>
      </c>
      <c r="Q4" s="409" t="s">
        <v>297</v>
      </c>
      <c r="R4" s="409" t="s">
        <v>298</v>
      </c>
      <c r="S4" s="409" t="s">
        <v>299</v>
      </c>
      <c r="T4" s="409" t="s">
        <v>300</v>
      </c>
      <c r="U4" s="409" t="s">
        <v>301</v>
      </c>
      <c r="V4" s="409" t="s">
        <v>302</v>
      </c>
      <c r="W4" s="409" t="s">
        <v>311</v>
      </c>
      <c r="X4" s="409" t="s">
        <v>303</v>
      </c>
      <c r="Y4" s="409" t="s">
        <v>312</v>
      </c>
      <c r="Z4" s="409" t="s">
        <v>304</v>
      </c>
      <c r="AA4" s="409" t="s">
        <v>305</v>
      </c>
      <c r="AB4" s="409" t="s">
        <v>306</v>
      </c>
      <c r="AC4" s="409" t="s">
        <v>307</v>
      </c>
      <c r="AD4" s="409" t="s">
        <v>308</v>
      </c>
      <c r="AE4" s="391" t="s">
        <v>309</v>
      </c>
      <c r="AF4" s="391" t="s">
        <v>310</v>
      </c>
      <c r="AG4" s="726" t="s">
        <v>276</v>
      </c>
      <c r="AH4" s="740"/>
    </row>
    <row r="5" spans="1:34" x14ac:dyDescent="0.3">
      <c r="A5" s="392" t="s">
        <v>259</v>
      </c>
      <c r="B5" s="428"/>
      <c r="C5" s="429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0"/>
      <c r="Q5" s="430"/>
      <c r="R5" s="430"/>
      <c r="S5" s="430"/>
      <c r="T5" s="430"/>
      <c r="U5" s="430"/>
      <c r="V5" s="430"/>
      <c r="W5" s="430"/>
      <c r="X5" s="430"/>
      <c r="Y5" s="430"/>
      <c r="Z5" s="430"/>
      <c r="AA5" s="430"/>
      <c r="AB5" s="430"/>
      <c r="AC5" s="430"/>
      <c r="AD5" s="430"/>
      <c r="AE5" s="430"/>
      <c r="AF5" s="430"/>
      <c r="AG5" s="727"/>
      <c r="AH5" s="740"/>
    </row>
    <row r="6" spans="1:34" ht="15" collapsed="1" thickBot="1" x14ac:dyDescent="0.35">
      <c r="A6" s="393" t="s">
        <v>94</v>
      </c>
      <c r="B6" s="431">
        <f xml:space="preserve">
TRUNC(IF($A$4&lt;=12,SUMIFS('ON Data'!F:F,'ON Data'!$D:$D,$A$4,'ON Data'!$E:$E,1),SUMIFS('ON Data'!F:F,'ON Data'!$E:$E,1)/'ON Data'!$D$3),1)</f>
        <v>54.2</v>
      </c>
      <c r="C6" s="432">
        <f xml:space="preserve">
TRUNC(IF($A$4&lt;=12,SUMIFS('ON Data'!G:G,'ON Data'!$D:$D,$A$4,'ON Data'!$E:$E,1),SUMIFS('ON Data'!G:G,'ON Data'!$E:$E,1)/'ON Data'!$D$3),1)</f>
        <v>0</v>
      </c>
      <c r="D6" s="433">
        <f xml:space="preserve">
TRUNC(IF($A$4&lt;=12,SUMIFS('ON Data'!H:H,'ON Data'!$D:$D,$A$4,'ON Data'!$E:$E,1),SUMIFS('ON Data'!H:H,'ON Data'!$E:$E,1)/'ON Data'!$D$3),1)</f>
        <v>7.6</v>
      </c>
      <c r="E6" s="433">
        <f xml:space="preserve">
TRUNC(IF($A$4&lt;=12,SUMIFS('ON Data'!I:I,'ON Data'!$D:$D,$A$4,'ON Data'!$E:$E,1),SUMIFS('ON Data'!I:I,'ON Data'!$E:$E,1)/'ON Data'!$D$3),1)</f>
        <v>0</v>
      </c>
      <c r="F6" s="433">
        <f xml:space="preserve">
TRUNC(IF($A$4&lt;=12,SUMIFS('ON Data'!K:K,'ON Data'!$D:$D,$A$4,'ON Data'!$E:$E,1),SUMIFS('ON Data'!K:K,'ON Data'!$E:$E,1)/'ON Data'!$D$3),1)</f>
        <v>41.6</v>
      </c>
      <c r="G6" s="433">
        <f xml:space="preserve">
TRUNC(IF($A$4&lt;=12,SUMIFS('ON Data'!L:L,'ON Data'!$D:$D,$A$4,'ON Data'!$E:$E,1),SUMIFS('ON Data'!L:L,'ON Data'!$E:$E,1)/'ON Data'!$D$3),1)</f>
        <v>0</v>
      </c>
      <c r="H6" s="433">
        <f xml:space="preserve">
TRUNC(IF($A$4&lt;=12,SUMIFS('ON Data'!M:M,'ON Data'!$D:$D,$A$4,'ON Data'!$E:$E,1),SUMIFS('ON Data'!M:M,'ON Data'!$E:$E,1)/'ON Data'!$D$3),1)</f>
        <v>0</v>
      </c>
      <c r="I6" s="433">
        <f xml:space="preserve">
TRUNC(IF($A$4&lt;=12,SUMIFS('ON Data'!N:N,'ON Data'!$D:$D,$A$4,'ON Data'!$E:$E,1),SUMIFS('ON Data'!N:N,'ON Data'!$E:$E,1)/'ON Data'!$D$3),1)</f>
        <v>0</v>
      </c>
      <c r="J6" s="433">
        <f xml:space="preserve">
TRUNC(IF($A$4&lt;=12,SUMIFS('ON Data'!O:O,'ON Data'!$D:$D,$A$4,'ON Data'!$E:$E,1),SUMIFS('ON Data'!O:O,'ON Data'!$E:$E,1)/'ON Data'!$D$3),1)</f>
        <v>0</v>
      </c>
      <c r="K6" s="433">
        <f xml:space="preserve">
TRUNC(IF($A$4&lt;=12,SUMIFS('ON Data'!P:P,'ON Data'!$D:$D,$A$4,'ON Data'!$E:$E,1),SUMIFS('ON Data'!P:P,'ON Data'!$E:$E,1)/'ON Data'!$D$3),1)</f>
        <v>0</v>
      </c>
      <c r="L6" s="433">
        <f xml:space="preserve">
TRUNC(IF($A$4&lt;=12,SUMIFS('ON Data'!Q:Q,'ON Data'!$D:$D,$A$4,'ON Data'!$E:$E,1),SUMIFS('ON Data'!Q:Q,'ON Data'!$E:$E,1)/'ON Data'!$D$3),1)</f>
        <v>0</v>
      </c>
      <c r="M6" s="433">
        <f xml:space="preserve">
TRUNC(IF($A$4&lt;=12,SUMIFS('ON Data'!R:R,'ON Data'!$D:$D,$A$4,'ON Data'!$E:$E,1),SUMIFS('ON Data'!R:R,'ON Data'!$E:$E,1)/'ON Data'!$D$3),1)</f>
        <v>0</v>
      </c>
      <c r="N6" s="433">
        <f xml:space="preserve">
TRUNC(IF($A$4&lt;=12,SUMIFS('ON Data'!S:S,'ON Data'!$D:$D,$A$4,'ON Data'!$E:$E,1),SUMIFS('ON Data'!S:S,'ON Data'!$E:$E,1)/'ON Data'!$D$3),1)</f>
        <v>0</v>
      </c>
      <c r="O6" s="433">
        <f xml:space="preserve">
TRUNC(IF($A$4&lt;=12,SUMIFS('ON Data'!T:T,'ON Data'!$D:$D,$A$4,'ON Data'!$E:$E,1),SUMIFS('ON Data'!T:T,'ON Data'!$E:$E,1)/'ON Data'!$D$3),1)</f>
        <v>0</v>
      </c>
      <c r="P6" s="433">
        <f xml:space="preserve">
TRUNC(IF($A$4&lt;=12,SUMIFS('ON Data'!U:U,'ON Data'!$D:$D,$A$4,'ON Data'!$E:$E,1),SUMIFS('ON Data'!U:U,'ON Data'!$E:$E,1)/'ON Data'!$D$3),1)</f>
        <v>0</v>
      </c>
      <c r="Q6" s="433">
        <f xml:space="preserve">
TRUNC(IF($A$4&lt;=12,SUMIFS('ON Data'!V:V,'ON Data'!$D:$D,$A$4,'ON Data'!$E:$E,1),SUMIFS('ON Data'!V:V,'ON Data'!$E:$E,1)/'ON Data'!$D$3),1)</f>
        <v>0</v>
      </c>
      <c r="R6" s="433">
        <f xml:space="preserve">
TRUNC(IF($A$4&lt;=12,SUMIFS('ON Data'!W:W,'ON Data'!$D:$D,$A$4,'ON Data'!$E:$E,1),SUMIFS('ON Data'!W:W,'ON Data'!$E:$E,1)/'ON Data'!$D$3),1)</f>
        <v>0</v>
      </c>
      <c r="S6" s="433">
        <f xml:space="preserve">
TRUNC(IF($A$4&lt;=12,SUMIFS('ON Data'!X:X,'ON Data'!$D:$D,$A$4,'ON Data'!$E:$E,1),SUMIFS('ON Data'!X:X,'ON Data'!$E:$E,1)/'ON Data'!$D$3),1)</f>
        <v>0</v>
      </c>
      <c r="T6" s="433">
        <f xml:space="preserve">
TRUNC(IF($A$4&lt;=12,SUMIFS('ON Data'!Y:Y,'ON Data'!$D:$D,$A$4,'ON Data'!$E:$E,1),SUMIFS('ON Data'!Y:Y,'ON Data'!$E:$E,1)/'ON Data'!$D$3),1)</f>
        <v>0</v>
      </c>
      <c r="U6" s="433">
        <f xml:space="preserve">
TRUNC(IF($A$4&lt;=12,SUMIFS('ON Data'!Z:Z,'ON Data'!$D:$D,$A$4,'ON Data'!$E:$E,1),SUMIFS('ON Data'!Z:Z,'ON Data'!$E:$E,1)/'ON Data'!$D$3),1)</f>
        <v>0</v>
      </c>
      <c r="V6" s="433">
        <f xml:space="preserve">
TRUNC(IF($A$4&lt;=12,SUMIFS('ON Data'!AA:AA,'ON Data'!$D:$D,$A$4,'ON Data'!$E:$E,1),SUMIFS('ON Data'!AA:AA,'ON Data'!$E:$E,1)/'ON Data'!$D$3),1)</f>
        <v>0</v>
      </c>
      <c r="W6" s="433">
        <f xml:space="preserve">
TRUNC(IF($A$4&lt;=12,SUMIFS('ON Data'!AB:AB,'ON Data'!$D:$D,$A$4,'ON Data'!$E:$E,1),SUMIFS('ON Data'!AB:AB,'ON Data'!$E:$E,1)/'ON Data'!$D$3),1)</f>
        <v>0</v>
      </c>
      <c r="X6" s="433">
        <f xml:space="preserve">
TRUNC(IF($A$4&lt;=12,SUMIFS('ON Data'!AC:AC,'ON Data'!$D:$D,$A$4,'ON Data'!$E:$E,1),SUMIFS('ON Data'!AC:AC,'ON Data'!$E:$E,1)/'ON Data'!$D$3),1)</f>
        <v>0</v>
      </c>
      <c r="Y6" s="433">
        <f xml:space="preserve">
TRUNC(IF($A$4&lt;=12,SUMIFS('ON Data'!AD:AD,'ON Data'!$D:$D,$A$4,'ON Data'!$E:$E,1),SUMIFS('ON Data'!AD:AD,'ON Data'!$E:$E,1)/'ON Data'!$D$3),1)</f>
        <v>0</v>
      </c>
      <c r="Z6" s="433">
        <f xml:space="preserve">
TRUNC(IF($A$4&lt;=12,SUMIFS('ON Data'!AE:AE,'ON Data'!$D:$D,$A$4,'ON Data'!$E:$E,1),SUMIFS('ON Data'!AE:AE,'ON Data'!$E:$E,1)/'ON Data'!$D$3),1)</f>
        <v>2</v>
      </c>
      <c r="AA6" s="433">
        <f xml:space="preserve">
TRUNC(IF($A$4&lt;=12,SUMIFS('ON Data'!AF:AF,'ON Data'!$D:$D,$A$4,'ON Data'!$E:$E,1),SUMIFS('ON Data'!AF:AF,'ON Data'!$E:$E,1)/'ON Data'!$D$3),1)</f>
        <v>0</v>
      </c>
      <c r="AB6" s="433">
        <f xml:space="preserve">
TRUNC(IF($A$4&lt;=12,SUMIFS('ON Data'!AG:AG,'ON Data'!$D:$D,$A$4,'ON Data'!$E:$E,1),SUMIFS('ON Data'!AG:AG,'ON Data'!$E:$E,1)/'ON Data'!$D$3),1)</f>
        <v>0</v>
      </c>
      <c r="AC6" s="433">
        <f xml:space="preserve">
TRUNC(IF($A$4&lt;=12,SUMIFS('ON Data'!AH:AH,'ON Data'!$D:$D,$A$4,'ON Data'!$E:$E,1),SUMIFS('ON Data'!AH:AH,'ON Data'!$E:$E,1)/'ON Data'!$D$3),1)</f>
        <v>2</v>
      </c>
      <c r="AD6" s="433">
        <f xml:space="preserve">
TRUNC(IF($A$4&lt;=12,SUMIFS('ON Data'!AI:AI,'ON Data'!$D:$D,$A$4,'ON Data'!$E:$E,1),SUMIFS('ON Data'!AI:AI,'ON Data'!$E:$E,1)/'ON Data'!$D$3),1)</f>
        <v>0</v>
      </c>
      <c r="AE6" s="433">
        <f xml:space="preserve">
TRUNC(IF($A$4&lt;=12,SUMIFS('ON Data'!AJ:AJ,'ON Data'!$D:$D,$A$4,'ON Data'!$E:$E,1),SUMIFS('ON Data'!AJ:AJ,'ON Data'!$E:$E,1)/'ON Data'!$D$3),1)</f>
        <v>0</v>
      </c>
      <c r="AF6" s="433">
        <f xml:space="preserve">
TRUNC(IF($A$4&lt;=12,SUMIFS('ON Data'!AK:AK,'ON Data'!$D:$D,$A$4,'ON Data'!$E:$E,1),SUMIFS('ON Data'!AK:AK,'ON Data'!$E:$E,1)/'ON Data'!$D$3),1)</f>
        <v>0</v>
      </c>
      <c r="AG6" s="728">
        <f xml:space="preserve">
TRUNC(IF($A$4&lt;=12,SUMIFS('ON Data'!AM:AM,'ON Data'!$D:$D,$A$4,'ON Data'!$E:$E,1),SUMIFS('ON Data'!AM:AM,'ON Data'!$E:$E,1)/'ON Data'!$D$3),1)</f>
        <v>1</v>
      </c>
      <c r="AH6" s="740"/>
    </row>
    <row r="7" spans="1:34" ht="15" hidden="1" outlineLevel="1" thickBot="1" x14ac:dyDescent="0.35">
      <c r="A7" s="393" t="s">
        <v>132</v>
      </c>
      <c r="B7" s="431"/>
      <c r="C7" s="434"/>
      <c r="D7" s="433"/>
      <c r="E7" s="433"/>
      <c r="F7" s="433"/>
      <c r="G7" s="433"/>
      <c r="H7" s="433"/>
      <c r="I7" s="433"/>
      <c r="J7" s="433"/>
      <c r="K7" s="433"/>
      <c r="L7" s="433"/>
      <c r="M7" s="433"/>
      <c r="N7" s="433"/>
      <c r="O7" s="433"/>
      <c r="P7" s="433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433"/>
      <c r="AE7" s="433"/>
      <c r="AF7" s="433"/>
      <c r="AG7" s="728"/>
      <c r="AH7" s="740"/>
    </row>
    <row r="8" spans="1:34" ht="15" hidden="1" outlineLevel="1" thickBot="1" x14ac:dyDescent="0.35">
      <c r="A8" s="393" t="s">
        <v>96</v>
      </c>
      <c r="B8" s="431"/>
      <c r="C8" s="434"/>
      <c r="D8" s="433"/>
      <c r="E8" s="433"/>
      <c r="F8" s="433"/>
      <c r="G8" s="433"/>
      <c r="H8" s="433"/>
      <c r="I8" s="433"/>
      <c r="J8" s="433"/>
      <c r="K8" s="433"/>
      <c r="L8" s="433"/>
      <c r="M8" s="433"/>
      <c r="N8" s="433"/>
      <c r="O8" s="433"/>
      <c r="P8" s="433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3"/>
      <c r="AD8" s="433"/>
      <c r="AE8" s="433"/>
      <c r="AF8" s="433"/>
      <c r="AG8" s="728"/>
      <c r="AH8" s="740"/>
    </row>
    <row r="9" spans="1:34" ht="15" hidden="1" outlineLevel="1" thickBot="1" x14ac:dyDescent="0.35">
      <c r="A9" s="394" t="s">
        <v>69</v>
      </c>
      <c r="B9" s="435"/>
      <c r="C9" s="436"/>
      <c r="D9" s="437"/>
      <c r="E9" s="437"/>
      <c r="F9" s="437"/>
      <c r="G9" s="437"/>
      <c r="H9" s="437"/>
      <c r="I9" s="437"/>
      <c r="J9" s="437"/>
      <c r="K9" s="437"/>
      <c r="L9" s="437"/>
      <c r="M9" s="437"/>
      <c r="N9" s="437"/>
      <c r="O9" s="437"/>
      <c r="P9" s="437"/>
      <c r="Q9" s="437"/>
      <c r="R9" s="437"/>
      <c r="S9" s="437"/>
      <c r="T9" s="437"/>
      <c r="U9" s="437"/>
      <c r="V9" s="437"/>
      <c r="W9" s="437"/>
      <c r="X9" s="437"/>
      <c r="Y9" s="437"/>
      <c r="Z9" s="437"/>
      <c r="AA9" s="437"/>
      <c r="AB9" s="437"/>
      <c r="AC9" s="437"/>
      <c r="AD9" s="437"/>
      <c r="AE9" s="437"/>
      <c r="AF9" s="437"/>
      <c r="AG9" s="729"/>
      <c r="AH9" s="740"/>
    </row>
    <row r="10" spans="1:34" x14ac:dyDescent="0.3">
      <c r="A10" s="395" t="s">
        <v>260</v>
      </c>
      <c r="B10" s="410"/>
      <c r="C10" s="411"/>
      <c r="D10" s="412"/>
      <c r="E10" s="412"/>
      <c r="F10" s="412"/>
      <c r="G10" s="412"/>
      <c r="H10" s="412"/>
      <c r="I10" s="412"/>
      <c r="J10" s="412"/>
      <c r="K10" s="412"/>
      <c r="L10" s="412"/>
      <c r="M10" s="412"/>
      <c r="N10" s="412"/>
      <c r="O10" s="412"/>
      <c r="P10" s="412"/>
      <c r="Q10" s="412"/>
      <c r="R10" s="412"/>
      <c r="S10" s="412"/>
      <c r="T10" s="412"/>
      <c r="U10" s="412"/>
      <c r="V10" s="412"/>
      <c r="W10" s="412"/>
      <c r="X10" s="412"/>
      <c r="Y10" s="412"/>
      <c r="Z10" s="412"/>
      <c r="AA10" s="412"/>
      <c r="AB10" s="412"/>
      <c r="AC10" s="412"/>
      <c r="AD10" s="412"/>
      <c r="AE10" s="412"/>
      <c r="AF10" s="412"/>
      <c r="AG10" s="730"/>
      <c r="AH10" s="740"/>
    </row>
    <row r="11" spans="1:34" x14ac:dyDescent="0.3">
      <c r="A11" s="396" t="s">
        <v>261</v>
      </c>
      <c r="B11" s="413">
        <f xml:space="preserve">
IF($A$4&lt;=12,SUMIFS('ON Data'!F:F,'ON Data'!$D:$D,$A$4,'ON Data'!$E:$E,2),SUMIFS('ON Data'!F:F,'ON Data'!$E:$E,2))</f>
        <v>21945.66</v>
      </c>
      <c r="C11" s="414">
        <f xml:space="preserve">
IF($A$4&lt;=12,SUMIFS('ON Data'!G:G,'ON Data'!$D:$D,$A$4,'ON Data'!$E:$E,2),SUMIFS('ON Data'!G:G,'ON Data'!$E:$E,2))</f>
        <v>0</v>
      </c>
      <c r="D11" s="415">
        <f xml:space="preserve">
IF($A$4&lt;=12,SUMIFS('ON Data'!H:H,'ON Data'!$D:$D,$A$4,'ON Data'!$E:$E,2),SUMIFS('ON Data'!H:H,'ON Data'!$E:$E,2))</f>
        <v>3595.4</v>
      </c>
      <c r="E11" s="415">
        <f xml:space="preserve">
IF($A$4&lt;=12,SUMIFS('ON Data'!I:I,'ON Data'!$D:$D,$A$4,'ON Data'!$E:$E,2),SUMIFS('ON Data'!I:I,'ON Data'!$E:$E,2))</f>
        <v>0</v>
      </c>
      <c r="F11" s="415">
        <f xml:space="preserve">
IF($A$4&lt;=12,SUMIFS('ON Data'!K:K,'ON Data'!$D:$D,$A$4,'ON Data'!$E:$E,2),SUMIFS('ON Data'!K:K,'ON Data'!$E:$E,2))</f>
        <v>16071.760000000002</v>
      </c>
      <c r="G11" s="415">
        <f xml:space="preserve">
IF($A$4&lt;=12,SUMIFS('ON Data'!L:L,'ON Data'!$D:$D,$A$4,'ON Data'!$E:$E,2),SUMIFS('ON Data'!L:L,'ON Data'!$E:$E,2))</f>
        <v>0</v>
      </c>
      <c r="H11" s="415">
        <f xml:space="preserve">
IF($A$4&lt;=12,SUMIFS('ON Data'!M:M,'ON Data'!$D:$D,$A$4,'ON Data'!$E:$E,2),SUMIFS('ON Data'!M:M,'ON Data'!$E:$E,2))</f>
        <v>0</v>
      </c>
      <c r="I11" s="415">
        <f xml:space="preserve">
IF($A$4&lt;=12,SUMIFS('ON Data'!N:N,'ON Data'!$D:$D,$A$4,'ON Data'!$E:$E,2),SUMIFS('ON Data'!N:N,'ON Data'!$E:$E,2))</f>
        <v>0</v>
      </c>
      <c r="J11" s="415">
        <f xml:space="preserve">
IF($A$4&lt;=12,SUMIFS('ON Data'!O:O,'ON Data'!$D:$D,$A$4,'ON Data'!$E:$E,2),SUMIFS('ON Data'!O:O,'ON Data'!$E:$E,2))</f>
        <v>0</v>
      </c>
      <c r="K11" s="415">
        <f xml:space="preserve">
IF($A$4&lt;=12,SUMIFS('ON Data'!P:P,'ON Data'!$D:$D,$A$4,'ON Data'!$E:$E,2),SUMIFS('ON Data'!P:P,'ON Data'!$E:$E,2))</f>
        <v>0</v>
      </c>
      <c r="L11" s="415">
        <f xml:space="preserve">
IF($A$4&lt;=12,SUMIFS('ON Data'!Q:Q,'ON Data'!$D:$D,$A$4,'ON Data'!$E:$E,2),SUMIFS('ON Data'!Q:Q,'ON Data'!$E:$E,2))</f>
        <v>0</v>
      </c>
      <c r="M11" s="415">
        <f xml:space="preserve">
IF($A$4&lt;=12,SUMIFS('ON Data'!R:R,'ON Data'!$D:$D,$A$4,'ON Data'!$E:$E,2),SUMIFS('ON Data'!R:R,'ON Data'!$E:$E,2))</f>
        <v>0</v>
      </c>
      <c r="N11" s="415">
        <f xml:space="preserve">
IF($A$4&lt;=12,SUMIFS('ON Data'!S:S,'ON Data'!$D:$D,$A$4,'ON Data'!$E:$E,2),SUMIFS('ON Data'!S:S,'ON Data'!$E:$E,2))</f>
        <v>0</v>
      </c>
      <c r="O11" s="415">
        <f xml:space="preserve">
IF($A$4&lt;=12,SUMIFS('ON Data'!T:T,'ON Data'!$D:$D,$A$4,'ON Data'!$E:$E,2),SUMIFS('ON Data'!T:T,'ON Data'!$E:$E,2))</f>
        <v>0</v>
      </c>
      <c r="P11" s="415">
        <f xml:space="preserve">
IF($A$4&lt;=12,SUMIFS('ON Data'!U:U,'ON Data'!$D:$D,$A$4,'ON Data'!$E:$E,2),SUMIFS('ON Data'!U:U,'ON Data'!$E:$E,2))</f>
        <v>0</v>
      </c>
      <c r="Q11" s="415">
        <f xml:space="preserve">
IF($A$4&lt;=12,SUMIFS('ON Data'!V:V,'ON Data'!$D:$D,$A$4,'ON Data'!$E:$E,2),SUMIFS('ON Data'!V:V,'ON Data'!$E:$E,2))</f>
        <v>0</v>
      </c>
      <c r="R11" s="415">
        <f xml:space="preserve">
IF($A$4&lt;=12,SUMIFS('ON Data'!W:W,'ON Data'!$D:$D,$A$4,'ON Data'!$E:$E,2),SUMIFS('ON Data'!W:W,'ON Data'!$E:$E,2))</f>
        <v>0</v>
      </c>
      <c r="S11" s="415">
        <f xml:space="preserve">
IF($A$4&lt;=12,SUMIFS('ON Data'!X:X,'ON Data'!$D:$D,$A$4,'ON Data'!$E:$E,2),SUMIFS('ON Data'!X:X,'ON Data'!$E:$E,2))</f>
        <v>0</v>
      </c>
      <c r="T11" s="415">
        <f xml:space="preserve">
IF($A$4&lt;=12,SUMIFS('ON Data'!Y:Y,'ON Data'!$D:$D,$A$4,'ON Data'!$E:$E,2),SUMIFS('ON Data'!Y:Y,'ON Data'!$E:$E,2))</f>
        <v>0</v>
      </c>
      <c r="U11" s="415">
        <f xml:space="preserve">
IF($A$4&lt;=12,SUMIFS('ON Data'!Z:Z,'ON Data'!$D:$D,$A$4,'ON Data'!$E:$E,2),SUMIFS('ON Data'!Z:Z,'ON Data'!$E:$E,2))</f>
        <v>0</v>
      </c>
      <c r="V11" s="415">
        <f xml:space="preserve">
IF($A$4&lt;=12,SUMIFS('ON Data'!AA:AA,'ON Data'!$D:$D,$A$4,'ON Data'!$E:$E,2),SUMIFS('ON Data'!AA:AA,'ON Data'!$E:$E,2))</f>
        <v>0</v>
      </c>
      <c r="W11" s="415">
        <f xml:space="preserve">
IF($A$4&lt;=12,SUMIFS('ON Data'!AB:AB,'ON Data'!$D:$D,$A$4,'ON Data'!$E:$E,2),SUMIFS('ON Data'!AB:AB,'ON Data'!$E:$E,2))</f>
        <v>0</v>
      </c>
      <c r="X11" s="415">
        <f xml:space="preserve">
IF($A$4&lt;=12,SUMIFS('ON Data'!AC:AC,'ON Data'!$D:$D,$A$4,'ON Data'!$E:$E,2),SUMIFS('ON Data'!AC:AC,'ON Data'!$E:$E,2))</f>
        <v>0</v>
      </c>
      <c r="Y11" s="415">
        <f xml:space="preserve">
IF($A$4&lt;=12,SUMIFS('ON Data'!AD:AD,'ON Data'!$D:$D,$A$4,'ON Data'!$E:$E,2),SUMIFS('ON Data'!AD:AD,'ON Data'!$E:$E,2))</f>
        <v>0</v>
      </c>
      <c r="Z11" s="415">
        <f xml:space="preserve">
IF($A$4&lt;=12,SUMIFS('ON Data'!AE:AE,'ON Data'!$D:$D,$A$4,'ON Data'!$E:$E,2),SUMIFS('ON Data'!AE:AE,'ON Data'!$E:$E,2))</f>
        <v>852.5</v>
      </c>
      <c r="AA11" s="415">
        <f xml:space="preserve">
IF($A$4&lt;=12,SUMIFS('ON Data'!AF:AF,'ON Data'!$D:$D,$A$4,'ON Data'!$E:$E,2),SUMIFS('ON Data'!AF:AF,'ON Data'!$E:$E,2))</f>
        <v>0</v>
      </c>
      <c r="AB11" s="415">
        <f xml:space="preserve">
IF($A$4&lt;=12,SUMIFS('ON Data'!AG:AG,'ON Data'!$D:$D,$A$4,'ON Data'!$E:$E,2),SUMIFS('ON Data'!AG:AG,'ON Data'!$E:$E,2))</f>
        <v>0</v>
      </c>
      <c r="AC11" s="415">
        <f xml:space="preserve">
IF($A$4&lt;=12,SUMIFS('ON Data'!AH:AH,'ON Data'!$D:$D,$A$4,'ON Data'!$E:$E,2),SUMIFS('ON Data'!AH:AH,'ON Data'!$E:$E,2))</f>
        <v>930</v>
      </c>
      <c r="AD11" s="415">
        <f xml:space="preserve">
IF($A$4&lt;=12,SUMIFS('ON Data'!AI:AI,'ON Data'!$D:$D,$A$4,'ON Data'!$E:$E,2),SUMIFS('ON Data'!AI:AI,'ON Data'!$E:$E,2))</f>
        <v>0</v>
      </c>
      <c r="AE11" s="415">
        <f xml:space="preserve">
IF($A$4&lt;=12,SUMIFS('ON Data'!AJ:AJ,'ON Data'!$D:$D,$A$4,'ON Data'!$E:$E,2),SUMIFS('ON Data'!AJ:AJ,'ON Data'!$E:$E,2))</f>
        <v>0</v>
      </c>
      <c r="AF11" s="415">
        <f xml:space="preserve">
IF($A$4&lt;=12,SUMIFS('ON Data'!AK:AK,'ON Data'!$D:$D,$A$4,'ON Data'!$E:$E,2),SUMIFS('ON Data'!AK:AK,'ON Data'!$E:$E,2))</f>
        <v>0</v>
      </c>
      <c r="AG11" s="731">
        <f xml:space="preserve">
IF($A$4&lt;=12,SUMIFS('ON Data'!AM:AM,'ON Data'!$D:$D,$A$4,'ON Data'!$E:$E,2),SUMIFS('ON Data'!AM:AM,'ON Data'!$E:$E,2))</f>
        <v>496</v>
      </c>
      <c r="AH11" s="740"/>
    </row>
    <row r="12" spans="1:34" x14ac:dyDescent="0.3">
      <c r="A12" s="396" t="s">
        <v>262</v>
      </c>
      <c r="B12" s="413">
        <f xml:space="preserve">
IF($A$4&lt;=12,SUMIFS('ON Data'!F:F,'ON Data'!$D:$D,$A$4,'ON Data'!$E:$E,3),SUMIFS('ON Data'!F:F,'ON Data'!$E:$E,3))</f>
        <v>363</v>
      </c>
      <c r="C12" s="414">
        <f xml:space="preserve">
IF($A$4&lt;=12,SUMIFS('ON Data'!G:G,'ON Data'!$D:$D,$A$4,'ON Data'!$E:$E,3),SUMIFS('ON Data'!G:G,'ON Data'!$E:$E,3))</f>
        <v>0</v>
      </c>
      <c r="D12" s="415">
        <f xml:space="preserve">
IF($A$4&lt;=12,SUMIFS('ON Data'!H:H,'ON Data'!$D:$D,$A$4,'ON Data'!$E:$E,3),SUMIFS('ON Data'!H:H,'ON Data'!$E:$E,3))</f>
        <v>20</v>
      </c>
      <c r="E12" s="415">
        <f xml:space="preserve">
IF($A$4&lt;=12,SUMIFS('ON Data'!I:I,'ON Data'!$D:$D,$A$4,'ON Data'!$E:$E,3),SUMIFS('ON Data'!I:I,'ON Data'!$E:$E,3))</f>
        <v>0</v>
      </c>
      <c r="F12" s="415">
        <f xml:space="preserve">
IF($A$4&lt;=12,SUMIFS('ON Data'!K:K,'ON Data'!$D:$D,$A$4,'ON Data'!$E:$E,3),SUMIFS('ON Data'!K:K,'ON Data'!$E:$E,3))</f>
        <v>343</v>
      </c>
      <c r="G12" s="415">
        <f xml:space="preserve">
IF($A$4&lt;=12,SUMIFS('ON Data'!L:L,'ON Data'!$D:$D,$A$4,'ON Data'!$E:$E,3),SUMIFS('ON Data'!L:L,'ON Data'!$E:$E,3))</f>
        <v>0</v>
      </c>
      <c r="H12" s="415">
        <f xml:space="preserve">
IF($A$4&lt;=12,SUMIFS('ON Data'!M:M,'ON Data'!$D:$D,$A$4,'ON Data'!$E:$E,3),SUMIFS('ON Data'!M:M,'ON Data'!$E:$E,3))</f>
        <v>0</v>
      </c>
      <c r="I12" s="415">
        <f xml:space="preserve">
IF($A$4&lt;=12,SUMIFS('ON Data'!N:N,'ON Data'!$D:$D,$A$4,'ON Data'!$E:$E,3),SUMIFS('ON Data'!N:N,'ON Data'!$E:$E,3))</f>
        <v>0</v>
      </c>
      <c r="J12" s="415">
        <f xml:space="preserve">
IF($A$4&lt;=12,SUMIFS('ON Data'!O:O,'ON Data'!$D:$D,$A$4,'ON Data'!$E:$E,3),SUMIFS('ON Data'!O:O,'ON Data'!$E:$E,3))</f>
        <v>0</v>
      </c>
      <c r="K12" s="415">
        <f xml:space="preserve">
IF($A$4&lt;=12,SUMIFS('ON Data'!P:P,'ON Data'!$D:$D,$A$4,'ON Data'!$E:$E,3),SUMIFS('ON Data'!P:P,'ON Data'!$E:$E,3))</f>
        <v>0</v>
      </c>
      <c r="L12" s="415">
        <f xml:space="preserve">
IF($A$4&lt;=12,SUMIFS('ON Data'!Q:Q,'ON Data'!$D:$D,$A$4,'ON Data'!$E:$E,3),SUMIFS('ON Data'!Q:Q,'ON Data'!$E:$E,3))</f>
        <v>0</v>
      </c>
      <c r="M12" s="415">
        <f xml:space="preserve">
IF($A$4&lt;=12,SUMIFS('ON Data'!R:R,'ON Data'!$D:$D,$A$4,'ON Data'!$E:$E,3),SUMIFS('ON Data'!R:R,'ON Data'!$E:$E,3))</f>
        <v>0</v>
      </c>
      <c r="N12" s="415">
        <f xml:space="preserve">
IF($A$4&lt;=12,SUMIFS('ON Data'!S:S,'ON Data'!$D:$D,$A$4,'ON Data'!$E:$E,3),SUMIFS('ON Data'!S:S,'ON Data'!$E:$E,3))</f>
        <v>0</v>
      </c>
      <c r="O12" s="415">
        <f xml:space="preserve">
IF($A$4&lt;=12,SUMIFS('ON Data'!T:T,'ON Data'!$D:$D,$A$4,'ON Data'!$E:$E,3),SUMIFS('ON Data'!T:T,'ON Data'!$E:$E,3))</f>
        <v>0</v>
      </c>
      <c r="P12" s="415">
        <f xml:space="preserve">
IF($A$4&lt;=12,SUMIFS('ON Data'!U:U,'ON Data'!$D:$D,$A$4,'ON Data'!$E:$E,3),SUMIFS('ON Data'!U:U,'ON Data'!$E:$E,3))</f>
        <v>0</v>
      </c>
      <c r="Q12" s="415">
        <f xml:space="preserve">
IF($A$4&lt;=12,SUMIFS('ON Data'!V:V,'ON Data'!$D:$D,$A$4,'ON Data'!$E:$E,3),SUMIFS('ON Data'!V:V,'ON Data'!$E:$E,3))</f>
        <v>0</v>
      </c>
      <c r="R12" s="415">
        <f xml:space="preserve">
IF($A$4&lt;=12,SUMIFS('ON Data'!W:W,'ON Data'!$D:$D,$A$4,'ON Data'!$E:$E,3),SUMIFS('ON Data'!W:W,'ON Data'!$E:$E,3))</f>
        <v>0</v>
      </c>
      <c r="S12" s="415">
        <f xml:space="preserve">
IF($A$4&lt;=12,SUMIFS('ON Data'!X:X,'ON Data'!$D:$D,$A$4,'ON Data'!$E:$E,3),SUMIFS('ON Data'!X:X,'ON Data'!$E:$E,3))</f>
        <v>0</v>
      </c>
      <c r="T12" s="415">
        <f xml:space="preserve">
IF($A$4&lt;=12,SUMIFS('ON Data'!Y:Y,'ON Data'!$D:$D,$A$4,'ON Data'!$E:$E,3),SUMIFS('ON Data'!Y:Y,'ON Data'!$E:$E,3))</f>
        <v>0</v>
      </c>
      <c r="U12" s="415">
        <f xml:space="preserve">
IF($A$4&lt;=12,SUMIFS('ON Data'!Z:Z,'ON Data'!$D:$D,$A$4,'ON Data'!$E:$E,3),SUMIFS('ON Data'!Z:Z,'ON Data'!$E:$E,3))</f>
        <v>0</v>
      </c>
      <c r="V12" s="415">
        <f xml:space="preserve">
IF($A$4&lt;=12,SUMIFS('ON Data'!AA:AA,'ON Data'!$D:$D,$A$4,'ON Data'!$E:$E,3),SUMIFS('ON Data'!AA:AA,'ON Data'!$E:$E,3))</f>
        <v>0</v>
      </c>
      <c r="W12" s="415">
        <f xml:space="preserve">
IF($A$4&lt;=12,SUMIFS('ON Data'!AB:AB,'ON Data'!$D:$D,$A$4,'ON Data'!$E:$E,3),SUMIFS('ON Data'!AB:AB,'ON Data'!$E:$E,3))</f>
        <v>0</v>
      </c>
      <c r="X12" s="415">
        <f xml:space="preserve">
IF($A$4&lt;=12,SUMIFS('ON Data'!AC:AC,'ON Data'!$D:$D,$A$4,'ON Data'!$E:$E,3),SUMIFS('ON Data'!AC:AC,'ON Data'!$E:$E,3))</f>
        <v>0</v>
      </c>
      <c r="Y12" s="415">
        <f xml:space="preserve">
IF($A$4&lt;=12,SUMIFS('ON Data'!AD:AD,'ON Data'!$D:$D,$A$4,'ON Data'!$E:$E,3),SUMIFS('ON Data'!AD:AD,'ON Data'!$E:$E,3))</f>
        <v>0</v>
      </c>
      <c r="Z12" s="415">
        <f xml:space="preserve">
IF($A$4&lt;=12,SUMIFS('ON Data'!AE:AE,'ON Data'!$D:$D,$A$4,'ON Data'!$E:$E,3),SUMIFS('ON Data'!AE:AE,'ON Data'!$E:$E,3))</f>
        <v>0</v>
      </c>
      <c r="AA12" s="415">
        <f xml:space="preserve">
IF($A$4&lt;=12,SUMIFS('ON Data'!AF:AF,'ON Data'!$D:$D,$A$4,'ON Data'!$E:$E,3),SUMIFS('ON Data'!AF:AF,'ON Data'!$E:$E,3))</f>
        <v>0</v>
      </c>
      <c r="AB12" s="415">
        <f xml:space="preserve">
IF($A$4&lt;=12,SUMIFS('ON Data'!AG:AG,'ON Data'!$D:$D,$A$4,'ON Data'!$E:$E,3),SUMIFS('ON Data'!AG:AG,'ON Data'!$E:$E,3))</f>
        <v>0</v>
      </c>
      <c r="AC12" s="415">
        <f xml:space="preserve">
IF($A$4&lt;=12,SUMIFS('ON Data'!AH:AH,'ON Data'!$D:$D,$A$4,'ON Data'!$E:$E,3),SUMIFS('ON Data'!AH:AH,'ON Data'!$E:$E,3))</f>
        <v>0</v>
      </c>
      <c r="AD12" s="415">
        <f xml:space="preserve">
IF($A$4&lt;=12,SUMIFS('ON Data'!AI:AI,'ON Data'!$D:$D,$A$4,'ON Data'!$E:$E,3),SUMIFS('ON Data'!AI:AI,'ON Data'!$E:$E,3))</f>
        <v>0</v>
      </c>
      <c r="AE12" s="415">
        <f xml:space="preserve">
IF($A$4&lt;=12,SUMIFS('ON Data'!AJ:AJ,'ON Data'!$D:$D,$A$4,'ON Data'!$E:$E,3),SUMIFS('ON Data'!AJ:AJ,'ON Data'!$E:$E,3))</f>
        <v>0</v>
      </c>
      <c r="AF12" s="415">
        <f xml:space="preserve">
IF($A$4&lt;=12,SUMIFS('ON Data'!AK:AK,'ON Data'!$D:$D,$A$4,'ON Data'!$E:$E,3),SUMIFS('ON Data'!AK:AK,'ON Data'!$E:$E,3))</f>
        <v>0</v>
      </c>
      <c r="AG12" s="731">
        <f xml:space="preserve">
IF($A$4&lt;=12,SUMIFS('ON Data'!AM:AM,'ON Data'!$D:$D,$A$4,'ON Data'!$E:$E,3),SUMIFS('ON Data'!AM:AM,'ON Data'!$E:$E,3))</f>
        <v>0</v>
      </c>
      <c r="AH12" s="740"/>
    </row>
    <row r="13" spans="1:34" x14ac:dyDescent="0.3">
      <c r="A13" s="396" t="s">
        <v>269</v>
      </c>
      <c r="B13" s="413">
        <f xml:space="preserve">
IF($A$4&lt;=12,SUMIFS('ON Data'!F:F,'ON Data'!$D:$D,$A$4,'ON Data'!$E:$E,4),SUMIFS('ON Data'!F:F,'ON Data'!$E:$E,4))</f>
        <v>1648</v>
      </c>
      <c r="C13" s="414">
        <f xml:space="preserve">
IF($A$4&lt;=12,SUMIFS('ON Data'!G:G,'ON Data'!$D:$D,$A$4,'ON Data'!$E:$E,4),SUMIFS('ON Data'!G:G,'ON Data'!$E:$E,4))</f>
        <v>0</v>
      </c>
      <c r="D13" s="415">
        <f xml:space="preserve">
IF($A$4&lt;=12,SUMIFS('ON Data'!H:H,'ON Data'!$D:$D,$A$4,'ON Data'!$E:$E,4),SUMIFS('ON Data'!H:H,'ON Data'!$E:$E,4))</f>
        <v>304</v>
      </c>
      <c r="E13" s="415">
        <f xml:space="preserve">
IF($A$4&lt;=12,SUMIFS('ON Data'!I:I,'ON Data'!$D:$D,$A$4,'ON Data'!$E:$E,4),SUMIFS('ON Data'!I:I,'ON Data'!$E:$E,4))</f>
        <v>0</v>
      </c>
      <c r="F13" s="415">
        <f xml:space="preserve">
IF($A$4&lt;=12,SUMIFS('ON Data'!K:K,'ON Data'!$D:$D,$A$4,'ON Data'!$E:$E,4),SUMIFS('ON Data'!K:K,'ON Data'!$E:$E,4))</f>
        <v>1269</v>
      </c>
      <c r="G13" s="415">
        <f xml:space="preserve">
IF($A$4&lt;=12,SUMIFS('ON Data'!L:L,'ON Data'!$D:$D,$A$4,'ON Data'!$E:$E,4),SUMIFS('ON Data'!L:L,'ON Data'!$E:$E,4))</f>
        <v>0</v>
      </c>
      <c r="H13" s="415">
        <f xml:space="preserve">
IF($A$4&lt;=12,SUMIFS('ON Data'!M:M,'ON Data'!$D:$D,$A$4,'ON Data'!$E:$E,4),SUMIFS('ON Data'!M:M,'ON Data'!$E:$E,4))</f>
        <v>0</v>
      </c>
      <c r="I13" s="415">
        <f xml:space="preserve">
IF($A$4&lt;=12,SUMIFS('ON Data'!N:N,'ON Data'!$D:$D,$A$4,'ON Data'!$E:$E,4),SUMIFS('ON Data'!N:N,'ON Data'!$E:$E,4))</f>
        <v>0</v>
      </c>
      <c r="J13" s="415">
        <f xml:space="preserve">
IF($A$4&lt;=12,SUMIFS('ON Data'!O:O,'ON Data'!$D:$D,$A$4,'ON Data'!$E:$E,4),SUMIFS('ON Data'!O:O,'ON Data'!$E:$E,4))</f>
        <v>0</v>
      </c>
      <c r="K13" s="415">
        <f xml:space="preserve">
IF($A$4&lt;=12,SUMIFS('ON Data'!P:P,'ON Data'!$D:$D,$A$4,'ON Data'!$E:$E,4),SUMIFS('ON Data'!P:P,'ON Data'!$E:$E,4))</f>
        <v>0</v>
      </c>
      <c r="L13" s="415">
        <f xml:space="preserve">
IF($A$4&lt;=12,SUMIFS('ON Data'!Q:Q,'ON Data'!$D:$D,$A$4,'ON Data'!$E:$E,4),SUMIFS('ON Data'!Q:Q,'ON Data'!$E:$E,4))</f>
        <v>0</v>
      </c>
      <c r="M13" s="415">
        <f xml:space="preserve">
IF($A$4&lt;=12,SUMIFS('ON Data'!R:R,'ON Data'!$D:$D,$A$4,'ON Data'!$E:$E,4),SUMIFS('ON Data'!R:R,'ON Data'!$E:$E,4))</f>
        <v>0</v>
      </c>
      <c r="N13" s="415">
        <f xml:space="preserve">
IF($A$4&lt;=12,SUMIFS('ON Data'!S:S,'ON Data'!$D:$D,$A$4,'ON Data'!$E:$E,4),SUMIFS('ON Data'!S:S,'ON Data'!$E:$E,4))</f>
        <v>0</v>
      </c>
      <c r="O13" s="415">
        <f xml:space="preserve">
IF($A$4&lt;=12,SUMIFS('ON Data'!T:T,'ON Data'!$D:$D,$A$4,'ON Data'!$E:$E,4),SUMIFS('ON Data'!T:T,'ON Data'!$E:$E,4))</f>
        <v>0</v>
      </c>
      <c r="P13" s="415">
        <f xml:space="preserve">
IF($A$4&lt;=12,SUMIFS('ON Data'!U:U,'ON Data'!$D:$D,$A$4,'ON Data'!$E:$E,4),SUMIFS('ON Data'!U:U,'ON Data'!$E:$E,4))</f>
        <v>0</v>
      </c>
      <c r="Q13" s="415">
        <f xml:space="preserve">
IF($A$4&lt;=12,SUMIFS('ON Data'!V:V,'ON Data'!$D:$D,$A$4,'ON Data'!$E:$E,4),SUMIFS('ON Data'!V:V,'ON Data'!$E:$E,4))</f>
        <v>0</v>
      </c>
      <c r="R13" s="415">
        <f xml:space="preserve">
IF($A$4&lt;=12,SUMIFS('ON Data'!W:W,'ON Data'!$D:$D,$A$4,'ON Data'!$E:$E,4),SUMIFS('ON Data'!W:W,'ON Data'!$E:$E,4))</f>
        <v>0</v>
      </c>
      <c r="S13" s="415">
        <f xml:space="preserve">
IF($A$4&lt;=12,SUMIFS('ON Data'!X:X,'ON Data'!$D:$D,$A$4,'ON Data'!$E:$E,4),SUMIFS('ON Data'!X:X,'ON Data'!$E:$E,4))</f>
        <v>0</v>
      </c>
      <c r="T13" s="415">
        <f xml:space="preserve">
IF($A$4&lt;=12,SUMIFS('ON Data'!Y:Y,'ON Data'!$D:$D,$A$4,'ON Data'!$E:$E,4),SUMIFS('ON Data'!Y:Y,'ON Data'!$E:$E,4))</f>
        <v>0</v>
      </c>
      <c r="U13" s="415">
        <f xml:space="preserve">
IF($A$4&lt;=12,SUMIFS('ON Data'!Z:Z,'ON Data'!$D:$D,$A$4,'ON Data'!$E:$E,4),SUMIFS('ON Data'!Z:Z,'ON Data'!$E:$E,4))</f>
        <v>0</v>
      </c>
      <c r="V13" s="415">
        <f xml:space="preserve">
IF($A$4&lt;=12,SUMIFS('ON Data'!AA:AA,'ON Data'!$D:$D,$A$4,'ON Data'!$E:$E,4),SUMIFS('ON Data'!AA:AA,'ON Data'!$E:$E,4))</f>
        <v>0</v>
      </c>
      <c r="W13" s="415">
        <f xml:space="preserve">
IF($A$4&lt;=12,SUMIFS('ON Data'!AB:AB,'ON Data'!$D:$D,$A$4,'ON Data'!$E:$E,4),SUMIFS('ON Data'!AB:AB,'ON Data'!$E:$E,4))</f>
        <v>0</v>
      </c>
      <c r="X13" s="415">
        <f xml:space="preserve">
IF($A$4&lt;=12,SUMIFS('ON Data'!AC:AC,'ON Data'!$D:$D,$A$4,'ON Data'!$E:$E,4),SUMIFS('ON Data'!AC:AC,'ON Data'!$E:$E,4))</f>
        <v>0</v>
      </c>
      <c r="Y13" s="415">
        <f xml:space="preserve">
IF($A$4&lt;=12,SUMIFS('ON Data'!AD:AD,'ON Data'!$D:$D,$A$4,'ON Data'!$E:$E,4),SUMIFS('ON Data'!AD:AD,'ON Data'!$E:$E,4))</f>
        <v>0</v>
      </c>
      <c r="Z13" s="415">
        <f xml:space="preserve">
IF($A$4&lt;=12,SUMIFS('ON Data'!AE:AE,'ON Data'!$D:$D,$A$4,'ON Data'!$E:$E,4),SUMIFS('ON Data'!AE:AE,'ON Data'!$E:$E,4))</f>
        <v>40</v>
      </c>
      <c r="AA13" s="415">
        <f xml:space="preserve">
IF($A$4&lt;=12,SUMIFS('ON Data'!AF:AF,'ON Data'!$D:$D,$A$4,'ON Data'!$E:$E,4),SUMIFS('ON Data'!AF:AF,'ON Data'!$E:$E,4))</f>
        <v>0</v>
      </c>
      <c r="AB13" s="415">
        <f xml:space="preserve">
IF($A$4&lt;=12,SUMIFS('ON Data'!AG:AG,'ON Data'!$D:$D,$A$4,'ON Data'!$E:$E,4),SUMIFS('ON Data'!AG:AG,'ON Data'!$E:$E,4))</f>
        <v>0</v>
      </c>
      <c r="AC13" s="415">
        <f xml:space="preserve">
IF($A$4&lt;=12,SUMIFS('ON Data'!AH:AH,'ON Data'!$D:$D,$A$4,'ON Data'!$E:$E,4),SUMIFS('ON Data'!AH:AH,'ON Data'!$E:$E,4))</f>
        <v>35</v>
      </c>
      <c r="AD13" s="415">
        <f xml:space="preserve">
IF($A$4&lt;=12,SUMIFS('ON Data'!AI:AI,'ON Data'!$D:$D,$A$4,'ON Data'!$E:$E,4),SUMIFS('ON Data'!AI:AI,'ON Data'!$E:$E,4))</f>
        <v>0</v>
      </c>
      <c r="AE13" s="415">
        <f xml:space="preserve">
IF($A$4&lt;=12,SUMIFS('ON Data'!AJ:AJ,'ON Data'!$D:$D,$A$4,'ON Data'!$E:$E,4),SUMIFS('ON Data'!AJ:AJ,'ON Data'!$E:$E,4))</f>
        <v>0</v>
      </c>
      <c r="AF13" s="415">
        <f xml:space="preserve">
IF($A$4&lt;=12,SUMIFS('ON Data'!AK:AK,'ON Data'!$D:$D,$A$4,'ON Data'!$E:$E,4),SUMIFS('ON Data'!AK:AK,'ON Data'!$E:$E,4))</f>
        <v>0</v>
      </c>
      <c r="AG13" s="731">
        <f xml:space="preserve">
IF($A$4&lt;=12,SUMIFS('ON Data'!AM:AM,'ON Data'!$D:$D,$A$4,'ON Data'!$E:$E,4),SUMIFS('ON Data'!AM:AM,'ON Data'!$E:$E,4))</f>
        <v>0</v>
      </c>
      <c r="AH13" s="740"/>
    </row>
    <row r="14" spans="1:34" ht="15" thickBot="1" x14ac:dyDescent="0.35">
      <c r="A14" s="397" t="s">
        <v>263</v>
      </c>
      <c r="B14" s="416">
        <f xml:space="preserve">
IF($A$4&lt;=12,SUMIFS('ON Data'!F:F,'ON Data'!$D:$D,$A$4,'ON Data'!$E:$E,5),SUMIFS('ON Data'!F:F,'ON Data'!$E:$E,5))</f>
        <v>80</v>
      </c>
      <c r="C14" s="417">
        <f xml:space="preserve">
IF($A$4&lt;=12,SUMIFS('ON Data'!G:G,'ON Data'!$D:$D,$A$4,'ON Data'!$E:$E,5),SUMIFS('ON Data'!G:G,'ON Data'!$E:$E,5))</f>
        <v>80</v>
      </c>
      <c r="D14" s="418">
        <f xml:space="preserve">
IF($A$4&lt;=12,SUMIFS('ON Data'!H:H,'ON Data'!$D:$D,$A$4,'ON Data'!$E:$E,5),SUMIFS('ON Data'!H:H,'ON Data'!$E:$E,5))</f>
        <v>0</v>
      </c>
      <c r="E14" s="418">
        <f xml:space="preserve">
IF($A$4&lt;=12,SUMIFS('ON Data'!I:I,'ON Data'!$D:$D,$A$4,'ON Data'!$E:$E,5),SUMIFS('ON Data'!I:I,'ON Data'!$E:$E,5))</f>
        <v>0</v>
      </c>
      <c r="F14" s="418">
        <f xml:space="preserve">
IF($A$4&lt;=12,SUMIFS('ON Data'!K:K,'ON Data'!$D:$D,$A$4,'ON Data'!$E:$E,5),SUMIFS('ON Data'!K:K,'ON Data'!$E:$E,5))</f>
        <v>0</v>
      </c>
      <c r="G14" s="418">
        <f xml:space="preserve">
IF($A$4&lt;=12,SUMIFS('ON Data'!L:L,'ON Data'!$D:$D,$A$4,'ON Data'!$E:$E,5),SUMIFS('ON Data'!L:L,'ON Data'!$E:$E,5))</f>
        <v>0</v>
      </c>
      <c r="H14" s="418">
        <f xml:space="preserve">
IF($A$4&lt;=12,SUMIFS('ON Data'!M:M,'ON Data'!$D:$D,$A$4,'ON Data'!$E:$E,5),SUMIFS('ON Data'!M:M,'ON Data'!$E:$E,5))</f>
        <v>0</v>
      </c>
      <c r="I14" s="418">
        <f xml:space="preserve">
IF($A$4&lt;=12,SUMIFS('ON Data'!N:N,'ON Data'!$D:$D,$A$4,'ON Data'!$E:$E,5),SUMIFS('ON Data'!N:N,'ON Data'!$E:$E,5))</f>
        <v>0</v>
      </c>
      <c r="J14" s="418">
        <f xml:space="preserve">
IF($A$4&lt;=12,SUMIFS('ON Data'!O:O,'ON Data'!$D:$D,$A$4,'ON Data'!$E:$E,5),SUMIFS('ON Data'!O:O,'ON Data'!$E:$E,5))</f>
        <v>0</v>
      </c>
      <c r="K14" s="418">
        <f xml:space="preserve">
IF($A$4&lt;=12,SUMIFS('ON Data'!P:P,'ON Data'!$D:$D,$A$4,'ON Data'!$E:$E,5),SUMIFS('ON Data'!P:P,'ON Data'!$E:$E,5))</f>
        <v>0</v>
      </c>
      <c r="L14" s="418">
        <f xml:space="preserve">
IF($A$4&lt;=12,SUMIFS('ON Data'!Q:Q,'ON Data'!$D:$D,$A$4,'ON Data'!$E:$E,5),SUMIFS('ON Data'!Q:Q,'ON Data'!$E:$E,5))</f>
        <v>0</v>
      </c>
      <c r="M14" s="418">
        <f xml:space="preserve">
IF($A$4&lt;=12,SUMIFS('ON Data'!R:R,'ON Data'!$D:$D,$A$4,'ON Data'!$E:$E,5),SUMIFS('ON Data'!R:R,'ON Data'!$E:$E,5))</f>
        <v>0</v>
      </c>
      <c r="N14" s="418">
        <f xml:space="preserve">
IF($A$4&lt;=12,SUMIFS('ON Data'!S:S,'ON Data'!$D:$D,$A$4,'ON Data'!$E:$E,5),SUMIFS('ON Data'!S:S,'ON Data'!$E:$E,5))</f>
        <v>0</v>
      </c>
      <c r="O14" s="418">
        <f xml:space="preserve">
IF($A$4&lt;=12,SUMIFS('ON Data'!T:T,'ON Data'!$D:$D,$A$4,'ON Data'!$E:$E,5),SUMIFS('ON Data'!T:T,'ON Data'!$E:$E,5))</f>
        <v>0</v>
      </c>
      <c r="P14" s="418">
        <f xml:space="preserve">
IF($A$4&lt;=12,SUMIFS('ON Data'!U:U,'ON Data'!$D:$D,$A$4,'ON Data'!$E:$E,5),SUMIFS('ON Data'!U:U,'ON Data'!$E:$E,5))</f>
        <v>0</v>
      </c>
      <c r="Q14" s="418">
        <f xml:space="preserve">
IF($A$4&lt;=12,SUMIFS('ON Data'!V:V,'ON Data'!$D:$D,$A$4,'ON Data'!$E:$E,5),SUMIFS('ON Data'!V:V,'ON Data'!$E:$E,5))</f>
        <v>0</v>
      </c>
      <c r="R14" s="418">
        <f xml:space="preserve">
IF($A$4&lt;=12,SUMIFS('ON Data'!W:W,'ON Data'!$D:$D,$A$4,'ON Data'!$E:$E,5),SUMIFS('ON Data'!W:W,'ON Data'!$E:$E,5))</f>
        <v>0</v>
      </c>
      <c r="S14" s="418">
        <f xml:space="preserve">
IF($A$4&lt;=12,SUMIFS('ON Data'!X:X,'ON Data'!$D:$D,$A$4,'ON Data'!$E:$E,5),SUMIFS('ON Data'!X:X,'ON Data'!$E:$E,5))</f>
        <v>0</v>
      </c>
      <c r="T14" s="418">
        <f xml:space="preserve">
IF($A$4&lt;=12,SUMIFS('ON Data'!Y:Y,'ON Data'!$D:$D,$A$4,'ON Data'!$E:$E,5),SUMIFS('ON Data'!Y:Y,'ON Data'!$E:$E,5))</f>
        <v>0</v>
      </c>
      <c r="U14" s="418">
        <f xml:space="preserve">
IF($A$4&lt;=12,SUMIFS('ON Data'!Z:Z,'ON Data'!$D:$D,$A$4,'ON Data'!$E:$E,5),SUMIFS('ON Data'!Z:Z,'ON Data'!$E:$E,5))</f>
        <v>0</v>
      </c>
      <c r="V14" s="418">
        <f xml:space="preserve">
IF($A$4&lt;=12,SUMIFS('ON Data'!AA:AA,'ON Data'!$D:$D,$A$4,'ON Data'!$E:$E,5),SUMIFS('ON Data'!AA:AA,'ON Data'!$E:$E,5))</f>
        <v>0</v>
      </c>
      <c r="W14" s="418">
        <f xml:space="preserve">
IF($A$4&lt;=12,SUMIFS('ON Data'!AB:AB,'ON Data'!$D:$D,$A$4,'ON Data'!$E:$E,5),SUMIFS('ON Data'!AB:AB,'ON Data'!$E:$E,5))</f>
        <v>0</v>
      </c>
      <c r="X14" s="418">
        <f xml:space="preserve">
IF($A$4&lt;=12,SUMIFS('ON Data'!AC:AC,'ON Data'!$D:$D,$A$4,'ON Data'!$E:$E,5),SUMIFS('ON Data'!AC:AC,'ON Data'!$E:$E,5))</f>
        <v>0</v>
      </c>
      <c r="Y14" s="418">
        <f xml:space="preserve">
IF($A$4&lt;=12,SUMIFS('ON Data'!AD:AD,'ON Data'!$D:$D,$A$4,'ON Data'!$E:$E,5),SUMIFS('ON Data'!AD:AD,'ON Data'!$E:$E,5))</f>
        <v>0</v>
      </c>
      <c r="Z14" s="418">
        <f xml:space="preserve">
IF($A$4&lt;=12,SUMIFS('ON Data'!AE:AE,'ON Data'!$D:$D,$A$4,'ON Data'!$E:$E,5),SUMIFS('ON Data'!AE:AE,'ON Data'!$E:$E,5))</f>
        <v>0</v>
      </c>
      <c r="AA14" s="418">
        <f xml:space="preserve">
IF($A$4&lt;=12,SUMIFS('ON Data'!AF:AF,'ON Data'!$D:$D,$A$4,'ON Data'!$E:$E,5),SUMIFS('ON Data'!AF:AF,'ON Data'!$E:$E,5))</f>
        <v>0</v>
      </c>
      <c r="AB14" s="418">
        <f xml:space="preserve">
IF($A$4&lt;=12,SUMIFS('ON Data'!AG:AG,'ON Data'!$D:$D,$A$4,'ON Data'!$E:$E,5),SUMIFS('ON Data'!AG:AG,'ON Data'!$E:$E,5))</f>
        <v>0</v>
      </c>
      <c r="AC14" s="418">
        <f xml:space="preserve">
IF($A$4&lt;=12,SUMIFS('ON Data'!AH:AH,'ON Data'!$D:$D,$A$4,'ON Data'!$E:$E,5),SUMIFS('ON Data'!AH:AH,'ON Data'!$E:$E,5))</f>
        <v>0</v>
      </c>
      <c r="AD14" s="418">
        <f xml:space="preserve">
IF($A$4&lt;=12,SUMIFS('ON Data'!AI:AI,'ON Data'!$D:$D,$A$4,'ON Data'!$E:$E,5),SUMIFS('ON Data'!AI:AI,'ON Data'!$E:$E,5))</f>
        <v>0</v>
      </c>
      <c r="AE14" s="418">
        <f xml:space="preserve">
IF($A$4&lt;=12,SUMIFS('ON Data'!AJ:AJ,'ON Data'!$D:$D,$A$4,'ON Data'!$E:$E,5),SUMIFS('ON Data'!AJ:AJ,'ON Data'!$E:$E,5))</f>
        <v>0</v>
      </c>
      <c r="AF14" s="418">
        <f xml:space="preserve">
IF($A$4&lt;=12,SUMIFS('ON Data'!AK:AK,'ON Data'!$D:$D,$A$4,'ON Data'!$E:$E,5),SUMIFS('ON Data'!AK:AK,'ON Data'!$E:$E,5))</f>
        <v>0</v>
      </c>
      <c r="AG14" s="732">
        <f xml:space="preserve">
IF($A$4&lt;=12,SUMIFS('ON Data'!AM:AM,'ON Data'!$D:$D,$A$4,'ON Data'!$E:$E,5),SUMIFS('ON Data'!AM:AM,'ON Data'!$E:$E,5))</f>
        <v>0</v>
      </c>
      <c r="AH14" s="740"/>
    </row>
    <row r="15" spans="1:34" x14ac:dyDescent="0.3">
      <c r="A15" s="292" t="s">
        <v>273</v>
      </c>
      <c r="B15" s="419"/>
      <c r="C15" s="420"/>
      <c r="D15" s="421"/>
      <c r="E15" s="421"/>
      <c r="F15" s="421"/>
      <c r="G15" s="421"/>
      <c r="H15" s="421"/>
      <c r="I15" s="421"/>
      <c r="J15" s="421"/>
      <c r="K15" s="421"/>
      <c r="L15" s="421"/>
      <c r="M15" s="421"/>
      <c r="N15" s="421"/>
      <c r="O15" s="421"/>
      <c r="P15" s="421"/>
      <c r="Q15" s="421"/>
      <c r="R15" s="421"/>
      <c r="S15" s="421"/>
      <c r="T15" s="421"/>
      <c r="U15" s="421"/>
      <c r="V15" s="421"/>
      <c r="W15" s="421"/>
      <c r="X15" s="421"/>
      <c r="Y15" s="421"/>
      <c r="Z15" s="421"/>
      <c r="AA15" s="421"/>
      <c r="AB15" s="421"/>
      <c r="AC15" s="421"/>
      <c r="AD15" s="421"/>
      <c r="AE15" s="421"/>
      <c r="AF15" s="421"/>
      <c r="AG15" s="733"/>
      <c r="AH15" s="740"/>
    </row>
    <row r="16" spans="1:34" x14ac:dyDescent="0.3">
      <c r="A16" s="398" t="s">
        <v>264</v>
      </c>
      <c r="B16" s="413">
        <f xml:space="preserve">
IF($A$4&lt;=12,SUMIFS('ON Data'!F:F,'ON Data'!$D:$D,$A$4,'ON Data'!$E:$E,7),SUMIFS('ON Data'!F:F,'ON Data'!$E:$E,7))</f>
        <v>0</v>
      </c>
      <c r="C16" s="414">
        <f xml:space="preserve">
IF($A$4&lt;=12,SUMIFS('ON Data'!G:G,'ON Data'!$D:$D,$A$4,'ON Data'!$E:$E,7),SUMIFS('ON Data'!G:G,'ON Data'!$E:$E,7))</f>
        <v>0</v>
      </c>
      <c r="D16" s="415">
        <f xml:space="preserve">
IF($A$4&lt;=12,SUMIFS('ON Data'!H:H,'ON Data'!$D:$D,$A$4,'ON Data'!$E:$E,7),SUMIFS('ON Data'!H:H,'ON Data'!$E:$E,7))</f>
        <v>0</v>
      </c>
      <c r="E16" s="415">
        <f xml:space="preserve">
IF($A$4&lt;=12,SUMIFS('ON Data'!I:I,'ON Data'!$D:$D,$A$4,'ON Data'!$E:$E,7),SUMIFS('ON Data'!I:I,'ON Data'!$E:$E,7))</f>
        <v>0</v>
      </c>
      <c r="F16" s="415">
        <f xml:space="preserve">
IF($A$4&lt;=12,SUMIFS('ON Data'!K:K,'ON Data'!$D:$D,$A$4,'ON Data'!$E:$E,7),SUMIFS('ON Data'!K:K,'ON Data'!$E:$E,7))</f>
        <v>0</v>
      </c>
      <c r="G16" s="415">
        <f xml:space="preserve">
IF($A$4&lt;=12,SUMIFS('ON Data'!L:L,'ON Data'!$D:$D,$A$4,'ON Data'!$E:$E,7),SUMIFS('ON Data'!L:L,'ON Data'!$E:$E,7))</f>
        <v>0</v>
      </c>
      <c r="H16" s="415">
        <f xml:space="preserve">
IF($A$4&lt;=12,SUMIFS('ON Data'!M:M,'ON Data'!$D:$D,$A$4,'ON Data'!$E:$E,7),SUMIFS('ON Data'!M:M,'ON Data'!$E:$E,7))</f>
        <v>0</v>
      </c>
      <c r="I16" s="415">
        <f xml:space="preserve">
IF($A$4&lt;=12,SUMIFS('ON Data'!N:N,'ON Data'!$D:$D,$A$4,'ON Data'!$E:$E,7),SUMIFS('ON Data'!N:N,'ON Data'!$E:$E,7))</f>
        <v>0</v>
      </c>
      <c r="J16" s="415">
        <f xml:space="preserve">
IF($A$4&lt;=12,SUMIFS('ON Data'!O:O,'ON Data'!$D:$D,$A$4,'ON Data'!$E:$E,7),SUMIFS('ON Data'!O:O,'ON Data'!$E:$E,7))</f>
        <v>0</v>
      </c>
      <c r="K16" s="415">
        <f xml:space="preserve">
IF($A$4&lt;=12,SUMIFS('ON Data'!P:P,'ON Data'!$D:$D,$A$4,'ON Data'!$E:$E,7),SUMIFS('ON Data'!P:P,'ON Data'!$E:$E,7))</f>
        <v>0</v>
      </c>
      <c r="L16" s="415">
        <f xml:space="preserve">
IF($A$4&lt;=12,SUMIFS('ON Data'!Q:Q,'ON Data'!$D:$D,$A$4,'ON Data'!$E:$E,7),SUMIFS('ON Data'!Q:Q,'ON Data'!$E:$E,7))</f>
        <v>0</v>
      </c>
      <c r="M16" s="415">
        <f xml:space="preserve">
IF($A$4&lt;=12,SUMIFS('ON Data'!R:R,'ON Data'!$D:$D,$A$4,'ON Data'!$E:$E,7),SUMIFS('ON Data'!R:R,'ON Data'!$E:$E,7))</f>
        <v>0</v>
      </c>
      <c r="N16" s="415">
        <f xml:space="preserve">
IF($A$4&lt;=12,SUMIFS('ON Data'!S:S,'ON Data'!$D:$D,$A$4,'ON Data'!$E:$E,7),SUMIFS('ON Data'!S:S,'ON Data'!$E:$E,7))</f>
        <v>0</v>
      </c>
      <c r="O16" s="415">
        <f xml:space="preserve">
IF($A$4&lt;=12,SUMIFS('ON Data'!T:T,'ON Data'!$D:$D,$A$4,'ON Data'!$E:$E,7),SUMIFS('ON Data'!T:T,'ON Data'!$E:$E,7))</f>
        <v>0</v>
      </c>
      <c r="P16" s="415">
        <f xml:space="preserve">
IF($A$4&lt;=12,SUMIFS('ON Data'!U:U,'ON Data'!$D:$D,$A$4,'ON Data'!$E:$E,7),SUMIFS('ON Data'!U:U,'ON Data'!$E:$E,7))</f>
        <v>0</v>
      </c>
      <c r="Q16" s="415">
        <f xml:space="preserve">
IF($A$4&lt;=12,SUMIFS('ON Data'!V:V,'ON Data'!$D:$D,$A$4,'ON Data'!$E:$E,7),SUMIFS('ON Data'!V:V,'ON Data'!$E:$E,7))</f>
        <v>0</v>
      </c>
      <c r="R16" s="415">
        <f xml:space="preserve">
IF($A$4&lt;=12,SUMIFS('ON Data'!W:W,'ON Data'!$D:$D,$A$4,'ON Data'!$E:$E,7),SUMIFS('ON Data'!W:W,'ON Data'!$E:$E,7))</f>
        <v>0</v>
      </c>
      <c r="S16" s="415">
        <f xml:space="preserve">
IF($A$4&lt;=12,SUMIFS('ON Data'!X:X,'ON Data'!$D:$D,$A$4,'ON Data'!$E:$E,7),SUMIFS('ON Data'!X:X,'ON Data'!$E:$E,7))</f>
        <v>0</v>
      </c>
      <c r="T16" s="415">
        <f xml:space="preserve">
IF($A$4&lt;=12,SUMIFS('ON Data'!Y:Y,'ON Data'!$D:$D,$A$4,'ON Data'!$E:$E,7),SUMIFS('ON Data'!Y:Y,'ON Data'!$E:$E,7))</f>
        <v>0</v>
      </c>
      <c r="U16" s="415">
        <f xml:space="preserve">
IF($A$4&lt;=12,SUMIFS('ON Data'!Z:Z,'ON Data'!$D:$D,$A$4,'ON Data'!$E:$E,7),SUMIFS('ON Data'!Z:Z,'ON Data'!$E:$E,7))</f>
        <v>0</v>
      </c>
      <c r="V16" s="415">
        <f xml:space="preserve">
IF($A$4&lt;=12,SUMIFS('ON Data'!AA:AA,'ON Data'!$D:$D,$A$4,'ON Data'!$E:$E,7),SUMIFS('ON Data'!AA:AA,'ON Data'!$E:$E,7))</f>
        <v>0</v>
      </c>
      <c r="W16" s="415">
        <f xml:space="preserve">
IF($A$4&lt;=12,SUMIFS('ON Data'!AB:AB,'ON Data'!$D:$D,$A$4,'ON Data'!$E:$E,7),SUMIFS('ON Data'!AB:AB,'ON Data'!$E:$E,7))</f>
        <v>0</v>
      </c>
      <c r="X16" s="415">
        <f xml:space="preserve">
IF($A$4&lt;=12,SUMIFS('ON Data'!AC:AC,'ON Data'!$D:$D,$A$4,'ON Data'!$E:$E,7),SUMIFS('ON Data'!AC:AC,'ON Data'!$E:$E,7))</f>
        <v>0</v>
      </c>
      <c r="Y16" s="415">
        <f xml:space="preserve">
IF($A$4&lt;=12,SUMIFS('ON Data'!AD:AD,'ON Data'!$D:$D,$A$4,'ON Data'!$E:$E,7),SUMIFS('ON Data'!AD:AD,'ON Data'!$E:$E,7))</f>
        <v>0</v>
      </c>
      <c r="Z16" s="415">
        <f xml:space="preserve">
IF($A$4&lt;=12,SUMIFS('ON Data'!AE:AE,'ON Data'!$D:$D,$A$4,'ON Data'!$E:$E,7),SUMIFS('ON Data'!AE:AE,'ON Data'!$E:$E,7))</f>
        <v>0</v>
      </c>
      <c r="AA16" s="415">
        <f xml:space="preserve">
IF($A$4&lt;=12,SUMIFS('ON Data'!AF:AF,'ON Data'!$D:$D,$A$4,'ON Data'!$E:$E,7),SUMIFS('ON Data'!AF:AF,'ON Data'!$E:$E,7))</f>
        <v>0</v>
      </c>
      <c r="AB16" s="415">
        <f xml:space="preserve">
IF($A$4&lt;=12,SUMIFS('ON Data'!AG:AG,'ON Data'!$D:$D,$A$4,'ON Data'!$E:$E,7),SUMIFS('ON Data'!AG:AG,'ON Data'!$E:$E,7))</f>
        <v>0</v>
      </c>
      <c r="AC16" s="415">
        <f xml:space="preserve">
IF($A$4&lt;=12,SUMIFS('ON Data'!AH:AH,'ON Data'!$D:$D,$A$4,'ON Data'!$E:$E,7),SUMIFS('ON Data'!AH:AH,'ON Data'!$E:$E,7))</f>
        <v>0</v>
      </c>
      <c r="AD16" s="415">
        <f xml:space="preserve">
IF($A$4&lt;=12,SUMIFS('ON Data'!AI:AI,'ON Data'!$D:$D,$A$4,'ON Data'!$E:$E,7),SUMIFS('ON Data'!AI:AI,'ON Data'!$E:$E,7))</f>
        <v>0</v>
      </c>
      <c r="AE16" s="415">
        <f xml:space="preserve">
IF($A$4&lt;=12,SUMIFS('ON Data'!AJ:AJ,'ON Data'!$D:$D,$A$4,'ON Data'!$E:$E,7),SUMIFS('ON Data'!AJ:AJ,'ON Data'!$E:$E,7))</f>
        <v>0</v>
      </c>
      <c r="AF16" s="415">
        <f xml:space="preserve">
IF($A$4&lt;=12,SUMIFS('ON Data'!AK:AK,'ON Data'!$D:$D,$A$4,'ON Data'!$E:$E,7),SUMIFS('ON Data'!AK:AK,'ON Data'!$E:$E,7))</f>
        <v>0</v>
      </c>
      <c r="AG16" s="731">
        <f xml:space="preserve">
IF($A$4&lt;=12,SUMIFS('ON Data'!AM:AM,'ON Data'!$D:$D,$A$4,'ON Data'!$E:$E,7),SUMIFS('ON Data'!AM:AM,'ON Data'!$E:$E,7))</f>
        <v>0</v>
      </c>
      <c r="AH16" s="740"/>
    </row>
    <row r="17" spans="1:34" x14ac:dyDescent="0.3">
      <c r="A17" s="398" t="s">
        <v>265</v>
      </c>
      <c r="B17" s="413">
        <f xml:space="preserve">
IF($A$4&lt;=12,SUMIFS('ON Data'!F:F,'ON Data'!$D:$D,$A$4,'ON Data'!$E:$E,8),SUMIFS('ON Data'!F:F,'ON Data'!$E:$E,8))</f>
        <v>0</v>
      </c>
      <c r="C17" s="414">
        <f xml:space="preserve">
IF($A$4&lt;=12,SUMIFS('ON Data'!G:G,'ON Data'!$D:$D,$A$4,'ON Data'!$E:$E,8),SUMIFS('ON Data'!G:G,'ON Data'!$E:$E,8))</f>
        <v>0</v>
      </c>
      <c r="D17" s="415">
        <f xml:space="preserve">
IF($A$4&lt;=12,SUMIFS('ON Data'!H:H,'ON Data'!$D:$D,$A$4,'ON Data'!$E:$E,8),SUMIFS('ON Data'!H:H,'ON Data'!$E:$E,8))</f>
        <v>0</v>
      </c>
      <c r="E17" s="415">
        <f xml:space="preserve">
IF($A$4&lt;=12,SUMIFS('ON Data'!I:I,'ON Data'!$D:$D,$A$4,'ON Data'!$E:$E,8),SUMIFS('ON Data'!I:I,'ON Data'!$E:$E,8))</f>
        <v>0</v>
      </c>
      <c r="F17" s="415">
        <f xml:space="preserve">
IF($A$4&lt;=12,SUMIFS('ON Data'!K:K,'ON Data'!$D:$D,$A$4,'ON Data'!$E:$E,8),SUMIFS('ON Data'!K:K,'ON Data'!$E:$E,8))</f>
        <v>0</v>
      </c>
      <c r="G17" s="415">
        <f xml:space="preserve">
IF($A$4&lt;=12,SUMIFS('ON Data'!L:L,'ON Data'!$D:$D,$A$4,'ON Data'!$E:$E,8),SUMIFS('ON Data'!L:L,'ON Data'!$E:$E,8))</f>
        <v>0</v>
      </c>
      <c r="H17" s="415">
        <f xml:space="preserve">
IF($A$4&lt;=12,SUMIFS('ON Data'!M:M,'ON Data'!$D:$D,$A$4,'ON Data'!$E:$E,8),SUMIFS('ON Data'!M:M,'ON Data'!$E:$E,8))</f>
        <v>0</v>
      </c>
      <c r="I17" s="415">
        <f xml:space="preserve">
IF($A$4&lt;=12,SUMIFS('ON Data'!N:N,'ON Data'!$D:$D,$A$4,'ON Data'!$E:$E,8),SUMIFS('ON Data'!N:N,'ON Data'!$E:$E,8))</f>
        <v>0</v>
      </c>
      <c r="J17" s="415">
        <f xml:space="preserve">
IF($A$4&lt;=12,SUMIFS('ON Data'!O:O,'ON Data'!$D:$D,$A$4,'ON Data'!$E:$E,8),SUMIFS('ON Data'!O:O,'ON Data'!$E:$E,8))</f>
        <v>0</v>
      </c>
      <c r="K17" s="415">
        <f xml:space="preserve">
IF($A$4&lt;=12,SUMIFS('ON Data'!P:P,'ON Data'!$D:$D,$A$4,'ON Data'!$E:$E,8),SUMIFS('ON Data'!P:P,'ON Data'!$E:$E,8))</f>
        <v>0</v>
      </c>
      <c r="L17" s="415">
        <f xml:space="preserve">
IF($A$4&lt;=12,SUMIFS('ON Data'!Q:Q,'ON Data'!$D:$D,$A$4,'ON Data'!$E:$E,8),SUMIFS('ON Data'!Q:Q,'ON Data'!$E:$E,8))</f>
        <v>0</v>
      </c>
      <c r="M17" s="415">
        <f xml:space="preserve">
IF($A$4&lt;=12,SUMIFS('ON Data'!R:R,'ON Data'!$D:$D,$A$4,'ON Data'!$E:$E,8),SUMIFS('ON Data'!R:R,'ON Data'!$E:$E,8))</f>
        <v>0</v>
      </c>
      <c r="N17" s="415">
        <f xml:space="preserve">
IF($A$4&lt;=12,SUMIFS('ON Data'!S:S,'ON Data'!$D:$D,$A$4,'ON Data'!$E:$E,8),SUMIFS('ON Data'!S:S,'ON Data'!$E:$E,8))</f>
        <v>0</v>
      </c>
      <c r="O17" s="415">
        <f xml:space="preserve">
IF($A$4&lt;=12,SUMIFS('ON Data'!T:T,'ON Data'!$D:$D,$A$4,'ON Data'!$E:$E,8),SUMIFS('ON Data'!T:T,'ON Data'!$E:$E,8))</f>
        <v>0</v>
      </c>
      <c r="P17" s="415">
        <f xml:space="preserve">
IF($A$4&lt;=12,SUMIFS('ON Data'!U:U,'ON Data'!$D:$D,$A$4,'ON Data'!$E:$E,8),SUMIFS('ON Data'!U:U,'ON Data'!$E:$E,8))</f>
        <v>0</v>
      </c>
      <c r="Q17" s="415">
        <f xml:space="preserve">
IF($A$4&lt;=12,SUMIFS('ON Data'!V:V,'ON Data'!$D:$D,$A$4,'ON Data'!$E:$E,8),SUMIFS('ON Data'!V:V,'ON Data'!$E:$E,8))</f>
        <v>0</v>
      </c>
      <c r="R17" s="415">
        <f xml:space="preserve">
IF($A$4&lt;=12,SUMIFS('ON Data'!W:W,'ON Data'!$D:$D,$A$4,'ON Data'!$E:$E,8),SUMIFS('ON Data'!W:W,'ON Data'!$E:$E,8))</f>
        <v>0</v>
      </c>
      <c r="S17" s="415">
        <f xml:space="preserve">
IF($A$4&lt;=12,SUMIFS('ON Data'!X:X,'ON Data'!$D:$D,$A$4,'ON Data'!$E:$E,8),SUMIFS('ON Data'!X:X,'ON Data'!$E:$E,8))</f>
        <v>0</v>
      </c>
      <c r="T17" s="415">
        <f xml:space="preserve">
IF($A$4&lt;=12,SUMIFS('ON Data'!Y:Y,'ON Data'!$D:$D,$A$4,'ON Data'!$E:$E,8),SUMIFS('ON Data'!Y:Y,'ON Data'!$E:$E,8))</f>
        <v>0</v>
      </c>
      <c r="U17" s="415">
        <f xml:space="preserve">
IF($A$4&lt;=12,SUMIFS('ON Data'!Z:Z,'ON Data'!$D:$D,$A$4,'ON Data'!$E:$E,8),SUMIFS('ON Data'!Z:Z,'ON Data'!$E:$E,8))</f>
        <v>0</v>
      </c>
      <c r="V17" s="415">
        <f xml:space="preserve">
IF($A$4&lt;=12,SUMIFS('ON Data'!AA:AA,'ON Data'!$D:$D,$A$4,'ON Data'!$E:$E,8),SUMIFS('ON Data'!AA:AA,'ON Data'!$E:$E,8))</f>
        <v>0</v>
      </c>
      <c r="W17" s="415">
        <f xml:space="preserve">
IF($A$4&lt;=12,SUMIFS('ON Data'!AB:AB,'ON Data'!$D:$D,$A$4,'ON Data'!$E:$E,8),SUMIFS('ON Data'!AB:AB,'ON Data'!$E:$E,8))</f>
        <v>0</v>
      </c>
      <c r="X17" s="415">
        <f xml:space="preserve">
IF($A$4&lt;=12,SUMIFS('ON Data'!AC:AC,'ON Data'!$D:$D,$A$4,'ON Data'!$E:$E,8),SUMIFS('ON Data'!AC:AC,'ON Data'!$E:$E,8))</f>
        <v>0</v>
      </c>
      <c r="Y17" s="415">
        <f xml:space="preserve">
IF($A$4&lt;=12,SUMIFS('ON Data'!AD:AD,'ON Data'!$D:$D,$A$4,'ON Data'!$E:$E,8),SUMIFS('ON Data'!AD:AD,'ON Data'!$E:$E,8))</f>
        <v>0</v>
      </c>
      <c r="Z17" s="415">
        <f xml:space="preserve">
IF($A$4&lt;=12,SUMIFS('ON Data'!AE:AE,'ON Data'!$D:$D,$A$4,'ON Data'!$E:$E,8),SUMIFS('ON Data'!AE:AE,'ON Data'!$E:$E,8))</f>
        <v>0</v>
      </c>
      <c r="AA17" s="415">
        <f xml:space="preserve">
IF($A$4&lt;=12,SUMIFS('ON Data'!AF:AF,'ON Data'!$D:$D,$A$4,'ON Data'!$E:$E,8),SUMIFS('ON Data'!AF:AF,'ON Data'!$E:$E,8))</f>
        <v>0</v>
      </c>
      <c r="AB17" s="415">
        <f xml:space="preserve">
IF($A$4&lt;=12,SUMIFS('ON Data'!AG:AG,'ON Data'!$D:$D,$A$4,'ON Data'!$E:$E,8),SUMIFS('ON Data'!AG:AG,'ON Data'!$E:$E,8))</f>
        <v>0</v>
      </c>
      <c r="AC17" s="415">
        <f xml:space="preserve">
IF($A$4&lt;=12,SUMIFS('ON Data'!AH:AH,'ON Data'!$D:$D,$A$4,'ON Data'!$E:$E,8),SUMIFS('ON Data'!AH:AH,'ON Data'!$E:$E,8))</f>
        <v>0</v>
      </c>
      <c r="AD17" s="415">
        <f xml:space="preserve">
IF($A$4&lt;=12,SUMIFS('ON Data'!AI:AI,'ON Data'!$D:$D,$A$4,'ON Data'!$E:$E,8),SUMIFS('ON Data'!AI:AI,'ON Data'!$E:$E,8))</f>
        <v>0</v>
      </c>
      <c r="AE17" s="415">
        <f xml:space="preserve">
IF($A$4&lt;=12,SUMIFS('ON Data'!AJ:AJ,'ON Data'!$D:$D,$A$4,'ON Data'!$E:$E,8),SUMIFS('ON Data'!AJ:AJ,'ON Data'!$E:$E,8))</f>
        <v>0</v>
      </c>
      <c r="AF17" s="415">
        <f xml:space="preserve">
IF($A$4&lt;=12,SUMIFS('ON Data'!AK:AK,'ON Data'!$D:$D,$A$4,'ON Data'!$E:$E,8),SUMIFS('ON Data'!AK:AK,'ON Data'!$E:$E,8))</f>
        <v>0</v>
      </c>
      <c r="AG17" s="731">
        <f xml:space="preserve">
IF($A$4&lt;=12,SUMIFS('ON Data'!AM:AM,'ON Data'!$D:$D,$A$4,'ON Data'!$E:$E,8),SUMIFS('ON Data'!AM:AM,'ON Data'!$E:$E,8))</f>
        <v>0</v>
      </c>
      <c r="AH17" s="740"/>
    </row>
    <row r="18" spans="1:34" x14ac:dyDescent="0.3">
      <c r="A18" s="398" t="s">
        <v>266</v>
      </c>
      <c r="B18" s="413">
        <f xml:space="preserve">
B19-B16-B17</f>
        <v>17520</v>
      </c>
      <c r="C18" s="414">
        <f t="shared" ref="C18" si="0" xml:space="preserve">
C19-C16-C17</f>
        <v>0</v>
      </c>
      <c r="D18" s="415">
        <f t="shared" ref="D18:AG18" si="1" xml:space="preserve">
D19-D16-D17</f>
        <v>0</v>
      </c>
      <c r="E18" s="415">
        <f t="shared" si="1"/>
        <v>0</v>
      </c>
      <c r="F18" s="415">
        <f t="shared" si="1"/>
        <v>17520</v>
      </c>
      <c r="G18" s="415">
        <f t="shared" si="1"/>
        <v>0</v>
      </c>
      <c r="H18" s="415">
        <f t="shared" si="1"/>
        <v>0</v>
      </c>
      <c r="I18" s="415">
        <f t="shared" si="1"/>
        <v>0</v>
      </c>
      <c r="J18" s="415">
        <f t="shared" si="1"/>
        <v>0</v>
      </c>
      <c r="K18" s="415">
        <f t="shared" si="1"/>
        <v>0</v>
      </c>
      <c r="L18" s="415">
        <f t="shared" si="1"/>
        <v>0</v>
      </c>
      <c r="M18" s="415">
        <f t="shared" si="1"/>
        <v>0</v>
      </c>
      <c r="N18" s="415">
        <f t="shared" si="1"/>
        <v>0</v>
      </c>
      <c r="O18" s="415">
        <f t="shared" si="1"/>
        <v>0</v>
      </c>
      <c r="P18" s="415">
        <f t="shared" si="1"/>
        <v>0</v>
      </c>
      <c r="Q18" s="415">
        <f t="shared" si="1"/>
        <v>0</v>
      </c>
      <c r="R18" s="415">
        <f t="shared" si="1"/>
        <v>0</v>
      </c>
      <c r="S18" s="415">
        <f t="shared" si="1"/>
        <v>0</v>
      </c>
      <c r="T18" s="415">
        <f t="shared" si="1"/>
        <v>0</v>
      </c>
      <c r="U18" s="415">
        <f t="shared" si="1"/>
        <v>0</v>
      </c>
      <c r="V18" s="415">
        <f t="shared" si="1"/>
        <v>0</v>
      </c>
      <c r="W18" s="415">
        <f t="shared" si="1"/>
        <v>0</v>
      </c>
      <c r="X18" s="415">
        <f t="shared" si="1"/>
        <v>0</v>
      </c>
      <c r="Y18" s="415">
        <f t="shared" si="1"/>
        <v>0</v>
      </c>
      <c r="Z18" s="415">
        <f t="shared" si="1"/>
        <v>0</v>
      </c>
      <c r="AA18" s="415">
        <f t="shared" si="1"/>
        <v>0</v>
      </c>
      <c r="AB18" s="415">
        <f t="shared" si="1"/>
        <v>0</v>
      </c>
      <c r="AC18" s="415">
        <f t="shared" si="1"/>
        <v>0</v>
      </c>
      <c r="AD18" s="415">
        <f t="shared" si="1"/>
        <v>0</v>
      </c>
      <c r="AE18" s="415">
        <f t="shared" si="1"/>
        <v>0</v>
      </c>
      <c r="AF18" s="415">
        <f t="shared" si="1"/>
        <v>0</v>
      </c>
      <c r="AG18" s="731">
        <f t="shared" si="1"/>
        <v>0</v>
      </c>
      <c r="AH18" s="740"/>
    </row>
    <row r="19" spans="1:34" ht="15" thickBot="1" x14ac:dyDescent="0.35">
      <c r="A19" s="399" t="s">
        <v>267</v>
      </c>
      <c r="B19" s="422">
        <f xml:space="preserve">
IF($A$4&lt;=12,SUMIFS('ON Data'!F:F,'ON Data'!$D:$D,$A$4,'ON Data'!$E:$E,9),SUMIFS('ON Data'!F:F,'ON Data'!$E:$E,9))</f>
        <v>17520</v>
      </c>
      <c r="C19" s="423">
        <f xml:space="preserve">
IF($A$4&lt;=12,SUMIFS('ON Data'!G:G,'ON Data'!$D:$D,$A$4,'ON Data'!$E:$E,9),SUMIFS('ON Data'!G:G,'ON Data'!$E:$E,9))</f>
        <v>0</v>
      </c>
      <c r="D19" s="424">
        <f xml:space="preserve">
IF($A$4&lt;=12,SUMIFS('ON Data'!H:H,'ON Data'!$D:$D,$A$4,'ON Data'!$E:$E,9),SUMIFS('ON Data'!H:H,'ON Data'!$E:$E,9))</f>
        <v>0</v>
      </c>
      <c r="E19" s="424">
        <f xml:space="preserve">
IF($A$4&lt;=12,SUMIFS('ON Data'!I:I,'ON Data'!$D:$D,$A$4,'ON Data'!$E:$E,9),SUMIFS('ON Data'!I:I,'ON Data'!$E:$E,9))</f>
        <v>0</v>
      </c>
      <c r="F19" s="424">
        <f xml:space="preserve">
IF($A$4&lt;=12,SUMIFS('ON Data'!K:K,'ON Data'!$D:$D,$A$4,'ON Data'!$E:$E,9),SUMIFS('ON Data'!K:K,'ON Data'!$E:$E,9))</f>
        <v>17520</v>
      </c>
      <c r="G19" s="424">
        <f xml:space="preserve">
IF($A$4&lt;=12,SUMIFS('ON Data'!L:L,'ON Data'!$D:$D,$A$4,'ON Data'!$E:$E,9),SUMIFS('ON Data'!L:L,'ON Data'!$E:$E,9))</f>
        <v>0</v>
      </c>
      <c r="H19" s="424">
        <f xml:space="preserve">
IF($A$4&lt;=12,SUMIFS('ON Data'!M:M,'ON Data'!$D:$D,$A$4,'ON Data'!$E:$E,9),SUMIFS('ON Data'!M:M,'ON Data'!$E:$E,9))</f>
        <v>0</v>
      </c>
      <c r="I19" s="424">
        <f xml:space="preserve">
IF($A$4&lt;=12,SUMIFS('ON Data'!N:N,'ON Data'!$D:$D,$A$4,'ON Data'!$E:$E,9),SUMIFS('ON Data'!N:N,'ON Data'!$E:$E,9))</f>
        <v>0</v>
      </c>
      <c r="J19" s="424">
        <f xml:space="preserve">
IF($A$4&lt;=12,SUMIFS('ON Data'!O:O,'ON Data'!$D:$D,$A$4,'ON Data'!$E:$E,9),SUMIFS('ON Data'!O:O,'ON Data'!$E:$E,9))</f>
        <v>0</v>
      </c>
      <c r="K19" s="424">
        <f xml:space="preserve">
IF($A$4&lt;=12,SUMIFS('ON Data'!P:P,'ON Data'!$D:$D,$A$4,'ON Data'!$E:$E,9),SUMIFS('ON Data'!P:P,'ON Data'!$E:$E,9))</f>
        <v>0</v>
      </c>
      <c r="L19" s="424">
        <f xml:space="preserve">
IF($A$4&lt;=12,SUMIFS('ON Data'!Q:Q,'ON Data'!$D:$D,$A$4,'ON Data'!$E:$E,9),SUMIFS('ON Data'!Q:Q,'ON Data'!$E:$E,9))</f>
        <v>0</v>
      </c>
      <c r="M19" s="424">
        <f xml:space="preserve">
IF($A$4&lt;=12,SUMIFS('ON Data'!R:R,'ON Data'!$D:$D,$A$4,'ON Data'!$E:$E,9),SUMIFS('ON Data'!R:R,'ON Data'!$E:$E,9))</f>
        <v>0</v>
      </c>
      <c r="N19" s="424">
        <f xml:space="preserve">
IF($A$4&lt;=12,SUMIFS('ON Data'!S:S,'ON Data'!$D:$D,$A$4,'ON Data'!$E:$E,9),SUMIFS('ON Data'!S:S,'ON Data'!$E:$E,9))</f>
        <v>0</v>
      </c>
      <c r="O19" s="424">
        <f xml:space="preserve">
IF($A$4&lt;=12,SUMIFS('ON Data'!T:T,'ON Data'!$D:$D,$A$4,'ON Data'!$E:$E,9),SUMIFS('ON Data'!T:T,'ON Data'!$E:$E,9))</f>
        <v>0</v>
      </c>
      <c r="P19" s="424">
        <f xml:space="preserve">
IF($A$4&lt;=12,SUMIFS('ON Data'!U:U,'ON Data'!$D:$D,$A$4,'ON Data'!$E:$E,9),SUMIFS('ON Data'!U:U,'ON Data'!$E:$E,9))</f>
        <v>0</v>
      </c>
      <c r="Q19" s="424">
        <f xml:space="preserve">
IF($A$4&lt;=12,SUMIFS('ON Data'!V:V,'ON Data'!$D:$D,$A$4,'ON Data'!$E:$E,9),SUMIFS('ON Data'!V:V,'ON Data'!$E:$E,9))</f>
        <v>0</v>
      </c>
      <c r="R19" s="424">
        <f xml:space="preserve">
IF($A$4&lt;=12,SUMIFS('ON Data'!W:W,'ON Data'!$D:$D,$A$4,'ON Data'!$E:$E,9),SUMIFS('ON Data'!W:W,'ON Data'!$E:$E,9))</f>
        <v>0</v>
      </c>
      <c r="S19" s="424">
        <f xml:space="preserve">
IF($A$4&lt;=12,SUMIFS('ON Data'!X:X,'ON Data'!$D:$D,$A$4,'ON Data'!$E:$E,9),SUMIFS('ON Data'!X:X,'ON Data'!$E:$E,9))</f>
        <v>0</v>
      </c>
      <c r="T19" s="424">
        <f xml:space="preserve">
IF($A$4&lt;=12,SUMIFS('ON Data'!Y:Y,'ON Data'!$D:$D,$A$4,'ON Data'!$E:$E,9),SUMIFS('ON Data'!Y:Y,'ON Data'!$E:$E,9))</f>
        <v>0</v>
      </c>
      <c r="U19" s="424">
        <f xml:space="preserve">
IF($A$4&lt;=12,SUMIFS('ON Data'!Z:Z,'ON Data'!$D:$D,$A$4,'ON Data'!$E:$E,9),SUMIFS('ON Data'!Z:Z,'ON Data'!$E:$E,9))</f>
        <v>0</v>
      </c>
      <c r="V19" s="424">
        <f xml:space="preserve">
IF($A$4&lt;=12,SUMIFS('ON Data'!AA:AA,'ON Data'!$D:$D,$A$4,'ON Data'!$E:$E,9),SUMIFS('ON Data'!AA:AA,'ON Data'!$E:$E,9))</f>
        <v>0</v>
      </c>
      <c r="W19" s="424">
        <f xml:space="preserve">
IF($A$4&lt;=12,SUMIFS('ON Data'!AB:AB,'ON Data'!$D:$D,$A$4,'ON Data'!$E:$E,9),SUMIFS('ON Data'!AB:AB,'ON Data'!$E:$E,9))</f>
        <v>0</v>
      </c>
      <c r="X19" s="424">
        <f xml:space="preserve">
IF($A$4&lt;=12,SUMIFS('ON Data'!AC:AC,'ON Data'!$D:$D,$A$4,'ON Data'!$E:$E,9),SUMIFS('ON Data'!AC:AC,'ON Data'!$E:$E,9))</f>
        <v>0</v>
      </c>
      <c r="Y19" s="424">
        <f xml:space="preserve">
IF($A$4&lt;=12,SUMIFS('ON Data'!AD:AD,'ON Data'!$D:$D,$A$4,'ON Data'!$E:$E,9),SUMIFS('ON Data'!AD:AD,'ON Data'!$E:$E,9))</f>
        <v>0</v>
      </c>
      <c r="Z19" s="424">
        <f xml:space="preserve">
IF($A$4&lt;=12,SUMIFS('ON Data'!AE:AE,'ON Data'!$D:$D,$A$4,'ON Data'!$E:$E,9),SUMIFS('ON Data'!AE:AE,'ON Data'!$E:$E,9))</f>
        <v>0</v>
      </c>
      <c r="AA19" s="424">
        <f xml:space="preserve">
IF($A$4&lt;=12,SUMIFS('ON Data'!AF:AF,'ON Data'!$D:$D,$A$4,'ON Data'!$E:$E,9),SUMIFS('ON Data'!AF:AF,'ON Data'!$E:$E,9))</f>
        <v>0</v>
      </c>
      <c r="AB19" s="424">
        <f xml:space="preserve">
IF($A$4&lt;=12,SUMIFS('ON Data'!AG:AG,'ON Data'!$D:$D,$A$4,'ON Data'!$E:$E,9),SUMIFS('ON Data'!AG:AG,'ON Data'!$E:$E,9))</f>
        <v>0</v>
      </c>
      <c r="AC19" s="424">
        <f xml:space="preserve">
IF($A$4&lt;=12,SUMIFS('ON Data'!AH:AH,'ON Data'!$D:$D,$A$4,'ON Data'!$E:$E,9),SUMIFS('ON Data'!AH:AH,'ON Data'!$E:$E,9))</f>
        <v>0</v>
      </c>
      <c r="AD19" s="424">
        <f xml:space="preserve">
IF($A$4&lt;=12,SUMIFS('ON Data'!AI:AI,'ON Data'!$D:$D,$A$4,'ON Data'!$E:$E,9),SUMIFS('ON Data'!AI:AI,'ON Data'!$E:$E,9))</f>
        <v>0</v>
      </c>
      <c r="AE19" s="424">
        <f xml:space="preserve">
IF($A$4&lt;=12,SUMIFS('ON Data'!AJ:AJ,'ON Data'!$D:$D,$A$4,'ON Data'!$E:$E,9),SUMIFS('ON Data'!AJ:AJ,'ON Data'!$E:$E,9))</f>
        <v>0</v>
      </c>
      <c r="AF19" s="424">
        <f xml:space="preserve">
IF($A$4&lt;=12,SUMIFS('ON Data'!AK:AK,'ON Data'!$D:$D,$A$4,'ON Data'!$E:$E,9),SUMIFS('ON Data'!AK:AK,'ON Data'!$E:$E,9))</f>
        <v>0</v>
      </c>
      <c r="AG19" s="734">
        <f xml:space="preserve">
IF($A$4&lt;=12,SUMIFS('ON Data'!AM:AM,'ON Data'!$D:$D,$A$4,'ON Data'!$E:$E,9),SUMIFS('ON Data'!AM:AM,'ON Data'!$E:$E,9))</f>
        <v>0</v>
      </c>
      <c r="AH19" s="740"/>
    </row>
    <row r="20" spans="1:34" ht="15" collapsed="1" thickBot="1" x14ac:dyDescent="0.35">
      <c r="A20" s="400" t="s">
        <v>94</v>
      </c>
      <c r="B20" s="425">
        <f xml:space="preserve">
IF($A$4&lt;=12,SUMIFS('ON Data'!F:F,'ON Data'!$D:$D,$A$4,'ON Data'!$E:$E,6),SUMIFS('ON Data'!F:F,'ON Data'!$E:$E,6))</f>
        <v>5711838</v>
      </c>
      <c r="C20" s="426">
        <f xml:space="preserve">
IF($A$4&lt;=12,SUMIFS('ON Data'!G:G,'ON Data'!$D:$D,$A$4,'ON Data'!$E:$E,6),SUMIFS('ON Data'!G:G,'ON Data'!$E:$E,6))</f>
        <v>29100</v>
      </c>
      <c r="D20" s="427">
        <f xml:space="preserve">
IF($A$4&lt;=12,SUMIFS('ON Data'!H:H,'ON Data'!$D:$D,$A$4,'ON Data'!$E:$E,6),SUMIFS('ON Data'!H:H,'ON Data'!$E:$E,6))</f>
        <v>1569152</v>
      </c>
      <c r="E20" s="427">
        <f xml:space="preserve">
IF($A$4&lt;=12,SUMIFS('ON Data'!I:I,'ON Data'!$D:$D,$A$4,'ON Data'!$E:$E,6),SUMIFS('ON Data'!I:I,'ON Data'!$E:$E,6))</f>
        <v>0</v>
      </c>
      <c r="F20" s="427">
        <f xml:space="preserve">
IF($A$4&lt;=12,SUMIFS('ON Data'!K:K,'ON Data'!$D:$D,$A$4,'ON Data'!$E:$E,6),SUMIFS('ON Data'!K:K,'ON Data'!$E:$E,6))</f>
        <v>3800684</v>
      </c>
      <c r="G20" s="427">
        <f xml:space="preserve">
IF($A$4&lt;=12,SUMIFS('ON Data'!L:L,'ON Data'!$D:$D,$A$4,'ON Data'!$E:$E,6),SUMIFS('ON Data'!L:L,'ON Data'!$E:$E,6))</f>
        <v>0</v>
      </c>
      <c r="H20" s="427">
        <f xml:space="preserve">
IF($A$4&lt;=12,SUMIFS('ON Data'!M:M,'ON Data'!$D:$D,$A$4,'ON Data'!$E:$E,6),SUMIFS('ON Data'!M:M,'ON Data'!$E:$E,6))</f>
        <v>0</v>
      </c>
      <c r="I20" s="427">
        <f xml:space="preserve">
IF($A$4&lt;=12,SUMIFS('ON Data'!N:N,'ON Data'!$D:$D,$A$4,'ON Data'!$E:$E,6),SUMIFS('ON Data'!N:N,'ON Data'!$E:$E,6))</f>
        <v>0</v>
      </c>
      <c r="J20" s="427">
        <f xml:space="preserve">
IF($A$4&lt;=12,SUMIFS('ON Data'!O:O,'ON Data'!$D:$D,$A$4,'ON Data'!$E:$E,6),SUMIFS('ON Data'!O:O,'ON Data'!$E:$E,6))</f>
        <v>0</v>
      </c>
      <c r="K20" s="427">
        <f xml:space="preserve">
IF($A$4&lt;=12,SUMIFS('ON Data'!P:P,'ON Data'!$D:$D,$A$4,'ON Data'!$E:$E,6),SUMIFS('ON Data'!P:P,'ON Data'!$E:$E,6))</f>
        <v>0</v>
      </c>
      <c r="L20" s="427">
        <f xml:space="preserve">
IF($A$4&lt;=12,SUMIFS('ON Data'!Q:Q,'ON Data'!$D:$D,$A$4,'ON Data'!$E:$E,6),SUMIFS('ON Data'!Q:Q,'ON Data'!$E:$E,6))</f>
        <v>0</v>
      </c>
      <c r="M20" s="427">
        <f xml:space="preserve">
IF($A$4&lt;=12,SUMIFS('ON Data'!R:R,'ON Data'!$D:$D,$A$4,'ON Data'!$E:$E,6),SUMIFS('ON Data'!R:R,'ON Data'!$E:$E,6))</f>
        <v>0</v>
      </c>
      <c r="N20" s="427">
        <f xml:space="preserve">
IF($A$4&lt;=12,SUMIFS('ON Data'!S:S,'ON Data'!$D:$D,$A$4,'ON Data'!$E:$E,6),SUMIFS('ON Data'!S:S,'ON Data'!$E:$E,6))</f>
        <v>0</v>
      </c>
      <c r="O20" s="427">
        <f xml:space="preserve">
IF($A$4&lt;=12,SUMIFS('ON Data'!T:T,'ON Data'!$D:$D,$A$4,'ON Data'!$E:$E,6),SUMIFS('ON Data'!T:T,'ON Data'!$E:$E,6))</f>
        <v>0</v>
      </c>
      <c r="P20" s="427">
        <f xml:space="preserve">
IF($A$4&lt;=12,SUMIFS('ON Data'!U:U,'ON Data'!$D:$D,$A$4,'ON Data'!$E:$E,6),SUMIFS('ON Data'!U:U,'ON Data'!$E:$E,6))</f>
        <v>0</v>
      </c>
      <c r="Q20" s="427">
        <f xml:space="preserve">
IF($A$4&lt;=12,SUMIFS('ON Data'!V:V,'ON Data'!$D:$D,$A$4,'ON Data'!$E:$E,6),SUMIFS('ON Data'!V:V,'ON Data'!$E:$E,6))</f>
        <v>0</v>
      </c>
      <c r="R20" s="427">
        <f xml:space="preserve">
IF($A$4&lt;=12,SUMIFS('ON Data'!W:W,'ON Data'!$D:$D,$A$4,'ON Data'!$E:$E,6),SUMIFS('ON Data'!W:W,'ON Data'!$E:$E,6))</f>
        <v>0</v>
      </c>
      <c r="S20" s="427">
        <f xml:space="preserve">
IF($A$4&lt;=12,SUMIFS('ON Data'!X:X,'ON Data'!$D:$D,$A$4,'ON Data'!$E:$E,6),SUMIFS('ON Data'!X:X,'ON Data'!$E:$E,6))</f>
        <v>0</v>
      </c>
      <c r="T20" s="427">
        <f xml:space="preserve">
IF($A$4&lt;=12,SUMIFS('ON Data'!Y:Y,'ON Data'!$D:$D,$A$4,'ON Data'!$E:$E,6),SUMIFS('ON Data'!Y:Y,'ON Data'!$E:$E,6))</f>
        <v>0</v>
      </c>
      <c r="U20" s="427">
        <f xml:space="preserve">
IF($A$4&lt;=12,SUMIFS('ON Data'!Z:Z,'ON Data'!$D:$D,$A$4,'ON Data'!$E:$E,6),SUMIFS('ON Data'!Z:Z,'ON Data'!$E:$E,6))</f>
        <v>0</v>
      </c>
      <c r="V20" s="427">
        <f xml:space="preserve">
IF($A$4&lt;=12,SUMIFS('ON Data'!AA:AA,'ON Data'!$D:$D,$A$4,'ON Data'!$E:$E,6),SUMIFS('ON Data'!AA:AA,'ON Data'!$E:$E,6))</f>
        <v>0</v>
      </c>
      <c r="W20" s="427">
        <f xml:space="preserve">
IF($A$4&lt;=12,SUMIFS('ON Data'!AB:AB,'ON Data'!$D:$D,$A$4,'ON Data'!$E:$E,6),SUMIFS('ON Data'!AB:AB,'ON Data'!$E:$E,6))</f>
        <v>0</v>
      </c>
      <c r="X20" s="427">
        <f xml:space="preserve">
IF($A$4&lt;=12,SUMIFS('ON Data'!AC:AC,'ON Data'!$D:$D,$A$4,'ON Data'!$E:$E,6),SUMIFS('ON Data'!AC:AC,'ON Data'!$E:$E,6))</f>
        <v>0</v>
      </c>
      <c r="Y20" s="427">
        <f xml:space="preserve">
IF($A$4&lt;=12,SUMIFS('ON Data'!AD:AD,'ON Data'!$D:$D,$A$4,'ON Data'!$E:$E,6),SUMIFS('ON Data'!AD:AD,'ON Data'!$E:$E,6))</f>
        <v>0</v>
      </c>
      <c r="Z20" s="427">
        <f xml:space="preserve">
IF($A$4&lt;=12,SUMIFS('ON Data'!AE:AE,'ON Data'!$D:$D,$A$4,'ON Data'!$E:$E,6),SUMIFS('ON Data'!AE:AE,'ON Data'!$E:$E,6))</f>
        <v>129330</v>
      </c>
      <c r="AA20" s="427">
        <f xml:space="preserve">
IF($A$4&lt;=12,SUMIFS('ON Data'!AF:AF,'ON Data'!$D:$D,$A$4,'ON Data'!$E:$E,6),SUMIFS('ON Data'!AF:AF,'ON Data'!$E:$E,6))</f>
        <v>0</v>
      </c>
      <c r="AB20" s="427">
        <f xml:space="preserve">
IF($A$4&lt;=12,SUMIFS('ON Data'!AG:AG,'ON Data'!$D:$D,$A$4,'ON Data'!$E:$E,6),SUMIFS('ON Data'!AG:AG,'ON Data'!$E:$E,6))</f>
        <v>0</v>
      </c>
      <c r="AC20" s="427">
        <f xml:space="preserve">
IF($A$4&lt;=12,SUMIFS('ON Data'!AH:AH,'ON Data'!$D:$D,$A$4,'ON Data'!$E:$E,6),SUMIFS('ON Data'!AH:AH,'ON Data'!$E:$E,6))</f>
        <v>115609</v>
      </c>
      <c r="AD20" s="427">
        <f xml:space="preserve">
IF($A$4&lt;=12,SUMIFS('ON Data'!AI:AI,'ON Data'!$D:$D,$A$4,'ON Data'!$E:$E,6),SUMIFS('ON Data'!AI:AI,'ON Data'!$E:$E,6))</f>
        <v>0</v>
      </c>
      <c r="AE20" s="427">
        <f xml:space="preserve">
IF($A$4&lt;=12,SUMIFS('ON Data'!AJ:AJ,'ON Data'!$D:$D,$A$4,'ON Data'!$E:$E,6),SUMIFS('ON Data'!AJ:AJ,'ON Data'!$E:$E,6))</f>
        <v>0</v>
      </c>
      <c r="AF20" s="427">
        <f xml:space="preserve">
IF($A$4&lt;=12,SUMIFS('ON Data'!AK:AK,'ON Data'!$D:$D,$A$4,'ON Data'!$E:$E,6),SUMIFS('ON Data'!AK:AK,'ON Data'!$E:$E,6))</f>
        <v>0</v>
      </c>
      <c r="AG20" s="735">
        <f xml:space="preserve">
IF($A$4&lt;=12,SUMIFS('ON Data'!AM:AM,'ON Data'!$D:$D,$A$4,'ON Data'!$E:$E,6),SUMIFS('ON Data'!AM:AM,'ON Data'!$E:$E,6))</f>
        <v>67963</v>
      </c>
      <c r="AH20" s="740"/>
    </row>
    <row r="21" spans="1:34" ht="15" hidden="1" outlineLevel="1" thickBot="1" x14ac:dyDescent="0.35">
      <c r="A21" s="393" t="s">
        <v>132</v>
      </c>
      <c r="B21" s="413"/>
      <c r="C21" s="414"/>
      <c r="D21" s="415"/>
      <c r="E21" s="415"/>
      <c r="F21" s="415"/>
      <c r="G21" s="415"/>
      <c r="H21" s="415"/>
      <c r="I21" s="415"/>
      <c r="J21" s="415"/>
      <c r="K21" s="415"/>
      <c r="L21" s="415"/>
      <c r="M21" s="415"/>
      <c r="N21" s="415"/>
      <c r="O21" s="415"/>
      <c r="P21" s="415"/>
      <c r="Q21" s="415"/>
      <c r="R21" s="415"/>
      <c r="S21" s="415"/>
      <c r="T21" s="415"/>
      <c r="U21" s="415"/>
      <c r="V21" s="415"/>
      <c r="W21" s="415"/>
      <c r="X21" s="415"/>
      <c r="Y21" s="415"/>
      <c r="Z21" s="415"/>
      <c r="AA21" s="415"/>
      <c r="AB21" s="415"/>
      <c r="AC21" s="415"/>
      <c r="AD21" s="415"/>
      <c r="AE21" s="415"/>
      <c r="AF21" s="415"/>
      <c r="AG21" s="731"/>
      <c r="AH21" s="740"/>
    </row>
    <row r="22" spans="1:34" ht="15" hidden="1" outlineLevel="1" thickBot="1" x14ac:dyDescent="0.35">
      <c r="A22" s="393" t="s">
        <v>96</v>
      </c>
      <c r="B22" s="413"/>
      <c r="C22" s="414"/>
      <c r="D22" s="415"/>
      <c r="E22" s="415"/>
      <c r="F22" s="415"/>
      <c r="G22" s="415"/>
      <c r="H22" s="415"/>
      <c r="I22" s="415"/>
      <c r="J22" s="415"/>
      <c r="K22" s="415"/>
      <c r="L22" s="415"/>
      <c r="M22" s="415"/>
      <c r="N22" s="415"/>
      <c r="O22" s="415"/>
      <c r="P22" s="415"/>
      <c r="Q22" s="415"/>
      <c r="R22" s="415"/>
      <c r="S22" s="415"/>
      <c r="T22" s="415"/>
      <c r="U22" s="415"/>
      <c r="V22" s="415"/>
      <c r="W22" s="415"/>
      <c r="X22" s="415"/>
      <c r="Y22" s="415"/>
      <c r="Z22" s="415"/>
      <c r="AA22" s="415"/>
      <c r="AB22" s="415"/>
      <c r="AC22" s="415"/>
      <c r="AD22" s="415"/>
      <c r="AE22" s="415"/>
      <c r="AF22" s="415"/>
      <c r="AG22" s="731"/>
      <c r="AH22" s="740"/>
    </row>
    <row r="23" spans="1:34" ht="15" hidden="1" outlineLevel="1" thickBot="1" x14ac:dyDescent="0.35">
      <c r="A23" s="401" t="s">
        <v>69</v>
      </c>
      <c r="B23" s="416"/>
      <c r="C23" s="417"/>
      <c r="D23" s="418"/>
      <c r="E23" s="418"/>
      <c r="F23" s="418"/>
      <c r="G23" s="418"/>
      <c r="H23" s="418"/>
      <c r="I23" s="418"/>
      <c r="J23" s="418"/>
      <c r="K23" s="418"/>
      <c r="L23" s="418"/>
      <c r="M23" s="418"/>
      <c r="N23" s="418"/>
      <c r="O23" s="418"/>
      <c r="P23" s="418"/>
      <c r="Q23" s="418"/>
      <c r="R23" s="418"/>
      <c r="S23" s="418"/>
      <c r="T23" s="418"/>
      <c r="U23" s="418"/>
      <c r="V23" s="418"/>
      <c r="W23" s="418"/>
      <c r="X23" s="418"/>
      <c r="Y23" s="418"/>
      <c r="Z23" s="418"/>
      <c r="AA23" s="418"/>
      <c r="AB23" s="418"/>
      <c r="AC23" s="418"/>
      <c r="AD23" s="418"/>
      <c r="AE23" s="418"/>
      <c r="AF23" s="418"/>
      <c r="AG23" s="732"/>
      <c r="AH23" s="740"/>
    </row>
    <row r="24" spans="1:34" x14ac:dyDescent="0.3">
      <c r="A24" s="395" t="s">
        <v>268</v>
      </c>
      <c r="B24" s="442" t="s">
        <v>3</v>
      </c>
      <c r="C24" s="741" t="s">
        <v>279</v>
      </c>
      <c r="D24" s="716"/>
      <c r="E24" s="717"/>
      <c r="F24" s="717" t="s">
        <v>280</v>
      </c>
      <c r="G24" s="717"/>
      <c r="H24" s="717"/>
      <c r="I24" s="717"/>
      <c r="J24" s="717"/>
      <c r="K24" s="717"/>
      <c r="L24" s="717"/>
      <c r="M24" s="717"/>
      <c r="N24" s="717"/>
      <c r="O24" s="717"/>
      <c r="P24" s="717"/>
      <c r="Q24" s="717"/>
      <c r="R24" s="717"/>
      <c r="S24" s="717"/>
      <c r="T24" s="717"/>
      <c r="U24" s="717"/>
      <c r="V24" s="717"/>
      <c r="W24" s="717"/>
      <c r="X24" s="717"/>
      <c r="Y24" s="717"/>
      <c r="Z24" s="717"/>
      <c r="AA24" s="717"/>
      <c r="AB24" s="717"/>
      <c r="AC24" s="717"/>
      <c r="AD24" s="717"/>
      <c r="AE24" s="717"/>
      <c r="AF24" s="717"/>
      <c r="AG24" s="736" t="s">
        <v>281</v>
      </c>
      <c r="AH24" s="740"/>
    </row>
    <row r="25" spans="1:34" x14ac:dyDescent="0.3">
      <c r="A25" s="396" t="s">
        <v>94</v>
      </c>
      <c r="B25" s="413">
        <f xml:space="preserve">
SUM(C25:AG25)</f>
        <v>10770</v>
      </c>
      <c r="C25" s="742">
        <f xml:space="preserve">
IF($A$4&lt;=12,SUMIFS('ON Data'!H:H,'ON Data'!$D:$D,$A$4,'ON Data'!$E:$E,10),SUMIFS('ON Data'!H:H,'ON Data'!$E:$E,10))</f>
        <v>2800</v>
      </c>
      <c r="D25" s="718"/>
      <c r="E25" s="719"/>
      <c r="F25" s="719">
        <f xml:space="preserve">
IF($A$4&lt;=12,SUMIFS('ON Data'!K:K,'ON Data'!$D:$D,$A$4,'ON Data'!$E:$E,10),SUMIFS('ON Data'!K:K,'ON Data'!$E:$E,10))</f>
        <v>7970</v>
      </c>
      <c r="G25" s="719"/>
      <c r="H25" s="719"/>
      <c r="I25" s="719"/>
      <c r="J25" s="719"/>
      <c r="K25" s="719"/>
      <c r="L25" s="719"/>
      <c r="M25" s="719"/>
      <c r="N25" s="719"/>
      <c r="O25" s="719"/>
      <c r="P25" s="719"/>
      <c r="Q25" s="719"/>
      <c r="R25" s="719"/>
      <c r="S25" s="719"/>
      <c r="T25" s="719"/>
      <c r="U25" s="719"/>
      <c r="V25" s="719"/>
      <c r="W25" s="719"/>
      <c r="X25" s="719"/>
      <c r="Y25" s="719"/>
      <c r="Z25" s="719"/>
      <c r="AA25" s="719"/>
      <c r="AB25" s="719"/>
      <c r="AC25" s="719"/>
      <c r="AD25" s="719"/>
      <c r="AE25" s="719"/>
      <c r="AF25" s="719"/>
      <c r="AG25" s="737">
        <f xml:space="preserve">
IF($A$4&lt;=12,SUMIFS('ON Data'!AM:AM,'ON Data'!$D:$D,$A$4,'ON Data'!$E:$E,10),SUMIFS('ON Data'!AM:AM,'ON Data'!$E:$E,10))</f>
        <v>0</v>
      </c>
      <c r="AH25" s="740"/>
    </row>
    <row r="26" spans="1:34" x14ac:dyDescent="0.3">
      <c r="A26" s="402" t="s">
        <v>278</v>
      </c>
      <c r="B26" s="422">
        <f xml:space="preserve">
SUM(C26:AG26)</f>
        <v>10466.75</v>
      </c>
      <c r="C26" s="742">
        <f xml:space="preserve">
IF($A$4&lt;=12,SUMIFS('ON Data'!H:H,'ON Data'!$D:$D,$A$4,'ON Data'!$E:$E,11),SUMIFS('ON Data'!H:H,'ON Data'!$E:$E,11))</f>
        <v>7966.75</v>
      </c>
      <c r="D26" s="718"/>
      <c r="E26" s="719"/>
      <c r="F26" s="720">
        <f xml:space="preserve">
IF($A$4&lt;=12,SUMIFS('ON Data'!K:K,'ON Data'!$D:$D,$A$4,'ON Data'!$E:$E,11),SUMIFS('ON Data'!K:K,'ON Data'!$E:$E,11))</f>
        <v>2500</v>
      </c>
      <c r="G26" s="720"/>
      <c r="H26" s="720"/>
      <c r="I26" s="720"/>
      <c r="J26" s="720"/>
      <c r="K26" s="720"/>
      <c r="L26" s="720"/>
      <c r="M26" s="720"/>
      <c r="N26" s="720"/>
      <c r="O26" s="720"/>
      <c r="P26" s="720"/>
      <c r="Q26" s="720"/>
      <c r="R26" s="720"/>
      <c r="S26" s="720"/>
      <c r="T26" s="720"/>
      <c r="U26" s="720"/>
      <c r="V26" s="720"/>
      <c r="W26" s="720"/>
      <c r="X26" s="720"/>
      <c r="Y26" s="720"/>
      <c r="Z26" s="720"/>
      <c r="AA26" s="720"/>
      <c r="AB26" s="720"/>
      <c r="AC26" s="720"/>
      <c r="AD26" s="720"/>
      <c r="AE26" s="720"/>
      <c r="AF26" s="720"/>
      <c r="AG26" s="737">
        <f xml:space="preserve">
IF($A$4&lt;=12,SUMIFS('ON Data'!AM:AM,'ON Data'!$D:$D,$A$4,'ON Data'!$E:$E,11),SUMIFS('ON Data'!AM:AM,'ON Data'!$E:$E,11))</f>
        <v>0</v>
      </c>
      <c r="AH26" s="740"/>
    </row>
    <row r="27" spans="1:34" x14ac:dyDescent="0.3">
      <c r="A27" s="402" t="s">
        <v>96</v>
      </c>
      <c r="B27" s="443">
        <f xml:space="preserve">
IF(B26=0,0,B25/B26)</f>
        <v>1.0289726992619486</v>
      </c>
      <c r="C27" s="743">
        <f xml:space="preserve">
IF(C26=0,0,C25/C26)</f>
        <v>0.35146075877867389</v>
      </c>
      <c r="D27" s="721"/>
      <c r="E27" s="722"/>
      <c r="F27" s="722">
        <f xml:space="preserve">
IF(F26=0,0,F25/F26)</f>
        <v>3.1880000000000002</v>
      </c>
      <c r="G27" s="722"/>
      <c r="H27" s="722"/>
      <c r="I27" s="722"/>
      <c r="J27" s="722"/>
      <c r="K27" s="722"/>
      <c r="L27" s="722"/>
      <c r="M27" s="722"/>
      <c r="N27" s="722"/>
      <c r="O27" s="722"/>
      <c r="P27" s="722"/>
      <c r="Q27" s="722"/>
      <c r="R27" s="722"/>
      <c r="S27" s="722"/>
      <c r="T27" s="722"/>
      <c r="U27" s="722"/>
      <c r="V27" s="722"/>
      <c r="W27" s="722"/>
      <c r="X27" s="722"/>
      <c r="Y27" s="722"/>
      <c r="Z27" s="722"/>
      <c r="AA27" s="722"/>
      <c r="AB27" s="722"/>
      <c r="AC27" s="722"/>
      <c r="AD27" s="722"/>
      <c r="AE27" s="722"/>
      <c r="AF27" s="722"/>
      <c r="AG27" s="738">
        <f xml:space="preserve">
IF(AG26=0,0,AG25/AG26)</f>
        <v>0</v>
      </c>
      <c r="AH27" s="740"/>
    </row>
    <row r="28" spans="1:34" ht="15" thickBot="1" x14ac:dyDescent="0.35">
      <c r="A28" s="402" t="s">
        <v>277</v>
      </c>
      <c r="B28" s="422">
        <f xml:space="preserve">
SUM(C28:AG28)</f>
        <v>-303.25</v>
      </c>
      <c r="C28" s="744">
        <f xml:space="preserve">
C26-C25</f>
        <v>5166.75</v>
      </c>
      <c r="D28" s="723"/>
      <c r="E28" s="724"/>
      <c r="F28" s="724">
        <f xml:space="preserve">
F26-F25</f>
        <v>-5470</v>
      </c>
      <c r="G28" s="724"/>
      <c r="H28" s="724"/>
      <c r="I28" s="724"/>
      <c r="J28" s="724"/>
      <c r="K28" s="724"/>
      <c r="L28" s="724"/>
      <c r="M28" s="724"/>
      <c r="N28" s="724"/>
      <c r="O28" s="724"/>
      <c r="P28" s="724"/>
      <c r="Q28" s="724"/>
      <c r="R28" s="724"/>
      <c r="S28" s="724"/>
      <c r="T28" s="724"/>
      <c r="U28" s="724"/>
      <c r="V28" s="724"/>
      <c r="W28" s="724"/>
      <c r="X28" s="724"/>
      <c r="Y28" s="724"/>
      <c r="Z28" s="724"/>
      <c r="AA28" s="724"/>
      <c r="AB28" s="724"/>
      <c r="AC28" s="724"/>
      <c r="AD28" s="724"/>
      <c r="AE28" s="724"/>
      <c r="AF28" s="724"/>
      <c r="AG28" s="739">
        <f xml:space="preserve">
AG26-AG25</f>
        <v>0</v>
      </c>
      <c r="AH28" s="740"/>
    </row>
    <row r="29" spans="1:34" x14ac:dyDescent="0.3">
      <c r="A29" s="403"/>
      <c r="B29" s="403"/>
      <c r="C29" s="404"/>
      <c r="D29" s="403"/>
      <c r="E29" s="403"/>
      <c r="F29" s="404"/>
      <c r="G29" s="404"/>
      <c r="H29" s="404"/>
      <c r="I29" s="404"/>
      <c r="J29" s="404"/>
      <c r="K29" s="404"/>
      <c r="L29" s="404"/>
      <c r="M29" s="404"/>
      <c r="N29" s="404"/>
      <c r="O29" s="404"/>
      <c r="P29" s="404"/>
      <c r="Q29" s="404"/>
      <c r="R29" s="404"/>
      <c r="S29" s="404"/>
      <c r="T29" s="404"/>
      <c r="U29" s="404"/>
      <c r="V29" s="404"/>
      <c r="W29" s="404"/>
      <c r="X29" s="404"/>
      <c r="Y29" s="404"/>
      <c r="Z29" s="404"/>
      <c r="AA29" s="404"/>
      <c r="AB29" s="404"/>
      <c r="AC29" s="404"/>
      <c r="AD29" s="404"/>
      <c r="AE29" s="403"/>
      <c r="AF29" s="403"/>
      <c r="AG29" s="403"/>
    </row>
    <row r="30" spans="1:34" x14ac:dyDescent="0.3">
      <c r="A30" s="229" t="s">
        <v>203</v>
      </c>
      <c r="B30" s="257"/>
      <c r="C30" s="257"/>
      <c r="D30" s="257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57"/>
      <c r="P30" s="257"/>
      <c r="Q30" s="257"/>
      <c r="R30" s="257"/>
      <c r="S30" s="257"/>
      <c r="T30" s="257"/>
      <c r="U30" s="257"/>
      <c r="V30" s="257"/>
      <c r="W30" s="257"/>
      <c r="X30" s="257"/>
      <c r="Y30" s="257"/>
      <c r="Z30" s="257"/>
      <c r="AA30" s="257"/>
      <c r="AB30" s="257"/>
      <c r="AC30" s="257"/>
      <c r="AD30" s="257"/>
      <c r="AE30" s="257"/>
      <c r="AF30" s="257"/>
      <c r="AG30" s="280"/>
    </row>
    <row r="31" spans="1:34" x14ac:dyDescent="0.3">
      <c r="A31" s="230" t="s">
        <v>275</v>
      </c>
      <c r="B31" s="257"/>
      <c r="C31" s="257"/>
      <c r="D31" s="257"/>
      <c r="E31" s="257"/>
      <c r="F31" s="257"/>
      <c r="G31" s="257"/>
      <c r="H31" s="257"/>
      <c r="I31" s="257"/>
      <c r="J31" s="257"/>
      <c r="K31" s="257"/>
      <c r="L31" s="257"/>
      <c r="M31" s="257"/>
      <c r="N31" s="257"/>
      <c r="O31" s="257"/>
      <c r="P31" s="257"/>
      <c r="Q31" s="257"/>
      <c r="R31" s="257"/>
      <c r="S31" s="257"/>
      <c r="T31" s="257"/>
      <c r="U31" s="257"/>
      <c r="V31" s="257"/>
      <c r="W31" s="257"/>
      <c r="X31" s="257"/>
      <c r="Y31" s="257"/>
      <c r="Z31" s="257"/>
      <c r="AA31" s="257"/>
      <c r="AB31" s="257"/>
      <c r="AC31" s="257"/>
      <c r="AD31" s="257"/>
      <c r="AE31" s="257"/>
      <c r="AF31" s="257"/>
      <c r="AG31" s="280"/>
    </row>
    <row r="32" spans="1:34" ht="14.4" customHeight="1" x14ac:dyDescent="0.3">
      <c r="A32" s="439" t="s">
        <v>272</v>
      </c>
      <c r="B32" s="440"/>
      <c r="C32" s="440"/>
      <c r="D32" s="440"/>
      <c r="E32" s="440"/>
      <c r="F32" s="440"/>
      <c r="G32" s="440"/>
      <c r="H32" s="440"/>
      <c r="I32" s="440"/>
      <c r="J32" s="440"/>
      <c r="K32" s="440"/>
      <c r="L32" s="440"/>
      <c r="M32" s="440"/>
      <c r="N32" s="440"/>
      <c r="O32" s="440"/>
      <c r="P32" s="440"/>
      <c r="Q32" s="440"/>
      <c r="R32" s="440"/>
      <c r="S32" s="440"/>
      <c r="T32" s="440"/>
      <c r="U32" s="440"/>
      <c r="V32" s="440"/>
      <c r="W32" s="440"/>
      <c r="X32" s="440"/>
      <c r="Y32" s="440"/>
      <c r="Z32" s="440"/>
      <c r="AA32" s="440"/>
      <c r="AB32" s="440"/>
      <c r="AC32" s="440"/>
      <c r="AD32" s="440"/>
      <c r="AE32" s="440"/>
      <c r="AF32" s="440"/>
    </row>
    <row r="33" spans="1:1" x14ac:dyDescent="0.3">
      <c r="A33" s="441" t="s">
        <v>282</v>
      </c>
    </row>
    <row r="34" spans="1:1" x14ac:dyDescent="0.3">
      <c r="A34" s="441" t="s">
        <v>283</v>
      </c>
    </row>
    <row r="35" spans="1:1" x14ac:dyDescent="0.3">
      <c r="A35" s="441" t="s">
        <v>284</v>
      </c>
    </row>
    <row r="36" spans="1:1" x14ac:dyDescent="0.3">
      <c r="A36" s="441" t="s">
        <v>285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20" priority="2" operator="greaterThan">
      <formula>1</formula>
    </cfRule>
  </conditionalFormatting>
  <conditionalFormatting sqref="C28 AG28 F28">
    <cfRule type="cellIs" dxfId="19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29"/>
  <sheetViews>
    <sheetView showGridLines="0" showRowColHeaders="0" workbookViewId="0"/>
  </sheetViews>
  <sheetFormatPr defaultRowHeight="14.4" x14ac:dyDescent="0.3"/>
  <cols>
    <col min="1" max="16384" width="8.88671875" style="382"/>
  </cols>
  <sheetData>
    <row r="1" spans="1:40" x14ac:dyDescent="0.3">
      <c r="A1" s="382" t="s">
        <v>2103</v>
      </c>
    </row>
    <row r="2" spans="1:40" x14ac:dyDescent="0.3">
      <c r="A2" s="386" t="s">
        <v>321</v>
      </c>
    </row>
    <row r="3" spans="1:40" x14ac:dyDescent="0.3">
      <c r="A3" s="382" t="s">
        <v>242</v>
      </c>
      <c r="B3" s="407">
        <v>2014</v>
      </c>
      <c r="D3" s="383">
        <f>MAX(D5:D1048576)</f>
        <v>3</v>
      </c>
      <c r="F3" s="383">
        <f>SUMIF($E5:$E1048576,"&lt;10",F5:F1048576)</f>
        <v>5753557.46</v>
      </c>
      <c r="G3" s="383">
        <f t="shared" ref="G3:AN3" si="0">SUMIF($E5:$E1048576,"&lt;10",G5:G1048576)</f>
        <v>29180</v>
      </c>
      <c r="H3" s="383">
        <f t="shared" si="0"/>
        <v>1573094.2</v>
      </c>
      <c r="I3" s="383">
        <f t="shared" si="0"/>
        <v>0</v>
      </c>
      <c r="J3" s="383">
        <f t="shared" si="0"/>
        <v>0</v>
      </c>
      <c r="K3" s="383">
        <f t="shared" si="0"/>
        <v>3836012.76</v>
      </c>
      <c r="L3" s="383">
        <f t="shared" si="0"/>
        <v>0</v>
      </c>
      <c r="M3" s="383">
        <f t="shared" si="0"/>
        <v>0</v>
      </c>
      <c r="N3" s="383">
        <f t="shared" si="0"/>
        <v>0</v>
      </c>
      <c r="O3" s="383">
        <f t="shared" si="0"/>
        <v>0</v>
      </c>
      <c r="P3" s="383">
        <f t="shared" si="0"/>
        <v>0</v>
      </c>
      <c r="Q3" s="383">
        <f t="shared" si="0"/>
        <v>0</v>
      </c>
      <c r="R3" s="383">
        <f t="shared" si="0"/>
        <v>0</v>
      </c>
      <c r="S3" s="383">
        <f t="shared" si="0"/>
        <v>0</v>
      </c>
      <c r="T3" s="383">
        <f t="shared" si="0"/>
        <v>0</v>
      </c>
      <c r="U3" s="383">
        <f t="shared" si="0"/>
        <v>0</v>
      </c>
      <c r="V3" s="383">
        <f t="shared" si="0"/>
        <v>0</v>
      </c>
      <c r="W3" s="383">
        <f t="shared" si="0"/>
        <v>0</v>
      </c>
      <c r="X3" s="383">
        <f t="shared" si="0"/>
        <v>0</v>
      </c>
      <c r="Y3" s="383">
        <f t="shared" si="0"/>
        <v>0</v>
      </c>
      <c r="Z3" s="383">
        <f t="shared" si="0"/>
        <v>0</v>
      </c>
      <c r="AA3" s="383">
        <f t="shared" si="0"/>
        <v>0</v>
      </c>
      <c r="AB3" s="383">
        <f t="shared" si="0"/>
        <v>0</v>
      </c>
      <c r="AC3" s="383">
        <f t="shared" si="0"/>
        <v>0</v>
      </c>
      <c r="AD3" s="383">
        <f t="shared" si="0"/>
        <v>0</v>
      </c>
      <c r="AE3" s="383">
        <f t="shared" si="0"/>
        <v>130228.5</v>
      </c>
      <c r="AF3" s="383">
        <f t="shared" si="0"/>
        <v>0</v>
      </c>
      <c r="AG3" s="383">
        <f t="shared" si="0"/>
        <v>0</v>
      </c>
      <c r="AH3" s="383">
        <f t="shared" si="0"/>
        <v>116580</v>
      </c>
      <c r="AI3" s="383">
        <f t="shared" si="0"/>
        <v>0</v>
      </c>
      <c r="AJ3" s="383">
        <f t="shared" si="0"/>
        <v>0</v>
      </c>
      <c r="AK3" s="383">
        <f t="shared" si="0"/>
        <v>0</v>
      </c>
      <c r="AL3" s="383">
        <f t="shared" si="0"/>
        <v>0</v>
      </c>
      <c r="AM3" s="383">
        <f t="shared" si="0"/>
        <v>68462</v>
      </c>
      <c r="AN3" s="383">
        <f t="shared" si="0"/>
        <v>0</v>
      </c>
    </row>
    <row r="4" spans="1:40" x14ac:dyDescent="0.3">
      <c r="A4" s="382" t="s">
        <v>243</v>
      </c>
      <c r="B4" s="407">
        <v>1</v>
      </c>
      <c r="C4" s="384" t="s">
        <v>5</v>
      </c>
      <c r="D4" s="385" t="s">
        <v>68</v>
      </c>
      <c r="E4" s="385" t="s">
        <v>237</v>
      </c>
      <c r="F4" s="385" t="s">
        <v>3</v>
      </c>
      <c r="G4" s="385" t="s">
        <v>238</v>
      </c>
      <c r="H4" s="385" t="s">
        <v>239</v>
      </c>
      <c r="I4" s="385" t="s">
        <v>240</v>
      </c>
      <c r="J4" s="385" t="s">
        <v>241</v>
      </c>
      <c r="K4" s="385">
        <v>305</v>
      </c>
      <c r="L4" s="385">
        <v>306</v>
      </c>
      <c r="M4" s="385">
        <v>408</v>
      </c>
      <c r="N4" s="385">
        <v>409</v>
      </c>
      <c r="O4" s="385">
        <v>410</v>
      </c>
      <c r="P4" s="385">
        <v>415</v>
      </c>
      <c r="Q4" s="385">
        <v>416</v>
      </c>
      <c r="R4" s="385">
        <v>418</v>
      </c>
      <c r="S4" s="385">
        <v>419</v>
      </c>
      <c r="T4" s="385">
        <v>420</v>
      </c>
      <c r="U4" s="385">
        <v>421</v>
      </c>
      <c r="V4" s="385">
        <v>522</v>
      </c>
      <c r="W4" s="385">
        <v>523</v>
      </c>
      <c r="X4" s="385">
        <v>524</v>
      </c>
      <c r="Y4" s="385">
        <v>525</v>
      </c>
      <c r="Z4" s="385">
        <v>526</v>
      </c>
      <c r="AA4" s="385">
        <v>527</v>
      </c>
      <c r="AB4" s="385">
        <v>528</v>
      </c>
      <c r="AC4" s="385">
        <v>629</v>
      </c>
      <c r="AD4" s="385">
        <v>630</v>
      </c>
      <c r="AE4" s="385">
        <v>636</v>
      </c>
      <c r="AF4" s="385">
        <v>637</v>
      </c>
      <c r="AG4" s="385">
        <v>640</v>
      </c>
      <c r="AH4" s="385">
        <v>642</v>
      </c>
      <c r="AI4" s="385">
        <v>743</v>
      </c>
      <c r="AJ4" s="385">
        <v>745</v>
      </c>
      <c r="AK4" s="385">
        <v>746</v>
      </c>
      <c r="AL4" s="385">
        <v>747</v>
      </c>
      <c r="AM4" s="385">
        <v>930</v>
      </c>
      <c r="AN4" s="385">
        <v>940</v>
      </c>
    </row>
    <row r="5" spans="1:40" x14ac:dyDescent="0.3">
      <c r="A5" s="382" t="s">
        <v>244</v>
      </c>
      <c r="B5" s="407">
        <v>2</v>
      </c>
      <c r="C5" s="382">
        <v>59</v>
      </c>
      <c r="D5" s="382">
        <v>1</v>
      </c>
      <c r="E5" s="382">
        <v>1</v>
      </c>
      <c r="F5" s="382">
        <v>53.1</v>
      </c>
      <c r="G5" s="382">
        <v>0</v>
      </c>
      <c r="H5" s="382">
        <v>7.6</v>
      </c>
      <c r="I5" s="382">
        <v>0</v>
      </c>
      <c r="J5" s="382">
        <v>0</v>
      </c>
      <c r="K5" s="382">
        <v>40.5</v>
      </c>
      <c r="L5" s="382">
        <v>0</v>
      </c>
      <c r="M5" s="382">
        <v>0</v>
      </c>
      <c r="N5" s="382">
        <v>0</v>
      </c>
      <c r="O5" s="382">
        <v>0</v>
      </c>
      <c r="P5" s="382">
        <v>0</v>
      </c>
      <c r="Q5" s="382">
        <v>0</v>
      </c>
      <c r="R5" s="382">
        <v>0</v>
      </c>
      <c r="S5" s="382">
        <v>0</v>
      </c>
      <c r="T5" s="382">
        <v>0</v>
      </c>
      <c r="U5" s="382">
        <v>0</v>
      </c>
      <c r="V5" s="382">
        <v>0</v>
      </c>
      <c r="W5" s="382">
        <v>0</v>
      </c>
      <c r="X5" s="382">
        <v>0</v>
      </c>
      <c r="Y5" s="382">
        <v>0</v>
      </c>
      <c r="Z5" s="382">
        <v>0</v>
      </c>
      <c r="AA5" s="382">
        <v>0</v>
      </c>
      <c r="AB5" s="382">
        <v>0</v>
      </c>
      <c r="AC5" s="382">
        <v>0</v>
      </c>
      <c r="AD5" s="382">
        <v>0</v>
      </c>
      <c r="AE5" s="382">
        <v>2</v>
      </c>
      <c r="AF5" s="382">
        <v>0</v>
      </c>
      <c r="AG5" s="382">
        <v>0</v>
      </c>
      <c r="AH5" s="382">
        <v>2</v>
      </c>
      <c r="AI5" s="382">
        <v>0</v>
      </c>
      <c r="AJ5" s="382">
        <v>0</v>
      </c>
      <c r="AK5" s="382">
        <v>0</v>
      </c>
      <c r="AL5" s="382">
        <v>0</v>
      </c>
      <c r="AM5" s="382">
        <v>1</v>
      </c>
      <c r="AN5" s="382">
        <v>0</v>
      </c>
    </row>
    <row r="6" spans="1:40" x14ac:dyDescent="0.3">
      <c r="A6" s="382" t="s">
        <v>245</v>
      </c>
      <c r="B6" s="407">
        <v>3</v>
      </c>
      <c r="C6" s="382">
        <v>59</v>
      </c>
      <c r="D6" s="382">
        <v>1</v>
      </c>
      <c r="E6" s="382">
        <v>2</v>
      </c>
      <c r="F6" s="382">
        <v>7880.25</v>
      </c>
      <c r="G6" s="382">
        <v>0</v>
      </c>
      <c r="H6" s="382">
        <v>1264</v>
      </c>
      <c r="I6" s="382">
        <v>0</v>
      </c>
      <c r="J6" s="382">
        <v>0</v>
      </c>
      <c r="K6" s="382">
        <v>5789.5</v>
      </c>
      <c r="L6" s="382">
        <v>0</v>
      </c>
      <c r="M6" s="382">
        <v>0</v>
      </c>
      <c r="N6" s="382">
        <v>0</v>
      </c>
      <c r="O6" s="382">
        <v>0</v>
      </c>
      <c r="P6" s="382">
        <v>0</v>
      </c>
      <c r="Q6" s="382">
        <v>0</v>
      </c>
      <c r="R6" s="382">
        <v>0</v>
      </c>
      <c r="S6" s="382">
        <v>0</v>
      </c>
      <c r="T6" s="382">
        <v>0</v>
      </c>
      <c r="U6" s="382">
        <v>0</v>
      </c>
      <c r="V6" s="382">
        <v>0</v>
      </c>
      <c r="W6" s="382">
        <v>0</v>
      </c>
      <c r="X6" s="382">
        <v>0</v>
      </c>
      <c r="Y6" s="382">
        <v>0</v>
      </c>
      <c r="Z6" s="382">
        <v>0</v>
      </c>
      <c r="AA6" s="382">
        <v>0</v>
      </c>
      <c r="AB6" s="382">
        <v>0</v>
      </c>
      <c r="AC6" s="382">
        <v>0</v>
      </c>
      <c r="AD6" s="382">
        <v>0</v>
      </c>
      <c r="AE6" s="382">
        <v>325.5</v>
      </c>
      <c r="AF6" s="382">
        <v>0</v>
      </c>
      <c r="AG6" s="382">
        <v>0</v>
      </c>
      <c r="AH6" s="382">
        <v>333.25</v>
      </c>
      <c r="AI6" s="382">
        <v>0</v>
      </c>
      <c r="AJ6" s="382">
        <v>0</v>
      </c>
      <c r="AK6" s="382">
        <v>0</v>
      </c>
      <c r="AL6" s="382">
        <v>0</v>
      </c>
      <c r="AM6" s="382">
        <v>168</v>
      </c>
      <c r="AN6" s="382">
        <v>0</v>
      </c>
    </row>
    <row r="7" spans="1:40" x14ac:dyDescent="0.3">
      <c r="A7" s="382" t="s">
        <v>246</v>
      </c>
      <c r="B7" s="407">
        <v>4</v>
      </c>
      <c r="C7" s="382">
        <v>59</v>
      </c>
      <c r="D7" s="382">
        <v>1</v>
      </c>
      <c r="E7" s="382">
        <v>3</v>
      </c>
      <c r="F7" s="382">
        <v>84</v>
      </c>
      <c r="G7" s="382">
        <v>0</v>
      </c>
      <c r="H7" s="382">
        <v>9</v>
      </c>
      <c r="I7" s="382">
        <v>0</v>
      </c>
      <c r="J7" s="382">
        <v>0</v>
      </c>
      <c r="K7" s="382">
        <v>75</v>
      </c>
      <c r="L7" s="382">
        <v>0</v>
      </c>
      <c r="M7" s="382">
        <v>0</v>
      </c>
      <c r="N7" s="382">
        <v>0</v>
      </c>
      <c r="O7" s="382">
        <v>0</v>
      </c>
      <c r="P7" s="382">
        <v>0</v>
      </c>
      <c r="Q7" s="382">
        <v>0</v>
      </c>
      <c r="R7" s="382">
        <v>0</v>
      </c>
      <c r="S7" s="382">
        <v>0</v>
      </c>
      <c r="T7" s="382">
        <v>0</v>
      </c>
      <c r="U7" s="382">
        <v>0</v>
      </c>
      <c r="V7" s="382">
        <v>0</v>
      </c>
      <c r="W7" s="382">
        <v>0</v>
      </c>
      <c r="X7" s="382">
        <v>0</v>
      </c>
      <c r="Y7" s="382">
        <v>0</v>
      </c>
      <c r="Z7" s="382">
        <v>0</v>
      </c>
      <c r="AA7" s="382">
        <v>0</v>
      </c>
      <c r="AB7" s="382">
        <v>0</v>
      </c>
      <c r="AC7" s="382">
        <v>0</v>
      </c>
      <c r="AD7" s="382">
        <v>0</v>
      </c>
      <c r="AE7" s="382">
        <v>0</v>
      </c>
      <c r="AF7" s="382">
        <v>0</v>
      </c>
      <c r="AG7" s="382">
        <v>0</v>
      </c>
      <c r="AH7" s="382">
        <v>0</v>
      </c>
      <c r="AI7" s="382">
        <v>0</v>
      </c>
      <c r="AJ7" s="382">
        <v>0</v>
      </c>
      <c r="AK7" s="382">
        <v>0</v>
      </c>
      <c r="AL7" s="382">
        <v>0</v>
      </c>
      <c r="AM7" s="382">
        <v>0</v>
      </c>
      <c r="AN7" s="382">
        <v>0</v>
      </c>
    </row>
    <row r="8" spans="1:40" x14ac:dyDescent="0.3">
      <c r="A8" s="382" t="s">
        <v>247</v>
      </c>
      <c r="B8" s="407">
        <v>5</v>
      </c>
      <c r="C8" s="382">
        <v>59</v>
      </c>
      <c r="D8" s="382">
        <v>1</v>
      </c>
      <c r="E8" s="382">
        <v>4</v>
      </c>
      <c r="F8" s="382">
        <v>254</v>
      </c>
      <c r="G8" s="382">
        <v>0</v>
      </c>
      <c r="H8" s="382">
        <v>86</v>
      </c>
      <c r="I8" s="382">
        <v>0</v>
      </c>
      <c r="J8" s="382">
        <v>0</v>
      </c>
      <c r="K8" s="382">
        <v>168</v>
      </c>
      <c r="L8" s="382">
        <v>0</v>
      </c>
      <c r="M8" s="382">
        <v>0</v>
      </c>
      <c r="N8" s="382">
        <v>0</v>
      </c>
      <c r="O8" s="382">
        <v>0</v>
      </c>
      <c r="P8" s="382">
        <v>0</v>
      </c>
      <c r="Q8" s="382">
        <v>0</v>
      </c>
      <c r="R8" s="382">
        <v>0</v>
      </c>
      <c r="S8" s="382">
        <v>0</v>
      </c>
      <c r="T8" s="382">
        <v>0</v>
      </c>
      <c r="U8" s="382">
        <v>0</v>
      </c>
      <c r="V8" s="382">
        <v>0</v>
      </c>
      <c r="W8" s="382">
        <v>0</v>
      </c>
      <c r="X8" s="382">
        <v>0</v>
      </c>
      <c r="Y8" s="382">
        <v>0</v>
      </c>
      <c r="Z8" s="382">
        <v>0</v>
      </c>
      <c r="AA8" s="382">
        <v>0</v>
      </c>
      <c r="AB8" s="382">
        <v>0</v>
      </c>
      <c r="AC8" s="382">
        <v>0</v>
      </c>
      <c r="AD8" s="382">
        <v>0</v>
      </c>
      <c r="AE8" s="382">
        <v>0</v>
      </c>
      <c r="AF8" s="382">
        <v>0</v>
      </c>
      <c r="AG8" s="382">
        <v>0</v>
      </c>
      <c r="AH8" s="382">
        <v>0</v>
      </c>
      <c r="AI8" s="382">
        <v>0</v>
      </c>
      <c r="AJ8" s="382">
        <v>0</v>
      </c>
      <c r="AK8" s="382">
        <v>0</v>
      </c>
      <c r="AL8" s="382">
        <v>0</v>
      </c>
      <c r="AM8" s="382">
        <v>0</v>
      </c>
      <c r="AN8" s="382">
        <v>0</v>
      </c>
    </row>
    <row r="9" spans="1:40" x14ac:dyDescent="0.3">
      <c r="A9" s="382" t="s">
        <v>248</v>
      </c>
      <c r="B9" s="407">
        <v>6</v>
      </c>
      <c r="C9" s="382">
        <v>59</v>
      </c>
      <c r="D9" s="382">
        <v>1</v>
      </c>
      <c r="E9" s="382">
        <v>5</v>
      </c>
      <c r="F9" s="382">
        <v>32</v>
      </c>
      <c r="G9" s="382">
        <v>32</v>
      </c>
      <c r="H9" s="382">
        <v>0</v>
      </c>
      <c r="I9" s="382">
        <v>0</v>
      </c>
      <c r="J9" s="382">
        <v>0</v>
      </c>
      <c r="K9" s="382">
        <v>0</v>
      </c>
      <c r="L9" s="382">
        <v>0</v>
      </c>
      <c r="M9" s="382">
        <v>0</v>
      </c>
      <c r="N9" s="382">
        <v>0</v>
      </c>
      <c r="O9" s="382">
        <v>0</v>
      </c>
      <c r="P9" s="382">
        <v>0</v>
      </c>
      <c r="Q9" s="382">
        <v>0</v>
      </c>
      <c r="R9" s="382">
        <v>0</v>
      </c>
      <c r="S9" s="382">
        <v>0</v>
      </c>
      <c r="T9" s="382">
        <v>0</v>
      </c>
      <c r="U9" s="382">
        <v>0</v>
      </c>
      <c r="V9" s="382">
        <v>0</v>
      </c>
      <c r="W9" s="382">
        <v>0</v>
      </c>
      <c r="X9" s="382">
        <v>0</v>
      </c>
      <c r="Y9" s="382">
        <v>0</v>
      </c>
      <c r="Z9" s="382">
        <v>0</v>
      </c>
      <c r="AA9" s="382">
        <v>0</v>
      </c>
      <c r="AB9" s="382">
        <v>0</v>
      </c>
      <c r="AC9" s="382">
        <v>0</v>
      </c>
      <c r="AD9" s="382">
        <v>0</v>
      </c>
      <c r="AE9" s="382">
        <v>0</v>
      </c>
      <c r="AF9" s="382">
        <v>0</v>
      </c>
      <c r="AG9" s="382">
        <v>0</v>
      </c>
      <c r="AH9" s="382">
        <v>0</v>
      </c>
      <c r="AI9" s="382">
        <v>0</v>
      </c>
      <c r="AJ9" s="382">
        <v>0</v>
      </c>
      <c r="AK9" s="382">
        <v>0</v>
      </c>
      <c r="AL9" s="382">
        <v>0</v>
      </c>
      <c r="AM9" s="382">
        <v>0</v>
      </c>
      <c r="AN9" s="382">
        <v>0</v>
      </c>
    </row>
    <row r="10" spans="1:40" x14ac:dyDescent="0.3">
      <c r="A10" s="382" t="s">
        <v>249</v>
      </c>
      <c r="B10" s="407">
        <v>7</v>
      </c>
      <c r="C10" s="382">
        <v>59</v>
      </c>
      <c r="D10" s="382">
        <v>1</v>
      </c>
      <c r="E10" s="382">
        <v>6</v>
      </c>
      <c r="F10" s="382">
        <v>1848711</v>
      </c>
      <c r="G10" s="382">
        <v>11800</v>
      </c>
      <c r="H10" s="382">
        <v>517084</v>
      </c>
      <c r="I10" s="382">
        <v>0</v>
      </c>
      <c r="J10" s="382">
        <v>0</v>
      </c>
      <c r="K10" s="382">
        <v>1220553</v>
      </c>
      <c r="L10" s="382">
        <v>0</v>
      </c>
      <c r="M10" s="382">
        <v>0</v>
      </c>
      <c r="N10" s="382">
        <v>0</v>
      </c>
      <c r="O10" s="382">
        <v>0</v>
      </c>
      <c r="P10" s="382">
        <v>0</v>
      </c>
      <c r="Q10" s="382">
        <v>0</v>
      </c>
      <c r="R10" s="382">
        <v>0</v>
      </c>
      <c r="S10" s="382">
        <v>0</v>
      </c>
      <c r="T10" s="382">
        <v>0</v>
      </c>
      <c r="U10" s="382">
        <v>0</v>
      </c>
      <c r="V10" s="382">
        <v>0</v>
      </c>
      <c r="W10" s="382">
        <v>0</v>
      </c>
      <c r="X10" s="382">
        <v>0</v>
      </c>
      <c r="Y10" s="382">
        <v>0</v>
      </c>
      <c r="Z10" s="382">
        <v>0</v>
      </c>
      <c r="AA10" s="382">
        <v>0</v>
      </c>
      <c r="AB10" s="382">
        <v>0</v>
      </c>
      <c r="AC10" s="382">
        <v>0</v>
      </c>
      <c r="AD10" s="382">
        <v>0</v>
      </c>
      <c r="AE10" s="382">
        <v>39847</v>
      </c>
      <c r="AF10" s="382">
        <v>0</v>
      </c>
      <c r="AG10" s="382">
        <v>0</v>
      </c>
      <c r="AH10" s="382">
        <v>36264</v>
      </c>
      <c r="AI10" s="382">
        <v>0</v>
      </c>
      <c r="AJ10" s="382">
        <v>0</v>
      </c>
      <c r="AK10" s="382">
        <v>0</v>
      </c>
      <c r="AL10" s="382">
        <v>0</v>
      </c>
      <c r="AM10" s="382">
        <v>23163</v>
      </c>
      <c r="AN10" s="382">
        <v>0</v>
      </c>
    </row>
    <row r="11" spans="1:40" x14ac:dyDescent="0.3">
      <c r="A11" s="382" t="s">
        <v>250</v>
      </c>
      <c r="B11" s="407">
        <v>8</v>
      </c>
      <c r="C11" s="382">
        <v>59</v>
      </c>
      <c r="D11" s="382">
        <v>1</v>
      </c>
      <c r="E11" s="382">
        <v>9</v>
      </c>
      <c r="F11" s="382">
        <v>7408</v>
      </c>
      <c r="G11" s="382">
        <v>0</v>
      </c>
      <c r="H11" s="382">
        <v>0</v>
      </c>
      <c r="I11" s="382">
        <v>0</v>
      </c>
      <c r="J11" s="382">
        <v>0</v>
      </c>
      <c r="K11" s="382">
        <v>7408</v>
      </c>
      <c r="L11" s="382">
        <v>0</v>
      </c>
      <c r="M11" s="382">
        <v>0</v>
      </c>
      <c r="N11" s="382">
        <v>0</v>
      </c>
      <c r="O11" s="382">
        <v>0</v>
      </c>
      <c r="P11" s="382">
        <v>0</v>
      </c>
      <c r="Q11" s="382">
        <v>0</v>
      </c>
      <c r="R11" s="382">
        <v>0</v>
      </c>
      <c r="S11" s="382">
        <v>0</v>
      </c>
      <c r="T11" s="382">
        <v>0</v>
      </c>
      <c r="U11" s="382">
        <v>0</v>
      </c>
      <c r="V11" s="382">
        <v>0</v>
      </c>
      <c r="W11" s="382">
        <v>0</v>
      </c>
      <c r="X11" s="382">
        <v>0</v>
      </c>
      <c r="Y11" s="382">
        <v>0</v>
      </c>
      <c r="Z11" s="382">
        <v>0</v>
      </c>
      <c r="AA11" s="382">
        <v>0</v>
      </c>
      <c r="AB11" s="382">
        <v>0</v>
      </c>
      <c r="AC11" s="382">
        <v>0</v>
      </c>
      <c r="AD11" s="382">
        <v>0</v>
      </c>
      <c r="AE11" s="382">
        <v>0</v>
      </c>
      <c r="AF11" s="382">
        <v>0</v>
      </c>
      <c r="AG11" s="382">
        <v>0</v>
      </c>
      <c r="AH11" s="382">
        <v>0</v>
      </c>
      <c r="AI11" s="382">
        <v>0</v>
      </c>
      <c r="AJ11" s="382">
        <v>0</v>
      </c>
      <c r="AK11" s="382">
        <v>0</v>
      </c>
      <c r="AL11" s="382">
        <v>0</v>
      </c>
      <c r="AM11" s="382">
        <v>0</v>
      </c>
      <c r="AN11" s="382">
        <v>0</v>
      </c>
    </row>
    <row r="12" spans="1:40" x14ac:dyDescent="0.3">
      <c r="A12" s="382" t="s">
        <v>251</v>
      </c>
      <c r="B12" s="407">
        <v>9</v>
      </c>
      <c r="C12" s="382">
        <v>59</v>
      </c>
      <c r="D12" s="382">
        <v>1</v>
      </c>
      <c r="E12" s="382">
        <v>10</v>
      </c>
      <c r="F12" s="382">
        <v>7970</v>
      </c>
      <c r="G12" s="382">
        <v>0</v>
      </c>
      <c r="H12" s="382">
        <v>0</v>
      </c>
      <c r="I12" s="382">
        <v>0</v>
      </c>
      <c r="J12" s="382">
        <v>0</v>
      </c>
      <c r="K12" s="382">
        <v>7970</v>
      </c>
      <c r="L12" s="382">
        <v>0</v>
      </c>
      <c r="M12" s="382">
        <v>0</v>
      </c>
      <c r="N12" s="382">
        <v>0</v>
      </c>
      <c r="O12" s="382">
        <v>0</v>
      </c>
      <c r="P12" s="382">
        <v>0</v>
      </c>
      <c r="Q12" s="382">
        <v>0</v>
      </c>
      <c r="R12" s="382">
        <v>0</v>
      </c>
      <c r="S12" s="382">
        <v>0</v>
      </c>
      <c r="T12" s="382">
        <v>0</v>
      </c>
      <c r="U12" s="382">
        <v>0</v>
      </c>
      <c r="V12" s="382">
        <v>0</v>
      </c>
      <c r="W12" s="382">
        <v>0</v>
      </c>
      <c r="X12" s="382">
        <v>0</v>
      </c>
      <c r="Y12" s="382">
        <v>0</v>
      </c>
      <c r="Z12" s="382">
        <v>0</v>
      </c>
      <c r="AA12" s="382">
        <v>0</v>
      </c>
      <c r="AB12" s="382">
        <v>0</v>
      </c>
      <c r="AC12" s="382">
        <v>0</v>
      </c>
      <c r="AD12" s="382">
        <v>0</v>
      </c>
      <c r="AE12" s="382">
        <v>0</v>
      </c>
      <c r="AF12" s="382">
        <v>0</v>
      </c>
      <c r="AG12" s="382">
        <v>0</v>
      </c>
      <c r="AH12" s="382">
        <v>0</v>
      </c>
      <c r="AI12" s="382">
        <v>0</v>
      </c>
      <c r="AJ12" s="382">
        <v>0</v>
      </c>
      <c r="AK12" s="382">
        <v>0</v>
      </c>
      <c r="AL12" s="382">
        <v>0</v>
      </c>
      <c r="AM12" s="382">
        <v>0</v>
      </c>
      <c r="AN12" s="382">
        <v>0</v>
      </c>
    </row>
    <row r="13" spans="1:40" x14ac:dyDescent="0.3">
      <c r="A13" s="382" t="s">
        <v>252</v>
      </c>
      <c r="B13" s="407">
        <v>10</v>
      </c>
      <c r="C13" s="382">
        <v>59</v>
      </c>
      <c r="D13" s="382">
        <v>1</v>
      </c>
      <c r="E13" s="382">
        <v>11</v>
      </c>
      <c r="F13" s="382">
        <v>3488.916666666667</v>
      </c>
      <c r="G13" s="382">
        <v>0</v>
      </c>
      <c r="H13" s="382">
        <v>2655.5833333333335</v>
      </c>
      <c r="I13" s="382">
        <v>0</v>
      </c>
      <c r="J13" s="382">
        <v>0</v>
      </c>
      <c r="K13" s="382">
        <v>833.33333333333337</v>
      </c>
      <c r="L13" s="382">
        <v>0</v>
      </c>
      <c r="M13" s="382">
        <v>0</v>
      </c>
      <c r="N13" s="382">
        <v>0</v>
      </c>
      <c r="O13" s="382">
        <v>0</v>
      </c>
      <c r="P13" s="382">
        <v>0</v>
      </c>
      <c r="Q13" s="382">
        <v>0</v>
      </c>
      <c r="R13" s="382">
        <v>0</v>
      </c>
      <c r="S13" s="382">
        <v>0</v>
      </c>
      <c r="T13" s="382">
        <v>0</v>
      </c>
      <c r="U13" s="382">
        <v>0</v>
      </c>
      <c r="V13" s="382">
        <v>0</v>
      </c>
      <c r="W13" s="382">
        <v>0</v>
      </c>
      <c r="X13" s="382">
        <v>0</v>
      </c>
      <c r="Y13" s="382">
        <v>0</v>
      </c>
      <c r="Z13" s="382">
        <v>0</v>
      </c>
      <c r="AA13" s="382">
        <v>0</v>
      </c>
      <c r="AB13" s="382">
        <v>0</v>
      </c>
      <c r="AC13" s="382">
        <v>0</v>
      </c>
      <c r="AD13" s="382">
        <v>0</v>
      </c>
      <c r="AE13" s="382">
        <v>0</v>
      </c>
      <c r="AF13" s="382">
        <v>0</v>
      </c>
      <c r="AG13" s="382">
        <v>0</v>
      </c>
      <c r="AH13" s="382">
        <v>0</v>
      </c>
      <c r="AI13" s="382">
        <v>0</v>
      </c>
      <c r="AJ13" s="382">
        <v>0</v>
      </c>
      <c r="AK13" s="382">
        <v>0</v>
      </c>
      <c r="AL13" s="382">
        <v>0</v>
      </c>
      <c r="AM13" s="382">
        <v>0</v>
      </c>
      <c r="AN13" s="382">
        <v>0</v>
      </c>
    </row>
    <row r="14" spans="1:40" x14ac:dyDescent="0.3">
      <c r="A14" s="382" t="s">
        <v>253</v>
      </c>
      <c r="B14" s="407">
        <v>11</v>
      </c>
      <c r="C14" s="382">
        <v>59</v>
      </c>
      <c r="D14" s="382">
        <v>2</v>
      </c>
      <c r="E14" s="382">
        <v>1</v>
      </c>
      <c r="F14" s="382">
        <v>53.1</v>
      </c>
      <c r="G14" s="382">
        <v>0</v>
      </c>
      <c r="H14" s="382">
        <v>7.6</v>
      </c>
      <c r="I14" s="382">
        <v>0</v>
      </c>
      <c r="J14" s="382">
        <v>0</v>
      </c>
      <c r="K14" s="382">
        <v>40.5</v>
      </c>
      <c r="L14" s="382">
        <v>0</v>
      </c>
      <c r="M14" s="382">
        <v>0</v>
      </c>
      <c r="N14" s="382">
        <v>0</v>
      </c>
      <c r="O14" s="382">
        <v>0</v>
      </c>
      <c r="P14" s="382">
        <v>0</v>
      </c>
      <c r="Q14" s="382">
        <v>0</v>
      </c>
      <c r="R14" s="382">
        <v>0</v>
      </c>
      <c r="S14" s="382">
        <v>0</v>
      </c>
      <c r="T14" s="382">
        <v>0</v>
      </c>
      <c r="U14" s="382">
        <v>0</v>
      </c>
      <c r="V14" s="382">
        <v>0</v>
      </c>
      <c r="W14" s="382">
        <v>0</v>
      </c>
      <c r="X14" s="382">
        <v>0</v>
      </c>
      <c r="Y14" s="382">
        <v>0</v>
      </c>
      <c r="Z14" s="382">
        <v>0</v>
      </c>
      <c r="AA14" s="382">
        <v>0</v>
      </c>
      <c r="AB14" s="382">
        <v>0</v>
      </c>
      <c r="AC14" s="382">
        <v>0</v>
      </c>
      <c r="AD14" s="382">
        <v>0</v>
      </c>
      <c r="AE14" s="382">
        <v>2</v>
      </c>
      <c r="AF14" s="382">
        <v>0</v>
      </c>
      <c r="AG14" s="382">
        <v>0</v>
      </c>
      <c r="AH14" s="382">
        <v>2</v>
      </c>
      <c r="AI14" s="382">
        <v>0</v>
      </c>
      <c r="AJ14" s="382">
        <v>0</v>
      </c>
      <c r="AK14" s="382">
        <v>0</v>
      </c>
      <c r="AL14" s="382">
        <v>0</v>
      </c>
      <c r="AM14" s="382">
        <v>1</v>
      </c>
      <c r="AN14" s="382">
        <v>0</v>
      </c>
    </row>
    <row r="15" spans="1:40" x14ac:dyDescent="0.3">
      <c r="A15" s="382" t="s">
        <v>254</v>
      </c>
      <c r="B15" s="407">
        <v>12</v>
      </c>
      <c r="C15" s="382">
        <v>59</v>
      </c>
      <c r="D15" s="382">
        <v>2</v>
      </c>
      <c r="E15" s="382">
        <v>2</v>
      </c>
      <c r="F15" s="382">
        <v>6796.88</v>
      </c>
      <c r="G15" s="382">
        <v>0</v>
      </c>
      <c r="H15" s="382">
        <v>1065</v>
      </c>
      <c r="I15" s="382">
        <v>0</v>
      </c>
      <c r="J15" s="382">
        <v>0</v>
      </c>
      <c r="K15" s="382">
        <v>4990.63</v>
      </c>
      <c r="L15" s="382">
        <v>0</v>
      </c>
      <c r="M15" s="382">
        <v>0</v>
      </c>
      <c r="N15" s="382">
        <v>0</v>
      </c>
      <c r="O15" s="382">
        <v>0</v>
      </c>
      <c r="P15" s="382">
        <v>0</v>
      </c>
      <c r="Q15" s="382">
        <v>0</v>
      </c>
      <c r="R15" s="382">
        <v>0</v>
      </c>
      <c r="S15" s="382">
        <v>0</v>
      </c>
      <c r="T15" s="382">
        <v>0</v>
      </c>
      <c r="U15" s="382">
        <v>0</v>
      </c>
      <c r="V15" s="382">
        <v>0</v>
      </c>
      <c r="W15" s="382">
        <v>0</v>
      </c>
      <c r="X15" s="382">
        <v>0</v>
      </c>
      <c r="Y15" s="382">
        <v>0</v>
      </c>
      <c r="Z15" s="382">
        <v>0</v>
      </c>
      <c r="AA15" s="382">
        <v>0</v>
      </c>
      <c r="AB15" s="382">
        <v>0</v>
      </c>
      <c r="AC15" s="382">
        <v>0</v>
      </c>
      <c r="AD15" s="382">
        <v>0</v>
      </c>
      <c r="AE15" s="382">
        <v>271.25</v>
      </c>
      <c r="AF15" s="382">
        <v>0</v>
      </c>
      <c r="AG15" s="382">
        <v>0</v>
      </c>
      <c r="AH15" s="382">
        <v>310</v>
      </c>
      <c r="AI15" s="382">
        <v>0</v>
      </c>
      <c r="AJ15" s="382">
        <v>0</v>
      </c>
      <c r="AK15" s="382">
        <v>0</v>
      </c>
      <c r="AL15" s="382">
        <v>0</v>
      </c>
      <c r="AM15" s="382">
        <v>160</v>
      </c>
      <c r="AN15" s="382">
        <v>0</v>
      </c>
    </row>
    <row r="16" spans="1:40" x14ac:dyDescent="0.3">
      <c r="A16" s="382" t="s">
        <v>242</v>
      </c>
      <c r="B16" s="407">
        <v>2014</v>
      </c>
      <c r="C16" s="382">
        <v>59</v>
      </c>
      <c r="D16" s="382">
        <v>2</v>
      </c>
      <c r="E16" s="382">
        <v>3</v>
      </c>
      <c r="F16" s="382">
        <v>217</v>
      </c>
      <c r="G16" s="382">
        <v>0</v>
      </c>
      <c r="H16" s="382">
        <v>6</v>
      </c>
      <c r="I16" s="382">
        <v>0</v>
      </c>
      <c r="J16" s="382">
        <v>0</v>
      </c>
      <c r="K16" s="382">
        <v>211</v>
      </c>
      <c r="L16" s="382">
        <v>0</v>
      </c>
      <c r="M16" s="382">
        <v>0</v>
      </c>
      <c r="N16" s="382">
        <v>0</v>
      </c>
      <c r="O16" s="382">
        <v>0</v>
      </c>
      <c r="P16" s="382">
        <v>0</v>
      </c>
      <c r="Q16" s="382">
        <v>0</v>
      </c>
      <c r="R16" s="382">
        <v>0</v>
      </c>
      <c r="S16" s="382">
        <v>0</v>
      </c>
      <c r="T16" s="382">
        <v>0</v>
      </c>
      <c r="U16" s="382">
        <v>0</v>
      </c>
      <c r="V16" s="382">
        <v>0</v>
      </c>
      <c r="W16" s="382">
        <v>0</v>
      </c>
      <c r="X16" s="382">
        <v>0</v>
      </c>
      <c r="Y16" s="382">
        <v>0</v>
      </c>
      <c r="Z16" s="382">
        <v>0</v>
      </c>
      <c r="AA16" s="382">
        <v>0</v>
      </c>
      <c r="AB16" s="382">
        <v>0</v>
      </c>
      <c r="AC16" s="382">
        <v>0</v>
      </c>
      <c r="AD16" s="382">
        <v>0</v>
      </c>
      <c r="AE16" s="382">
        <v>0</v>
      </c>
      <c r="AF16" s="382">
        <v>0</v>
      </c>
      <c r="AG16" s="382">
        <v>0</v>
      </c>
      <c r="AH16" s="382">
        <v>0</v>
      </c>
      <c r="AI16" s="382">
        <v>0</v>
      </c>
      <c r="AJ16" s="382">
        <v>0</v>
      </c>
      <c r="AK16" s="382">
        <v>0</v>
      </c>
      <c r="AL16" s="382">
        <v>0</v>
      </c>
      <c r="AM16" s="382">
        <v>0</v>
      </c>
      <c r="AN16" s="382">
        <v>0</v>
      </c>
    </row>
    <row r="17" spans="3:40" x14ac:dyDescent="0.3">
      <c r="C17" s="382">
        <v>59</v>
      </c>
      <c r="D17" s="382">
        <v>2</v>
      </c>
      <c r="E17" s="382">
        <v>4</v>
      </c>
      <c r="F17" s="382">
        <v>651</v>
      </c>
      <c r="G17" s="382">
        <v>0</v>
      </c>
      <c r="H17" s="382">
        <v>127</v>
      </c>
      <c r="I17" s="382">
        <v>0</v>
      </c>
      <c r="J17" s="382">
        <v>0</v>
      </c>
      <c r="K17" s="382">
        <v>499</v>
      </c>
      <c r="L17" s="382">
        <v>0</v>
      </c>
      <c r="M17" s="382">
        <v>0</v>
      </c>
      <c r="N17" s="382">
        <v>0</v>
      </c>
      <c r="O17" s="382">
        <v>0</v>
      </c>
      <c r="P17" s="382">
        <v>0</v>
      </c>
      <c r="Q17" s="382">
        <v>0</v>
      </c>
      <c r="R17" s="382">
        <v>0</v>
      </c>
      <c r="S17" s="382">
        <v>0</v>
      </c>
      <c r="T17" s="382">
        <v>0</v>
      </c>
      <c r="U17" s="382">
        <v>0</v>
      </c>
      <c r="V17" s="382">
        <v>0</v>
      </c>
      <c r="W17" s="382">
        <v>0</v>
      </c>
      <c r="X17" s="382">
        <v>0</v>
      </c>
      <c r="Y17" s="382">
        <v>0</v>
      </c>
      <c r="Z17" s="382">
        <v>0</v>
      </c>
      <c r="AA17" s="382">
        <v>0</v>
      </c>
      <c r="AB17" s="382">
        <v>0</v>
      </c>
      <c r="AC17" s="382">
        <v>0</v>
      </c>
      <c r="AD17" s="382">
        <v>0</v>
      </c>
      <c r="AE17" s="382">
        <v>10</v>
      </c>
      <c r="AF17" s="382">
        <v>0</v>
      </c>
      <c r="AG17" s="382">
        <v>0</v>
      </c>
      <c r="AH17" s="382">
        <v>15</v>
      </c>
      <c r="AI17" s="382">
        <v>0</v>
      </c>
      <c r="AJ17" s="382">
        <v>0</v>
      </c>
      <c r="AK17" s="382">
        <v>0</v>
      </c>
      <c r="AL17" s="382">
        <v>0</v>
      </c>
      <c r="AM17" s="382">
        <v>0</v>
      </c>
      <c r="AN17" s="382">
        <v>0</v>
      </c>
    </row>
    <row r="18" spans="3:40" x14ac:dyDescent="0.3">
      <c r="C18" s="382">
        <v>59</v>
      </c>
      <c r="D18" s="382">
        <v>2</v>
      </c>
      <c r="E18" s="382">
        <v>5</v>
      </c>
      <c r="F18" s="382">
        <v>24</v>
      </c>
      <c r="G18" s="382">
        <v>24</v>
      </c>
      <c r="H18" s="382">
        <v>0</v>
      </c>
      <c r="I18" s="382">
        <v>0</v>
      </c>
      <c r="J18" s="382">
        <v>0</v>
      </c>
      <c r="K18" s="382">
        <v>0</v>
      </c>
      <c r="L18" s="382">
        <v>0</v>
      </c>
      <c r="M18" s="382">
        <v>0</v>
      </c>
      <c r="N18" s="382">
        <v>0</v>
      </c>
      <c r="O18" s="382">
        <v>0</v>
      </c>
      <c r="P18" s="382">
        <v>0</v>
      </c>
      <c r="Q18" s="382">
        <v>0</v>
      </c>
      <c r="R18" s="382">
        <v>0</v>
      </c>
      <c r="S18" s="382">
        <v>0</v>
      </c>
      <c r="T18" s="382">
        <v>0</v>
      </c>
      <c r="U18" s="382">
        <v>0</v>
      </c>
      <c r="V18" s="382">
        <v>0</v>
      </c>
      <c r="W18" s="382">
        <v>0</v>
      </c>
      <c r="X18" s="382">
        <v>0</v>
      </c>
      <c r="Y18" s="382">
        <v>0</v>
      </c>
      <c r="Z18" s="382">
        <v>0</v>
      </c>
      <c r="AA18" s="382">
        <v>0</v>
      </c>
      <c r="AB18" s="382">
        <v>0</v>
      </c>
      <c r="AC18" s="382">
        <v>0</v>
      </c>
      <c r="AD18" s="382">
        <v>0</v>
      </c>
      <c r="AE18" s="382">
        <v>0</v>
      </c>
      <c r="AF18" s="382">
        <v>0</v>
      </c>
      <c r="AG18" s="382">
        <v>0</v>
      </c>
      <c r="AH18" s="382">
        <v>0</v>
      </c>
      <c r="AI18" s="382">
        <v>0</v>
      </c>
      <c r="AJ18" s="382">
        <v>0</v>
      </c>
      <c r="AK18" s="382">
        <v>0</v>
      </c>
      <c r="AL18" s="382">
        <v>0</v>
      </c>
      <c r="AM18" s="382">
        <v>0</v>
      </c>
      <c r="AN18" s="382">
        <v>0</v>
      </c>
    </row>
    <row r="19" spans="3:40" x14ac:dyDescent="0.3">
      <c r="C19" s="382">
        <v>59</v>
      </c>
      <c r="D19" s="382">
        <v>2</v>
      </c>
      <c r="E19" s="382">
        <v>6</v>
      </c>
      <c r="F19" s="382">
        <v>1920455</v>
      </c>
      <c r="G19" s="382">
        <v>8900</v>
      </c>
      <c r="H19" s="382">
        <v>539521</v>
      </c>
      <c r="I19" s="382">
        <v>0</v>
      </c>
      <c r="J19" s="382">
        <v>0</v>
      </c>
      <c r="K19" s="382">
        <v>1268577</v>
      </c>
      <c r="L19" s="382">
        <v>0</v>
      </c>
      <c r="M19" s="382">
        <v>0</v>
      </c>
      <c r="N19" s="382">
        <v>0</v>
      </c>
      <c r="O19" s="382">
        <v>0</v>
      </c>
      <c r="P19" s="382">
        <v>0</v>
      </c>
      <c r="Q19" s="382">
        <v>0</v>
      </c>
      <c r="R19" s="382">
        <v>0</v>
      </c>
      <c r="S19" s="382">
        <v>0</v>
      </c>
      <c r="T19" s="382">
        <v>0</v>
      </c>
      <c r="U19" s="382">
        <v>0</v>
      </c>
      <c r="V19" s="382">
        <v>0</v>
      </c>
      <c r="W19" s="382">
        <v>0</v>
      </c>
      <c r="X19" s="382">
        <v>0</v>
      </c>
      <c r="Y19" s="382">
        <v>0</v>
      </c>
      <c r="Z19" s="382">
        <v>0</v>
      </c>
      <c r="AA19" s="382">
        <v>0</v>
      </c>
      <c r="AB19" s="382">
        <v>0</v>
      </c>
      <c r="AC19" s="382">
        <v>0</v>
      </c>
      <c r="AD19" s="382">
        <v>0</v>
      </c>
      <c r="AE19" s="382">
        <v>42187</v>
      </c>
      <c r="AF19" s="382">
        <v>0</v>
      </c>
      <c r="AG19" s="382">
        <v>0</v>
      </c>
      <c r="AH19" s="382">
        <v>38870</v>
      </c>
      <c r="AI19" s="382">
        <v>0</v>
      </c>
      <c r="AJ19" s="382">
        <v>0</v>
      </c>
      <c r="AK19" s="382">
        <v>0</v>
      </c>
      <c r="AL19" s="382">
        <v>0</v>
      </c>
      <c r="AM19" s="382">
        <v>22400</v>
      </c>
      <c r="AN19" s="382">
        <v>0</v>
      </c>
    </row>
    <row r="20" spans="3:40" x14ac:dyDescent="0.3">
      <c r="C20" s="382">
        <v>59</v>
      </c>
      <c r="D20" s="382">
        <v>2</v>
      </c>
      <c r="E20" s="382">
        <v>10</v>
      </c>
      <c r="F20" s="382">
        <v>2800</v>
      </c>
      <c r="G20" s="382">
        <v>0</v>
      </c>
      <c r="H20" s="382">
        <v>2800</v>
      </c>
      <c r="I20" s="382">
        <v>0</v>
      </c>
      <c r="J20" s="382">
        <v>0</v>
      </c>
      <c r="K20" s="382">
        <v>0</v>
      </c>
      <c r="L20" s="382">
        <v>0</v>
      </c>
      <c r="M20" s="382">
        <v>0</v>
      </c>
      <c r="N20" s="382">
        <v>0</v>
      </c>
      <c r="O20" s="382">
        <v>0</v>
      </c>
      <c r="P20" s="382">
        <v>0</v>
      </c>
      <c r="Q20" s="382">
        <v>0</v>
      </c>
      <c r="R20" s="382">
        <v>0</v>
      </c>
      <c r="S20" s="382">
        <v>0</v>
      </c>
      <c r="T20" s="382">
        <v>0</v>
      </c>
      <c r="U20" s="382">
        <v>0</v>
      </c>
      <c r="V20" s="382">
        <v>0</v>
      </c>
      <c r="W20" s="382">
        <v>0</v>
      </c>
      <c r="X20" s="382">
        <v>0</v>
      </c>
      <c r="Y20" s="382">
        <v>0</v>
      </c>
      <c r="Z20" s="382">
        <v>0</v>
      </c>
      <c r="AA20" s="382">
        <v>0</v>
      </c>
      <c r="AB20" s="382">
        <v>0</v>
      </c>
      <c r="AC20" s="382">
        <v>0</v>
      </c>
      <c r="AD20" s="382">
        <v>0</v>
      </c>
      <c r="AE20" s="382">
        <v>0</v>
      </c>
      <c r="AF20" s="382">
        <v>0</v>
      </c>
      <c r="AG20" s="382">
        <v>0</v>
      </c>
      <c r="AH20" s="382">
        <v>0</v>
      </c>
      <c r="AI20" s="382">
        <v>0</v>
      </c>
      <c r="AJ20" s="382">
        <v>0</v>
      </c>
      <c r="AK20" s="382">
        <v>0</v>
      </c>
      <c r="AL20" s="382">
        <v>0</v>
      </c>
      <c r="AM20" s="382">
        <v>0</v>
      </c>
      <c r="AN20" s="382">
        <v>0</v>
      </c>
    </row>
    <row r="21" spans="3:40" x14ac:dyDescent="0.3">
      <c r="C21" s="382">
        <v>59</v>
      </c>
      <c r="D21" s="382">
        <v>2</v>
      </c>
      <c r="E21" s="382">
        <v>11</v>
      </c>
      <c r="F21" s="382">
        <v>3488.916666666667</v>
      </c>
      <c r="G21" s="382">
        <v>0</v>
      </c>
      <c r="H21" s="382">
        <v>2655.5833333333335</v>
      </c>
      <c r="I21" s="382">
        <v>0</v>
      </c>
      <c r="J21" s="382">
        <v>0</v>
      </c>
      <c r="K21" s="382">
        <v>833.33333333333337</v>
      </c>
      <c r="L21" s="382">
        <v>0</v>
      </c>
      <c r="M21" s="382">
        <v>0</v>
      </c>
      <c r="N21" s="382">
        <v>0</v>
      </c>
      <c r="O21" s="382">
        <v>0</v>
      </c>
      <c r="P21" s="382">
        <v>0</v>
      </c>
      <c r="Q21" s="382">
        <v>0</v>
      </c>
      <c r="R21" s="382">
        <v>0</v>
      </c>
      <c r="S21" s="382">
        <v>0</v>
      </c>
      <c r="T21" s="382">
        <v>0</v>
      </c>
      <c r="U21" s="382">
        <v>0</v>
      </c>
      <c r="V21" s="382">
        <v>0</v>
      </c>
      <c r="W21" s="382">
        <v>0</v>
      </c>
      <c r="X21" s="382">
        <v>0</v>
      </c>
      <c r="Y21" s="382">
        <v>0</v>
      </c>
      <c r="Z21" s="382">
        <v>0</v>
      </c>
      <c r="AA21" s="382">
        <v>0</v>
      </c>
      <c r="AB21" s="382">
        <v>0</v>
      </c>
      <c r="AC21" s="382">
        <v>0</v>
      </c>
      <c r="AD21" s="382">
        <v>0</v>
      </c>
      <c r="AE21" s="382">
        <v>0</v>
      </c>
      <c r="AF21" s="382">
        <v>0</v>
      </c>
      <c r="AG21" s="382">
        <v>0</v>
      </c>
      <c r="AH21" s="382">
        <v>0</v>
      </c>
      <c r="AI21" s="382">
        <v>0</v>
      </c>
      <c r="AJ21" s="382">
        <v>0</v>
      </c>
      <c r="AK21" s="382">
        <v>0</v>
      </c>
      <c r="AL21" s="382">
        <v>0</v>
      </c>
      <c r="AM21" s="382">
        <v>0</v>
      </c>
      <c r="AN21" s="382">
        <v>0</v>
      </c>
    </row>
    <row r="22" spans="3:40" x14ac:dyDescent="0.3">
      <c r="C22" s="382">
        <v>59</v>
      </c>
      <c r="D22" s="382">
        <v>3</v>
      </c>
      <c r="E22" s="382">
        <v>1</v>
      </c>
      <c r="F22" s="382">
        <v>56.6</v>
      </c>
      <c r="G22" s="382">
        <v>0</v>
      </c>
      <c r="H22" s="382">
        <v>7.6</v>
      </c>
      <c r="I22" s="382">
        <v>0</v>
      </c>
      <c r="J22" s="382">
        <v>0</v>
      </c>
      <c r="K22" s="382">
        <v>44</v>
      </c>
      <c r="L22" s="382">
        <v>0</v>
      </c>
      <c r="M22" s="382">
        <v>0</v>
      </c>
      <c r="N22" s="382">
        <v>0</v>
      </c>
      <c r="O22" s="382">
        <v>0</v>
      </c>
      <c r="P22" s="382">
        <v>0</v>
      </c>
      <c r="Q22" s="382">
        <v>0</v>
      </c>
      <c r="R22" s="382">
        <v>0</v>
      </c>
      <c r="S22" s="382">
        <v>0</v>
      </c>
      <c r="T22" s="382">
        <v>0</v>
      </c>
      <c r="U22" s="382">
        <v>0</v>
      </c>
      <c r="V22" s="382">
        <v>0</v>
      </c>
      <c r="W22" s="382">
        <v>0</v>
      </c>
      <c r="X22" s="382">
        <v>0</v>
      </c>
      <c r="Y22" s="382">
        <v>0</v>
      </c>
      <c r="Z22" s="382">
        <v>0</v>
      </c>
      <c r="AA22" s="382">
        <v>0</v>
      </c>
      <c r="AB22" s="382">
        <v>0</v>
      </c>
      <c r="AC22" s="382">
        <v>0</v>
      </c>
      <c r="AD22" s="382">
        <v>0</v>
      </c>
      <c r="AE22" s="382">
        <v>2</v>
      </c>
      <c r="AF22" s="382">
        <v>0</v>
      </c>
      <c r="AG22" s="382">
        <v>0</v>
      </c>
      <c r="AH22" s="382">
        <v>2</v>
      </c>
      <c r="AI22" s="382">
        <v>0</v>
      </c>
      <c r="AJ22" s="382">
        <v>0</v>
      </c>
      <c r="AK22" s="382">
        <v>0</v>
      </c>
      <c r="AL22" s="382">
        <v>0</v>
      </c>
      <c r="AM22" s="382">
        <v>1</v>
      </c>
      <c r="AN22" s="382">
        <v>0</v>
      </c>
    </row>
    <row r="23" spans="3:40" x14ac:dyDescent="0.3">
      <c r="C23" s="382">
        <v>59</v>
      </c>
      <c r="D23" s="382">
        <v>3</v>
      </c>
      <c r="E23" s="382">
        <v>2</v>
      </c>
      <c r="F23" s="382">
        <v>7268.53</v>
      </c>
      <c r="G23" s="382">
        <v>0</v>
      </c>
      <c r="H23" s="382">
        <v>1266.4000000000001</v>
      </c>
      <c r="I23" s="382">
        <v>0</v>
      </c>
      <c r="J23" s="382">
        <v>0</v>
      </c>
      <c r="K23" s="382">
        <v>5291.63</v>
      </c>
      <c r="L23" s="382">
        <v>0</v>
      </c>
      <c r="M23" s="382">
        <v>0</v>
      </c>
      <c r="N23" s="382">
        <v>0</v>
      </c>
      <c r="O23" s="382">
        <v>0</v>
      </c>
      <c r="P23" s="382">
        <v>0</v>
      </c>
      <c r="Q23" s="382">
        <v>0</v>
      </c>
      <c r="R23" s="382">
        <v>0</v>
      </c>
      <c r="S23" s="382">
        <v>0</v>
      </c>
      <c r="T23" s="382">
        <v>0</v>
      </c>
      <c r="U23" s="382">
        <v>0</v>
      </c>
      <c r="V23" s="382">
        <v>0</v>
      </c>
      <c r="W23" s="382">
        <v>0</v>
      </c>
      <c r="X23" s="382">
        <v>0</v>
      </c>
      <c r="Y23" s="382">
        <v>0</v>
      </c>
      <c r="Z23" s="382">
        <v>0</v>
      </c>
      <c r="AA23" s="382">
        <v>0</v>
      </c>
      <c r="AB23" s="382">
        <v>0</v>
      </c>
      <c r="AC23" s="382">
        <v>0</v>
      </c>
      <c r="AD23" s="382">
        <v>0</v>
      </c>
      <c r="AE23" s="382">
        <v>255.75</v>
      </c>
      <c r="AF23" s="382">
        <v>0</v>
      </c>
      <c r="AG23" s="382">
        <v>0</v>
      </c>
      <c r="AH23" s="382">
        <v>286.75</v>
      </c>
      <c r="AI23" s="382">
        <v>0</v>
      </c>
      <c r="AJ23" s="382">
        <v>0</v>
      </c>
      <c r="AK23" s="382">
        <v>0</v>
      </c>
      <c r="AL23" s="382">
        <v>0</v>
      </c>
      <c r="AM23" s="382">
        <v>168</v>
      </c>
      <c r="AN23" s="382">
        <v>0</v>
      </c>
    </row>
    <row r="24" spans="3:40" x14ac:dyDescent="0.3">
      <c r="C24" s="382">
        <v>59</v>
      </c>
      <c r="D24" s="382">
        <v>3</v>
      </c>
      <c r="E24" s="382">
        <v>3</v>
      </c>
      <c r="F24" s="382">
        <v>62</v>
      </c>
      <c r="G24" s="382">
        <v>0</v>
      </c>
      <c r="H24" s="382">
        <v>5</v>
      </c>
      <c r="I24" s="382">
        <v>0</v>
      </c>
      <c r="J24" s="382">
        <v>0</v>
      </c>
      <c r="K24" s="382">
        <v>57</v>
      </c>
      <c r="L24" s="382">
        <v>0</v>
      </c>
      <c r="M24" s="382">
        <v>0</v>
      </c>
      <c r="N24" s="382">
        <v>0</v>
      </c>
      <c r="O24" s="382">
        <v>0</v>
      </c>
      <c r="P24" s="382">
        <v>0</v>
      </c>
      <c r="Q24" s="382">
        <v>0</v>
      </c>
      <c r="R24" s="382">
        <v>0</v>
      </c>
      <c r="S24" s="382">
        <v>0</v>
      </c>
      <c r="T24" s="382">
        <v>0</v>
      </c>
      <c r="U24" s="382">
        <v>0</v>
      </c>
      <c r="V24" s="382">
        <v>0</v>
      </c>
      <c r="W24" s="382">
        <v>0</v>
      </c>
      <c r="X24" s="382">
        <v>0</v>
      </c>
      <c r="Y24" s="382">
        <v>0</v>
      </c>
      <c r="Z24" s="382">
        <v>0</v>
      </c>
      <c r="AA24" s="382">
        <v>0</v>
      </c>
      <c r="AB24" s="382">
        <v>0</v>
      </c>
      <c r="AC24" s="382">
        <v>0</v>
      </c>
      <c r="AD24" s="382">
        <v>0</v>
      </c>
      <c r="AE24" s="382">
        <v>0</v>
      </c>
      <c r="AF24" s="382">
        <v>0</v>
      </c>
      <c r="AG24" s="382">
        <v>0</v>
      </c>
      <c r="AH24" s="382">
        <v>0</v>
      </c>
      <c r="AI24" s="382">
        <v>0</v>
      </c>
      <c r="AJ24" s="382">
        <v>0</v>
      </c>
      <c r="AK24" s="382">
        <v>0</v>
      </c>
      <c r="AL24" s="382">
        <v>0</v>
      </c>
      <c r="AM24" s="382">
        <v>0</v>
      </c>
      <c r="AN24" s="382">
        <v>0</v>
      </c>
    </row>
    <row r="25" spans="3:40" x14ac:dyDescent="0.3">
      <c r="C25" s="382">
        <v>59</v>
      </c>
      <c r="D25" s="382">
        <v>3</v>
      </c>
      <c r="E25" s="382">
        <v>4</v>
      </c>
      <c r="F25" s="382">
        <v>743</v>
      </c>
      <c r="G25" s="382">
        <v>0</v>
      </c>
      <c r="H25" s="382">
        <v>91</v>
      </c>
      <c r="I25" s="382">
        <v>0</v>
      </c>
      <c r="J25" s="382">
        <v>0</v>
      </c>
      <c r="K25" s="382">
        <v>602</v>
      </c>
      <c r="L25" s="382">
        <v>0</v>
      </c>
      <c r="M25" s="382">
        <v>0</v>
      </c>
      <c r="N25" s="382">
        <v>0</v>
      </c>
      <c r="O25" s="382">
        <v>0</v>
      </c>
      <c r="P25" s="382">
        <v>0</v>
      </c>
      <c r="Q25" s="382">
        <v>0</v>
      </c>
      <c r="R25" s="382">
        <v>0</v>
      </c>
      <c r="S25" s="382">
        <v>0</v>
      </c>
      <c r="T25" s="382">
        <v>0</v>
      </c>
      <c r="U25" s="382">
        <v>0</v>
      </c>
      <c r="V25" s="382">
        <v>0</v>
      </c>
      <c r="W25" s="382">
        <v>0</v>
      </c>
      <c r="X25" s="382">
        <v>0</v>
      </c>
      <c r="Y25" s="382">
        <v>0</v>
      </c>
      <c r="Z25" s="382">
        <v>0</v>
      </c>
      <c r="AA25" s="382">
        <v>0</v>
      </c>
      <c r="AB25" s="382">
        <v>0</v>
      </c>
      <c r="AC25" s="382">
        <v>0</v>
      </c>
      <c r="AD25" s="382">
        <v>0</v>
      </c>
      <c r="AE25" s="382">
        <v>30</v>
      </c>
      <c r="AF25" s="382">
        <v>0</v>
      </c>
      <c r="AG25" s="382">
        <v>0</v>
      </c>
      <c r="AH25" s="382">
        <v>20</v>
      </c>
      <c r="AI25" s="382">
        <v>0</v>
      </c>
      <c r="AJ25" s="382">
        <v>0</v>
      </c>
      <c r="AK25" s="382">
        <v>0</v>
      </c>
      <c r="AL25" s="382">
        <v>0</v>
      </c>
      <c r="AM25" s="382">
        <v>0</v>
      </c>
      <c r="AN25" s="382">
        <v>0</v>
      </c>
    </row>
    <row r="26" spans="3:40" x14ac:dyDescent="0.3">
      <c r="C26" s="382">
        <v>59</v>
      </c>
      <c r="D26" s="382">
        <v>3</v>
      </c>
      <c r="E26" s="382">
        <v>5</v>
      </c>
      <c r="F26" s="382">
        <v>24</v>
      </c>
      <c r="G26" s="382">
        <v>24</v>
      </c>
      <c r="H26" s="382">
        <v>0</v>
      </c>
      <c r="I26" s="382">
        <v>0</v>
      </c>
      <c r="J26" s="382">
        <v>0</v>
      </c>
      <c r="K26" s="382">
        <v>0</v>
      </c>
      <c r="L26" s="382">
        <v>0</v>
      </c>
      <c r="M26" s="382">
        <v>0</v>
      </c>
      <c r="N26" s="382">
        <v>0</v>
      </c>
      <c r="O26" s="382">
        <v>0</v>
      </c>
      <c r="P26" s="382">
        <v>0</v>
      </c>
      <c r="Q26" s="382">
        <v>0</v>
      </c>
      <c r="R26" s="382">
        <v>0</v>
      </c>
      <c r="S26" s="382">
        <v>0</v>
      </c>
      <c r="T26" s="382">
        <v>0</v>
      </c>
      <c r="U26" s="382">
        <v>0</v>
      </c>
      <c r="V26" s="382">
        <v>0</v>
      </c>
      <c r="W26" s="382">
        <v>0</v>
      </c>
      <c r="X26" s="382">
        <v>0</v>
      </c>
      <c r="Y26" s="382">
        <v>0</v>
      </c>
      <c r="Z26" s="382">
        <v>0</v>
      </c>
      <c r="AA26" s="382">
        <v>0</v>
      </c>
      <c r="AB26" s="382">
        <v>0</v>
      </c>
      <c r="AC26" s="382">
        <v>0</v>
      </c>
      <c r="AD26" s="382">
        <v>0</v>
      </c>
      <c r="AE26" s="382">
        <v>0</v>
      </c>
      <c r="AF26" s="382">
        <v>0</v>
      </c>
      <c r="AG26" s="382">
        <v>0</v>
      </c>
      <c r="AH26" s="382">
        <v>0</v>
      </c>
      <c r="AI26" s="382">
        <v>0</v>
      </c>
      <c r="AJ26" s="382">
        <v>0</v>
      </c>
      <c r="AK26" s="382">
        <v>0</v>
      </c>
      <c r="AL26" s="382">
        <v>0</v>
      </c>
      <c r="AM26" s="382">
        <v>0</v>
      </c>
      <c r="AN26" s="382">
        <v>0</v>
      </c>
    </row>
    <row r="27" spans="3:40" x14ac:dyDescent="0.3">
      <c r="C27" s="382">
        <v>59</v>
      </c>
      <c r="D27" s="382">
        <v>3</v>
      </c>
      <c r="E27" s="382">
        <v>6</v>
      </c>
      <c r="F27" s="382">
        <v>1942672</v>
      </c>
      <c r="G27" s="382">
        <v>8400</v>
      </c>
      <c r="H27" s="382">
        <v>512547</v>
      </c>
      <c r="I27" s="382">
        <v>0</v>
      </c>
      <c r="J27" s="382">
        <v>0</v>
      </c>
      <c r="K27" s="382">
        <v>1311554</v>
      </c>
      <c r="L27" s="382">
        <v>0</v>
      </c>
      <c r="M27" s="382">
        <v>0</v>
      </c>
      <c r="N27" s="382">
        <v>0</v>
      </c>
      <c r="O27" s="382">
        <v>0</v>
      </c>
      <c r="P27" s="382">
        <v>0</v>
      </c>
      <c r="Q27" s="382">
        <v>0</v>
      </c>
      <c r="R27" s="382">
        <v>0</v>
      </c>
      <c r="S27" s="382">
        <v>0</v>
      </c>
      <c r="T27" s="382">
        <v>0</v>
      </c>
      <c r="U27" s="382">
        <v>0</v>
      </c>
      <c r="V27" s="382">
        <v>0</v>
      </c>
      <c r="W27" s="382">
        <v>0</v>
      </c>
      <c r="X27" s="382">
        <v>0</v>
      </c>
      <c r="Y27" s="382">
        <v>0</v>
      </c>
      <c r="Z27" s="382">
        <v>0</v>
      </c>
      <c r="AA27" s="382">
        <v>0</v>
      </c>
      <c r="AB27" s="382">
        <v>0</v>
      </c>
      <c r="AC27" s="382">
        <v>0</v>
      </c>
      <c r="AD27" s="382">
        <v>0</v>
      </c>
      <c r="AE27" s="382">
        <v>47296</v>
      </c>
      <c r="AF27" s="382">
        <v>0</v>
      </c>
      <c r="AG27" s="382">
        <v>0</v>
      </c>
      <c r="AH27" s="382">
        <v>40475</v>
      </c>
      <c r="AI27" s="382">
        <v>0</v>
      </c>
      <c r="AJ27" s="382">
        <v>0</v>
      </c>
      <c r="AK27" s="382">
        <v>0</v>
      </c>
      <c r="AL27" s="382">
        <v>0</v>
      </c>
      <c r="AM27" s="382">
        <v>22400</v>
      </c>
      <c r="AN27" s="382">
        <v>0</v>
      </c>
    </row>
    <row r="28" spans="3:40" x14ac:dyDescent="0.3">
      <c r="C28" s="382">
        <v>59</v>
      </c>
      <c r="D28" s="382">
        <v>3</v>
      </c>
      <c r="E28" s="382">
        <v>9</v>
      </c>
      <c r="F28" s="382">
        <v>10112</v>
      </c>
      <c r="G28" s="382">
        <v>0</v>
      </c>
      <c r="H28" s="382">
        <v>0</v>
      </c>
      <c r="I28" s="382">
        <v>0</v>
      </c>
      <c r="J28" s="382">
        <v>0</v>
      </c>
      <c r="K28" s="382">
        <v>10112</v>
      </c>
      <c r="L28" s="382">
        <v>0</v>
      </c>
      <c r="M28" s="382">
        <v>0</v>
      </c>
      <c r="N28" s="382">
        <v>0</v>
      </c>
      <c r="O28" s="382">
        <v>0</v>
      </c>
      <c r="P28" s="382">
        <v>0</v>
      </c>
      <c r="Q28" s="382">
        <v>0</v>
      </c>
      <c r="R28" s="382">
        <v>0</v>
      </c>
      <c r="S28" s="382">
        <v>0</v>
      </c>
      <c r="T28" s="382">
        <v>0</v>
      </c>
      <c r="U28" s="382">
        <v>0</v>
      </c>
      <c r="V28" s="382">
        <v>0</v>
      </c>
      <c r="W28" s="382">
        <v>0</v>
      </c>
      <c r="X28" s="382">
        <v>0</v>
      </c>
      <c r="Y28" s="382">
        <v>0</v>
      </c>
      <c r="Z28" s="382">
        <v>0</v>
      </c>
      <c r="AA28" s="382">
        <v>0</v>
      </c>
      <c r="AB28" s="382">
        <v>0</v>
      </c>
      <c r="AC28" s="382">
        <v>0</v>
      </c>
      <c r="AD28" s="382">
        <v>0</v>
      </c>
      <c r="AE28" s="382">
        <v>0</v>
      </c>
      <c r="AF28" s="382">
        <v>0</v>
      </c>
      <c r="AG28" s="382">
        <v>0</v>
      </c>
      <c r="AH28" s="382">
        <v>0</v>
      </c>
      <c r="AI28" s="382">
        <v>0</v>
      </c>
      <c r="AJ28" s="382">
        <v>0</v>
      </c>
      <c r="AK28" s="382">
        <v>0</v>
      </c>
      <c r="AL28" s="382">
        <v>0</v>
      </c>
      <c r="AM28" s="382">
        <v>0</v>
      </c>
      <c r="AN28" s="382">
        <v>0</v>
      </c>
    </row>
    <row r="29" spans="3:40" x14ac:dyDescent="0.3">
      <c r="C29" s="382">
        <v>59</v>
      </c>
      <c r="D29" s="382">
        <v>3</v>
      </c>
      <c r="E29" s="382">
        <v>11</v>
      </c>
      <c r="F29" s="382">
        <v>3488.916666666667</v>
      </c>
      <c r="G29" s="382">
        <v>0</v>
      </c>
      <c r="H29" s="382">
        <v>2655.5833333333335</v>
      </c>
      <c r="I29" s="382">
        <v>0</v>
      </c>
      <c r="J29" s="382">
        <v>0</v>
      </c>
      <c r="K29" s="382">
        <v>833.33333333333337</v>
      </c>
      <c r="L29" s="382">
        <v>0</v>
      </c>
      <c r="M29" s="382">
        <v>0</v>
      </c>
      <c r="N29" s="382">
        <v>0</v>
      </c>
      <c r="O29" s="382">
        <v>0</v>
      </c>
      <c r="P29" s="382">
        <v>0</v>
      </c>
      <c r="Q29" s="382">
        <v>0</v>
      </c>
      <c r="R29" s="382">
        <v>0</v>
      </c>
      <c r="S29" s="382">
        <v>0</v>
      </c>
      <c r="T29" s="382">
        <v>0</v>
      </c>
      <c r="U29" s="382">
        <v>0</v>
      </c>
      <c r="V29" s="382">
        <v>0</v>
      </c>
      <c r="W29" s="382">
        <v>0</v>
      </c>
      <c r="X29" s="382">
        <v>0</v>
      </c>
      <c r="Y29" s="382">
        <v>0</v>
      </c>
      <c r="Z29" s="382">
        <v>0</v>
      </c>
      <c r="AA29" s="382">
        <v>0</v>
      </c>
      <c r="AB29" s="382">
        <v>0</v>
      </c>
      <c r="AC29" s="382">
        <v>0</v>
      </c>
      <c r="AD29" s="382">
        <v>0</v>
      </c>
      <c r="AE29" s="382">
        <v>0</v>
      </c>
      <c r="AF29" s="382">
        <v>0</v>
      </c>
      <c r="AG29" s="382">
        <v>0</v>
      </c>
      <c r="AH29" s="382">
        <v>0</v>
      </c>
      <c r="AI29" s="382">
        <v>0</v>
      </c>
      <c r="AJ29" s="382">
        <v>0</v>
      </c>
      <c r="AK29" s="382">
        <v>0</v>
      </c>
      <c r="AL29" s="382">
        <v>0</v>
      </c>
      <c r="AM29" s="382">
        <v>0</v>
      </c>
      <c r="AN29" s="382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80" bestFit="1" customWidth="1"/>
    <col min="2" max="2" width="11.6640625" style="280" hidden="1" customWidth="1"/>
    <col min="3" max="4" width="11" style="282" customWidth="1"/>
    <col min="5" max="5" width="11" style="283" customWidth="1"/>
    <col min="6" max="16384" width="8.88671875" style="280"/>
  </cols>
  <sheetData>
    <row r="1" spans="1:5" ht="18.600000000000001" thickBot="1" x14ac:dyDescent="0.4">
      <c r="A1" s="458" t="s">
        <v>152</v>
      </c>
      <c r="B1" s="458"/>
      <c r="C1" s="459"/>
      <c r="D1" s="459"/>
      <c r="E1" s="459"/>
    </row>
    <row r="2" spans="1:5" ht="14.4" customHeight="1" thickBot="1" x14ac:dyDescent="0.35">
      <c r="A2" s="386" t="s">
        <v>321</v>
      </c>
      <c r="B2" s="281"/>
    </row>
    <row r="3" spans="1:5" ht="14.4" customHeight="1" thickBot="1" x14ac:dyDescent="0.35">
      <c r="A3" s="284"/>
      <c r="C3" s="285" t="s">
        <v>132</v>
      </c>
      <c r="D3" s="286" t="s">
        <v>94</v>
      </c>
      <c r="E3" s="287" t="s">
        <v>96</v>
      </c>
    </row>
    <row r="4" spans="1:5" ht="14.4" customHeight="1" thickBot="1" x14ac:dyDescent="0.35">
      <c r="A4" s="288" t="str">
        <f>HYPERLINK("#HI!A1","NÁKLADY CELKEM (v tisících Kč)")</f>
        <v>NÁKLADY CELKEM (v tisících Kč)</v>
      </c>
      <c r="B4" s="289"/>
      <c r="C4" s="290">
        <f ca="1">IF(ISERROR(VLOOKUP("Náklady celkem",INDIRECT("HI!$A:$G"),6,0)),0,VLOOKUP("Náklady celkem",INDIRECT("HI!$A:$G"),6,0))</f>
        <v>12096.25</v>
      </c>
      <c r="D4" s="290">
        <f ca="1">IF(ISERROR(VLOOKUP("Náklady celkem",INDIRECT("HI!$A:$G"),5,0)),0,VLOOKUP("Náklady celkem",INDIRECT("HI!$A:$G"),5,0))</f>
        <v>12057.061310000019</v>
      </c>
      <c r="E4" s="291">
        <f ca="1">IF(C4=0,0,D4/C4)</f>
        <v>0.99676026123798855</v>
      </c>
    </row>
    <row r="5" spans="1:5" ht="14.4" customHeight="1" x14ac:dyDescent="0.3">
      <c r="A5" s="292" t="s">
        <v>195</v>
      </c>
      <c r="B5" s="293"/>
      <c r="C5" s="294"/>
      <c r="D5" s="294"/>
      <c r="E5" s="295"/>
    </row>
    <row r="6" spans="1:5" ht="14.4" customHeight="1" x14ac:dyDescent="0.3">
      <c r="A6" s="296" t="s">
        <v>200</v>
      </c>
      <c r="B6" s="297"/>
      <c r="C6" s="298"/>
      <c r="D6" s="298"/>
      <c r="E6" s="295"/>
    </row>
    <row r="7" spans="1:5" ht="14.4" customHeight="1" x14ac:dyDescent="0.3">
      <c r="A7" s="29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7" t="s">
        <v>137</v>
      </c>
      <c r="C7" s="298">
        <f>IF(ISERROR(HI!F5),"",HI!F5)</f>
        <v>1763.75</v>
      </c>
      <c r="D7" s="298">
        <f>IF(ISERROR(HI!E5),"",HI!E5)</f>
        <v>1776.5508400000022</v>
      </c>
      <c r="E7" s="295">
        <f t="shared" ref="E7:E14" si="0">IF(C7=0,0,D7/C7)</f>
        <v>1.007257740609498</v>
      </c>
    </row>
    <row r="8" spans="1:5" ht="14.4" customHeight="1" x14ac:dyDescent="0.3">
      <c r="A8" s="299" t="str">
        <f>HYPERLINK("#'LŽ PL'!A1","% plnění pozitivního listu")</f>
        <v>% plnění pozitivního listu</v>
      </c>
      <c r="B8" s="297" t="s">
        <v>187</v>
      </c>
      <c r="C8" s="300">
        <v>0.9</v>
      </c>
      <c r="D8" s="300">
        <f>IF(ISERROR(VLOOKUP("celkem",'LŽ PL'!$A:$F,5,0)),0,VLOOKUP("celkem",'LŽ PL'!$A:$F,5,0))</f>
        <v>0.96146325460148541</v>
      </c>
      <c r="E8" s="295">
        <f t="shared" si="0"/>
        <v>1.0682925051127616</v>
      </c>
    </row>
    <row r="9" spans="1:5" ht="14.4" customHeight="1" x14ac:dyDescent="0.3">
      <c r="A9" s="301" t="s">
        <v>196</v>
      </c>
      <c r="B9" s="297"/>
      <c r="C9" s="298"/>
      <c r="D9" s="298"/>
      <c r="E9" s="295"/>
    </row>
    <row r="10" spans="1:5" ht="14.4" customHeight="1" x14ac:dyDescent="0.3">
      <c r="A10" s="299" t="str">
        <f>HYPERLINK("#'Léky Recepty'!A1","% záchytu v lékárně (Úhrada Kč)")</f>
        <v>% záchytu v lékárně (Úhrada Kč)</v>
      </c>
      <c r="B10" s="297" t="s">
        <v>142</v>
      </c>
      <c r="C10" s="300">
        <v>0.6</v>
      </c>
      <c r="D10" s="300">
        <f>IF(ISERROR(VLOOKUP("Celkem",'Léky Recepty'!B:H,5,0)),0,VLOOKUP("Celkem",'Léky Recepty'!B:H,5,0))</f>
        <v>0.56845631174384792</v>
      </c>
      <c r="E10" s="295">
        <f t="shared" si="0"/>
        <v>0.94742718623974653</v>
      </c>
    </row>
    <row r="11" spans="1:5" ht="14.4" customHeight="1" x14ac:dyDescent="0.3">
      <c r="A11" s="299" t="str">
        <f>HYPERLINK("#'LRp PL'!A1","% plnění pozitivního listu")</f>
        <v>% plnění pozitivního listu</v>
      </c>
      <c r="B11" s="297" t="s">
        <v>188</v>
      </c>
      <c r="C11" s="300">
        <v>0.8</v>
      </c>
      <c r="D11" s="300">
        <f>IF(ISERROR(VLOOKUP("Celkem",'LRp PL'!A:F,5,0)),0,VLOOKUP("Celkem",'LRp PL'!A:F,5,0))</f>
        <v>0.99801883473243969</v>
      </c>
      <c r="E11" s="295">
        <f t="shared" si="0"/>
        <v>1.2475235434155496</v>
      </c>
    </row>
    <row r="12" spans="1:5" ht="14.4" customHeight="1" x14ac:dyDescent="0.3">
      <c r="A12" s="301" t="s">
        <v>197</v>
      </c>
      <c r="B12" s="297"/>
      <c r="C12" s="298"/>
      <c r="D12" s="298"/>
      <c r="E12" s="295"/>
    </row>
    <row r="13" spans="1:5" ht="14.4" customHeight="1" x14ac:dyDescent="0.3">
      <c r="A13" s="302" t="s">
        <v>201</v>
      </c>
      <c r="B13" s="297"/>
      <c r="C13" s="294"/>
      <c r="D13" s="294"/>
      <c r="E13" s="295"/>
    </row>
    <row r="14" spans="1:5" ht="14.4" customHeight="1" x14ac:dyDescent="0.3">
      <c r="A14" s="30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297" t="s">
        <v>137</v>
      </c>
      <c r="C14" s="298">
        <f>IF(ISERROR(HI!F6),"",HI!F6)</f>
        <v>886</v>
      </c>
      <c r="D14" s="298">
        <f>IF(ISERROR(HI!E6),"",HI!E6)</f>
        <v>652.03500000000099</v>
      </c>
      <c r="E14" s="295">
        <f t="shared" si="0"/>
        <v>0.73593115124153607</v>
      </c>
    </row>
    <row r="15" spans="1:5" ht="14.4" customHeight="1" thickBot="1" x14ac:dyDescent="0.35">
      <c r="A15" s="304" t="str">
        <f>HYPERLINK("#HI!A1","Osobní náklady")</f>
        <v>Osobní náklady</v>
      </c>
      <c r="B15" s="297"/>
      <c r="C15" s="294">
        <f ca="1">IF(ISERROR(VLOOKUP("Osobní náklady (Kč) *",INDIRECT("HI!$A:$G"),6,0)),0,VLOOKUP("Osobní náklady (Kč) *",INDIRECT("HI!$A:$G"),6,0))</f>
        <v>7612</v>
      </c>
      <c r="D15" s="294">
        <f ca="1">IF(ISERROR(VLOOKUP("Osobní náklady (Kč) *",INDIRECT("HI!$A:$G"),5,0)),0,VLOOKUP("Osobní náklady (Kč) *",INDIRECT("HI!$A:$G"),5,0))</f>
        <v>7702.9580600000099</v>
      </c>
      <c r="E15" s="295">
        <f ca="1">IF(C15=0,0,D15/C15)</f>
        <v>1.0119492984760916</v>
      </c>
    </row>
    <row r="16" spans="1:5" ht="14.4" customHeight="1" thickBot="1" x14ac:dyDescent="0.35">
      <c r="A16" s="308"/>
      <c r="B16" s="309"/>
      <c r="C16" s="310"/>
      <c r="D16" s="310"/>
      <c r="E16" s="311"/>
    </row>
    <row r="17" spans="1:5" ht="14.4" customHeight="1" thickBot="1" x14ac:dyDescent="0.35">
      <c r="A17" s="312" t="str">
        <f>HYPERLINK("#HI!A1","VÝNOSY CELKEM (v tisících)")</f>
        <v>VÝNOSY CELKEM (v tisících)</v>
      </c>
      <c r="B17" s="313"/>
      <c r="C17" s="314">
        <f ca="1">IF(ISERROR(VLOOKUP("Výnosy celkem",INDIRECT("HI!$A:$G"),6,0)),0,VLOOKUP("Výnosy celkem",INDIRECT("HI!$A:$G"),6,0))</f>
        <v>3383.4810000000002</v>
      </c>
      <c r="D17" s="314">
        <f ca="1">IF(ISERROR(VLOOKUP("Výnosy celkem",INDIRECT("HI!$A:$G"),5,0)),0,VLOOKUP("Výnosy celkem",INDIRECT("HI!$A:$G"),5,0))</f>
        <v>5051.2199999999993</v>
      </c>
      <c r="E17" s="315">
        <f t="shared" ref="E17:E27" ca="1" si="1">IF(C17=0,0,D17/C17)</f>
        <v>1.4929062701992413</v>
      </c>
    </row>
    <row r="18" spans="1:5" ht="14.4" customHeight="1" x14ac:dyDescent="0.3">
      <c r="A18" s="316" t="str">
        <f>HYPERLINK("#HI!A1","Ambulance (body za výkony + Kč za ZUM a ZULP)")</f>
        <v>Ambulance (body za výkony + Kč za ZUM a ZULP)</v>
      </c>
      <c r="B18" s="293"/>
      <c r="C18" s="294">
        <f ca="1">IF(ISERROR(VLOOKUP("Ambulance *",INDIRECT("HI!$A:$G"),6,0)),0,VLOOKUP("Ambulance *",INDIRECT("HI!$A:$G"),6,0))</f>
        <v>53.750999999999998</v>
      </c>
      <c r="D18" s="294">
        <f ca="1">IF(ISERROR(VLOOKUP("Ambulance *",INDIRECT("HI!$A:$G"),5,0)),0,VLOOKUP("Ambulance *",INDIRECT("HI!$A:$G"),5,0))</f>
        <v>4.74</v>
      </c>
      <c r="E18" s="295">
        <f t="shared" ca="1" si="1"/>
        <v>8.8184405871518684E-2</v>
      </c>
    </row>
    <row r="19" spans="1:5" ht="14.4" customHeight="1" x14ac:dyDescent="0.3">
      <c r="A19" s="317" t="str">
        <f>HYPERLINK("#'ZV Vykáz.-A'!A1","Zdravotní výkony vykázané u ambulantních pacientů (min. 100 %)")</f>
        <v>Zdravotní výkony vykázané u ambulantních pacientů (min. 100 %)</v>
      </c>
      <c r="B19" s="280" t="s">
        <v>154</v>
      </c>
      <c r="C19" s="300">
        <v>1</v>
      </c>
      <c r="D19" s="300">
        <f>IF(ISERROR(VLOOKUP("Celkem:",'ZV Vykáz.-A'!$A:$S,7,0)),"",VLOOKUP("Celkem:",'ZV Vykáz.-A'!$A:$S,7,0))</f>
        <v>8.818440587151867E-2</v>
      </c>
      <c r="E19" s="295">
        <f t="shared" si="1"/>
        <v>8.818440587151867E-2</v>
      </c>
    </row>
    <row r="20" spans="1:5" ht="14.4" customHeight="1" x14ac:dyDescent="0.3">
      <c r="A20" s="317" t="str">
        <f>HYPERLINK("#'ZV Vykáz.-H'!A1","Zdravotní výkony vykázané u hospitalizovaných pacientů (max. 85 %)")</f>
        <v>Zdravotní výkony vykázané u hospitalizovaných pacientů (max. 85 %)</v>
      </c>
      <c r="B20" s="280" t="s">
        <v>156</v>
      </c>
      <c r="C20" s="300">
        <v>0.85</v>
      </c>
      <c r="D20" s="300">
        <f>IF(ISERROR(VLOOKUP("Celkem:",'ZV Vykáz.-H'!$A:$S,7,0)),"",VLOOKUP("Celkem:",'ZV Vykáz.-H'!$A:$S,7,0))</f>
        <v>1.0174454652951974</v>
      </c>
      <c r="E20" s="295">
        <f t="shared" si="1"/>
        <v>1.1969946650531735</v>
      </c>
    </row>
    <row r="21" spans="1:5" ht="14.4" customHeight="1" x14ac:dyDescent="0.3">
      <c r="A21" s="318" t="str">
        <f>HYPERLINK("#HI!A1","Hospitalizace (casemix * 30000)")</f>
        <v>Hospitalizace (casemix * 30000)</v>
      </c>
      <c r="B21" s="297"/>
      <c r="C21" s="294">
        <f ca="1">IF(ISERROR(VLOOKUP("Hospitalizace *",INDIRECT("HI!$A:$G"),6,0)),0,VLOOKUP("Hospitalizace *",INDIRECT("HI!$A:$G"),6,0))</f>
        <v>3329.73</v>
      </c>
      <c r="D21" s="294">
        <f ca="1">IF(ISERROR(VLOOKUP("Hospitalizace *",INDIRECT("HI!$A:$G"),5,0)),0,VLOOKUP("Hospitalizace *",INDIRECT("HI!$A:$G"),5,0))</f>
        <v>5046.4799999999996</v>
      </c>
      <c r="E21" s="295">
        <f ca="1">IF(C21=0,0,D21/C21)</f>
        <v>1.5155823445144199</v>
      </c>
    </row>
    <row r="22" spans="1:5" ht="14.4" customHeight="1" x14ac:dyDescent="0.3">
      <c r="A22" s="317" t="str">
        <f>HYPERLINK("#'CaseMix'!A1","Casemix (min. 100 %)")</f>
        <v>Casemix (min. 100 %)</v>
      </c>
      <c r="B22" s="297" t="s">
        <v>71</v>
      </c>
      <c r="C22" s="300">
        <v>1</v>
      </c>
      <c r="D22" s="300">
        <f>IF(ISERROR(VLOOKUP("Celkem",CaseMix!A:M,5,0)),0,VLOOKUP("Celkem",CaseMix!A:M,5,0))</f>
        <v>1.5155823445144199</v>
      </c>
      <c r="E22" s="295">
        <f t="shared" si="1"/>
        <v>1.5155823445144199</v>
      </c>
    </row>
    <row r="23" spans="1:5" ht="14.4" customHeight="1" x14ac:dyDescent="0.3">
      <c r="A23" s="319" t="str">
        <f>HYPERLINK("#'CaseMix'!A1","DRG mimo vyjmenované baze")</f>
        <v>DRG mimo vyjmenované baze</v>
      </c>
      <c r="B23" s="297" t="s">
        <v>71</v>
      </c>
      <c r="C23" s="300">
        <v>1</v>
      </c>
      <c r="D23" s="300">
        <f>IF(ISERROR(CaseMix!E26),"",CaseMix!E26)</f>
        <v>1.5155823445144199</v>
      </c>
      <c r="E23" s="295">
        <f t="shared" si="1"/>
        <v>1.5155823445144199</v>
      </c>
    </row>
    <row r="24" spans="1:5" ht="14.4" customHeight="1" x14ac:dyDescent="0.3">
      <c r="A24" s="319" t="str">
        <f>HYPERLINK("#'CaseMix'!A1","Vyjmenované baze DRG")</f>
        <v>Vyjmenované baze DRG</v>
      </c>
      <c r="B24" s="297" t="s">
        <v>71</v>
      </c>
      <c r="C24" s="300">
        <v>1</v>
      </c>
      <c r="D24" s="300">
        <f>IF(ISERROR(CaseMix!E39),"",CaseMix!E39)</f>
        <v>0</v>
      </c>
      <c r="E24" s="295">
        <f t="shared" si="1"/>
        <v>0</v>
      </c>
    </row>
    <row r="25" spans="1:5" ht="14.4" customHeight="1" x14ac:dyDescent="0.3">
      <c r="A25" s="317" t="str">
        <f>HYPERLINK("#'CaseMix'!A1","Počet hospitalizací ukončených na pracovišti (min. 95 %)")</f>
        <v>Počet hospitalizací ukončených na pracovišti (min. 95 %)</v>
      </c>
      <c r="B25" s="297" t="s">
        <v>71</v>
      </c>
      <c r="C25" s="300">
        <v>0.95</v>
      </c>
      <c r="D25" s="300">
        <f>IF(ISERROR(CaseMix!I13),"",CaseMix!I13)</f>
        <v>1.368421052631579</v>
      </c>
      <c r="E25" s="295">
        <f t="shared" si="1"/>
        <v>1.4404432132963989</v>
      </c>
    </row>
    <row r="26" spans="1:5" ht="14.4" customHeight="1" x14ac:dyDescent="0.3">
      <c r="A26" s="317" t="str">
        <f>HYPERLINK("#'ALOS'!A1","Průměrná délka hospitalizace (max. 100 % republikového průměru)")</f>
        <v>Průměrná délka hospitalizace (max. 100 % republikového průměru)</v>
      </c>
      <c r="B26" s="297" t="s">
        <v>86</v>
      </c>
      <c r="C26" s="300">
        <v>1</v>
      </c>
      <c r="D26" s="320">
        <f>IF(ISERROR(INDEX(ALOS!$E:$E,COUNT(ALOS!$E:$E)+32)),0,INDEX(ALOS!$E:$E,COUNT(ALOS!$E:$E)+32))</f>
        <v>0.56323472419584031</v>
      </c>
      <c r="E26" s="295">
        <f t="shared" si="1"/>
        <v>0.56323472419584031</v>
      </c>
    </row>
    <row r="27" spans="1:5" ht="27.6" x14ac:dyDescent="0.3">
      <c r="A27" s="321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7" s="297" t="s">
        <v>151</v>
      </c>
      <c r="C27" s="300">
        <f>IF(E22&gt;1,95%,95%-2*ABS(C22-D22))</f>
        <v>0.95</v>
      </c>
      <c r="D27" s="300">
        <f>IF(ISERROR(VLOOKUP("Celkem:",'ZV Vyžád.'!$A:$M,7,0)),"",VLOOKUP("Celkem:",'ZV Vyžád.'!$A:$M,7,0))</f>
        <v>1.5429355015388175</v>
      </c>
      <c r="E27" s="295">
        <f t="shared" si="1"/>
        <v>1.6241426331987554</v>
      </c>
    </row>
    <row r="28" spans="1:5" ht="14.4" customHeight="1" thickBot="1" x14ac:dyDescent="0.35">
      <c r="A28" s="322" t="s">
        <v>198</v>
      </c>
      <c r="B28" s="305"/>
      <c r="C28" s="306"/>
      <c r="D28" s="306"/>
      <c r="E28" s="307"/>
    </row>
    <row r="29" spans="1:5" ht="14.4" customHeight="1" thickBot="1" x14ac:dyDescent="0.35">
      <c r="A29" s="323"/>
      <c r="B29" s="324"/>
      <c r="C29" s="325"/>
      <c r="D29" s="325"/>
      <c r="E29" s="326"/>
    </row>
    <row r="30" spans="1:5" ht="14.4" customHeight="1" thickBot="1" x14ac:dyDescent="0.35">
      <c r="A30" s="327" t="s">
        <v>199</v>
      </c>
      <c r="B30" s="328"/>
      <c r="C30" s="329"/>
      <c r="D30" s="329"/>
      <c r="E30" s="330"/>
    </row>
  </sheetData>
  <mergeCells count="1">
    <mergeCell ref="A1:E1"/>
  </mergeCells>
  <conditionalFormatting sqref="E22:E25 E17 E19 E8 E10:E11">
    <cfRule type="iconSet" priority="17">
      <iconSet iconSet="3Symbols2">
        <cfvo type="percent" val="0"/>
        <cfvo type="num" val="1"/>
        <cfvo type="num" val="1"/>
      </iconSet>
    </cfRule>
  </conditionalFormatting>
  <conditionalFormatting sqref="E5">
    <cfRule type="cellIs" dxfId="81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8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79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78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1">
    <cfRule type="cellIs" dxfId="77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76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7 E19 E22:E25 E8 E10:E11">
    <cfRule type="cellIs" dxfId="75" priority="16" operator="lessThan">
      <formula>1</formula>
    </cfRule>
  </conditionalFormatting>
  <conditionalFormatting sqref="E26:E27 E4 E7 E14 E20">
    <cfRule type="cellIs" dxfId="74" priority="19" operator="greaterThan">
      <formula>1</formula>
    </cfRule>
    <cfRule type="iconSet" priority="2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9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7" bestFit="1" customWidth="1"/>
    <col min="2" max="2" width="7.77734375" style="222" customWidth="1"/>
    <col min="3" max="3" width="5.44140625" style="257" hidden="1" customWidth="1"/>
    <col min="4" max="4" width="7.77734375" style="222" customWidth="1"/>
    <col min="5" max="5" width="5.44140625" style="257" hidden="1" customWidth="1"/>
    <col min="6" max="6" width="7.77734375" style="222" customWidth="1"/>
    <col min="7" max="7" width="7.77734375" style="343" customWidth="1"/>
    <col min="8" max="8" width="7.77734375" style="222" customWidth="1"/>
    <col min="9" max="9" width="5.44140625" style="257" hidden="1" customWidth="1"/>
    <col min="10" max="10" width="7.77734375" style="222" customWidth="1"/>
    <col min="11" max="11" width="5.44140625" style="257" hidden="1" customWidth="1"/>
    <col min="12" max="12" width="7.77734375" style="222" customWidth="1"/>
    <col min="13" max="13" width="7.77734375" style="343" customWidth="1"/>
    <col min="14" max="14" width="7.77734375" style="222" customWidth="1"/>
    <col min="15" max="15" width="5" style="257" hidden="1" customWidth="1"/>
    <col min="16" max="16" width="7.77734375" style="222" customWidth="1"/>
    <col min="17" max="17" width="5" style="257" hidden="1" customWidth="1"/>
    <col min="18" max="18" width="7.77734375" style="222" customWidth="1"/>
    <col min="19" max="19" width="7.77734375" style="343" customWidth="1"/>
    <col min="20" max="16384" width="8.88671875" style="257"/>
  </cols>
  <sheetData>
    <row r="1" spans="1:19" ht="18.600000000000001" customHeight="1" thickBot="1" x14ac:dyDescent="0.4">
      <c r="A1" s="525" t="s">
        <v>2108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</row>
    <row r="2" spans="1:19" ht="14.4" customHeight="1" thickBot="1" x14ac:dyDescent="0.35">
      <c r="A2" s="386" t="s">
        <v>321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</row>
    <row r="3" spans="1:19" ht="14.4" customHeight="1" thickBot="1" x14ac:dyDescent="0.35">
      <c r="A3" s="353" t="s">
        <v>160</v>
      </c>
      <c r="B3" s="354">
        <f>SUBTOTAL(9,B6:B1048576)</f>
        <v>53751</v>
      </c>
      <c r="C3" s="355">
        <f t="shared" ref="C3:R3" si="0">SUBTOTAL(9,C6:C1048576)</f>
        <v>1</v>
      </c>
      <c r="D3" s="355">
        <f t="shared" si="0"/>
        <v>169002</v>
      </c>
      <c r="E3" s="355">
        <f t="shared" si="0"/>
        <v>3.1441647597254003</v>
      </c>
      <c r="F3" s="355">
        <f t="shared" si="0"/>
        <v>4740</v>
      </c>
      <c r="G3" s="356">
        <f>IF(B3&lt;&gt;0,F3/B3,"")</f>
        <v>8.818440587151867E-2</v>
      </c>
      <c r="H3" s="357">
        <f t="shared" si="0"/>
        <v>0</v>
      </c>
      <c r="I3" s="355">
        <f t="shared" si="0"/>
        <v>0</v>
      </c>
      <c r="J3" s="355">
        <f t="shared" si="0"/>
        <v>0</v>
      </c>
      <c r="K3" s="355">
        <f t="shared" si="0"/>
        <v>0</v>
      </c>
      <c r="L3" s="355">
        <f t="shared" si="0"/>
        <v>0</v>
      </c>
      <c r="M3" s="358" t="str">
        <f>IF(H3&lt;&gt;0,L3/H3,"")</f>
        <v/>
      </c>
      <c r="N3" s="354">
        <f t="shared" si="0"/>
        <v>0</v>
      </c>
      <c r="O3" s="355">
        <f t="shared" si="0"/>
        <v>0</v>
      </c>
      <c r="P3" s="355">
        <f t="shared" si="0"/>
        <v>0</v>
      </c>
      <c r="Q3" s="355">
        <f t="shared" si="0"/>
        <v>0</v>
      </c>
      <c r="R3" s="355">
        <f t="shared" si="0"/>
        <v>0</v>
      </c>
      <c r="S3" s="356" t="str">
        <f>IF(N3&lt;&gt;0,R3/N3,"")</f>
        <v/>
      </c>
    </row>
    <row r="4" spans="1:19" ht="14.4" customHeight="1" x14ac:dyDescent="0.3">
      <c r="A4" s="526" t="s">
        <v>123</v>
      </c>
      <c r="B4" s="527" t="s">
        <v>124</v>
      </c>
      <c r="C4" s="528"/>
      <c r="D4" s="528"/>
      <c r="E4" s="528"/>
      <c r="F4" s="528"/>
      <c r="G4" s="529"/>
      <c r="H4" s="527" t="s">
        <v>125</v>
      </c>
      <c r="I4" s="528"/>
      <c r="J4" s="528"/>
      <c r="K4" s="528"/>
      <c r="L4" s="528"/>
      <c r="M4" s="529"/>
      <c r="N4" s="527" t="s">
        <v>126</v>
      </c>
      <c r="O4" s="528"/>
      <c r="P4" s="528"/>
      <c r="Q4" s="528"/>
      <c r="R4" s="528"/>
      <c r="S4" s="529"/>
    </row>
    <row r="5" spans="1:19" ht="14.4" customHeight="1" thickBot="1" x14ac:dyDescent="0.35">
      <c r="A5" s="745"/>
      <c r="B5" s="746">
        <v>2012</v>
      </c>
      <c r="C5" s="747"/>
      <c r="D5" s="747">
        <v>2013</v>
      </c>
      <c r="E5" s="747"/>
      <c r="F5" s="747">
        <v>2014</v>
      </c>
      <c r="G5" s="748" t="s">
        <v>2</v>
      </c>
      <c r="H5" s="746">
        <v>2012</v>
      </c>
      <c r="I5" s="747"/>
      <c r="J5" s="747">
        <v>2013</v>
      </c>
      <c r="K5" s="747"/>
      <c r="L5" s="747">
        <v>2014</v>
      </c>
      <c r="M5" s="748" t="s">
        <v>2</v>
      </c>
      <c r="N5" s="746">
        <v>2012</v>
      </c>
      <c r="O5" s="747"/>
      <c r="P5" s="747">
        <v>2013</v>
      </c>
      <c r="Q5" s="747"/>
      <c r="R5" s="747">
        <v>2014</v>
      </c>
      <c r="S5" s="748" t="s">
        <v>2</v>
      </c>
    </row>
    <row r="6" spans="1:19" ht="14.4" customHeight="1" thickBot="1" x14ac:dyDescent="0.35">
      <c r="A6" s="752" t="s">
        <v>2104</v>
      </c>
      <c r="B6" s="749">
        <v>53751</v>
      </c>
      <c r="C6" s="750">
        <v>1</v>
      </c>
      <c r="D6" s="749">
        <v>169002</v>
      </c>
      <c r="E6" s="750">
        <v>3.1441647597254003</v>
      </c>
      <c r="F6" s="749">
        <v>4740</v>
      </c>
      <c r="G6" s="650">
        <v>8.818440587151867E-2</v>
      </c>
      <c r="H6" s="749"/>
      <c r="I6" s="750"/>
      <c r="J6" s="749"/>
      <c r="K6" s="750"/>
      <c r="L6" s="749"/>
      <c r="M6" s="650"/>
      <c r="N6" s="749"/>
      <c r="O6" s="750"/>
      <c r="P6" s="749"/>
      <c r="Q6" s="750"/>
      <c r="R6" s="749"/>
      <c r="S6" s="751"/>
    </row>
    <row r="7" spans="1:19" ht="14.4" customHeight="1" x14ac:dyDescent="0.3">
      <c r="A7" s="753" t="s">
        <v>2105</v>
      </c>
    </row>
    <row r="8" spans="1:19" ht="14.4" customHeight="1" x14ac:dyDescent="0.3">
      <c r="A8" s="754" t="s">
        <v>2106</v>
      </c>
    </row>
    <row r="9" spans="1:19" ht="14.4" customHeight="1" x14ac:dyDescent="0.3">
      <c r="A9" s="753" t="s">
        <v>2107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12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257" bestFit="1" customWidth="1"/>
    <col min="2" max="2" width="2.109375" style="257" bestFit="1" customWidth="1"/>
    <col min="3" max="3" width="8" style="257" bestFit="1" customWidth="1"/>
    <col min="4" max="4" width="50.88671875" style="257" bestFit="1" customWidth="1"/>
    <col min="5" max="6" width="11.109375" style="340" customWidth="1"/>
    <col min="7" max="8" width="9.33203125" style="257" hidden="1" customWidth="1"/>
    <col min="9" max="10" width="11.109375" style="340" customWidth="1"/>
    <col min="11" max="12" width="9.33203125" style="257" hidden="1" customWidth="1"/>
    <col min="13" max="14" width="11.109375" style="340" customWidth="1"/>
    <col min="15" max="15" width="11.109375" style="343" customWidth="1"/>
    <col min="16" max="16" width="11.109375" style="340" customWidth="1"/>
    <col min="17" max="16384" width="8.88671875" style="257"/>
  </cols>
  <sheetData>
    <row r="1" spans="1:16" ht="18.600000000000001" customHeight="1" thickBot="1" x14ac:dyDescent="0.4">
      <c r="A1" s="458" t="s">
        <v>2125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</row>
    <row r="2" spans="1:16" ht="14.4" customHeight="1" thickBot="1" x14ac:dyDescent="0.35">
      <c r="A2" s="386" t="s">
        <v>321</v>
      </c>
      <c r="B2" s="258"/>
      <c r="C2" s="258"/>
      <c r="D2" s="258"/>
      <c r="E2" s="361"/>
      <c r="F2" s="361"/>
      <c r="G2" s="258"/>
      <c r="H2" s="258"/>
      <c r="I2" s="361"/>
      <c r="J2" s="361"/>
      <c r="K2" s="258"/>
      <c r="L2" s="258"/>
      <c r="M2" s="361"/>
      <c r="N2" s="361"/>
      <c r="O2" s="362"/>
      <c r="P2" s="361"/>
    </row>
    <row r="3" spans="1:16" ht="14.4" customHeight="1" thickBot="1" x14ac:dyDescent="0.35">
      <c r="D3" s="112" t="s">
        <v>160</v>
      </c>
      <c r="E3" s="214">
        <f t="shared" ref="E3:N3" si="0">SUBTOTAL(9,E6:E1048576)</f>
        <v>288</v>
      </c>
      <c r="F3" s="215">
        <f t="shared" si="0"/>
        <v>53751</v>
      </c>
      <c r="G3" s="78"/>
      <c r="H3" s="78"/>
      <c r="I3" s="215">
        <f t="shared" si="0"/>
        <v>175</v>
      </c>
      <c r="J3" s="215">
        <f t="shared" si="0"/>
        <v>169002</v>
      </c>
      <c r="K3" s="78"/>
      <c r="L3" s="78"/>
      <c r="M3" s="215">
        <f t="shared" si="0"/>
        <v>23</v>
      </c>
      <c r="N3" s="215">
        <f t="shared" si="0"/>
        <v>4740</v>
      </c>
      <c r="O3" s="79">
        <f>IF(F3=0,0,N3/F3)</f>
        <v>8.818440587151867E-2</v>
      </c>
      <c r="P3" s="216">
        <f>IF(M3=0,0,N3/M3)</f>
        <v>206.08695652173913</v>
      </c>
    </row>
    <row r="4" spans="1:16" ht="14.4" customHeight="1" x14ac:dyDescent="0.3">
      <c r="A4" s="531" t="s">
        <v>119</v>
      </c>
      <c r="B4" s="532" t="s">
        <v>120</v>
      </c>
      <c r="C4" s="533" t="s">
        <v>121</v>
      </c>
      <c r="D4" s="534" t="s">
        <v>81</v>
      </c>
      <c r="E4" s="535">
        <v>2012</v>
      </c>
      <c r="F4" s="536"/>
      <c r="G4" s="213"/>
      <c r="H4" s="213"/>
      <c r="I4" s="535">
        <v>2013</v>
      </c>
      <c r="J4" s="536"/>
      <c r="K4" s="213"/>
      <c r="L4" s="213"/>
      <c r="M4" s="535">
        <v>2014</v>
      </c>
      <c r="N4" s="536"/>
      <c r="O4" s="537" t="s">
        <v>2</v>
      </c>
      <c r="P4" s="530" t="s">
        <v>122</v>
      </c>
    </row>
    <row r="5" spans="1:16" ht="14.4" customHeight="1" thickBot="1" x14ac:dyDescent="0.35">
      <c r="A5" s="755"/>
      <c r="B5" s="756"/>
      <c r="C5" s="757"/>
      <c r="D5" s="758"/>
      <c r="E5" s="759" t="s">
        <v>91</v>
      </c>
      <c r="F5" s="760" t="s">
        <v>14</v>
      </c>
      <c r="G5" s="761"/>
      <c r="H5" s="761"/>
      <c r="I5" s="759" t="s">
        <v>91</v>
      </c>
      <c r="J5" s="760" t="s">
        <v>14</v>
      </c>
      <c r="K5" s="761"/>
      <c r="L5" s="761"/>
      <c r="M5" s="759" t="s">
        <v>91</v>
      </c>
      <c r="N5" s="760" t="s">
        <v>14</v>
      </c>
      <c r="O5" s="762"/>
      <c r="P5" s="763"/>
    </row>
    <row r="6" spans="1:16" ht="14.4" customHeight="1" x14ac:dyDescent="0.3">
      <c r="A6" s="696" t="s">
        <v>2109</v>
      </c>
      <c r="B6" s="697" t="s">
        <v>2110</v>
      </c>
      <c r="C6" s="697" t="s">
        <v>2111</v>
      </c>
      <c r="D6" s="697" t="s">
        <v>2112</v>
      </c>
      <c r="E6" s="232">
        <v>47</v>
      </c>
      <c r="F6" s="232">
        <v>15604</v>
      </c>
      <c r="G6" s="697">
        <v>1</v>
      </c>
      <c r="H6" s="697">
        <v>332</v>
      </c>
      <c r="I6" s="232">
        <v>14</v>
      </c>
      <c r="J6" s="232">
        <v>4690</v>
      </c>
      <c r="K6" s="697">
        <v>0.30056395795949759</v>
      </c>
      <c r="L6" s="697">
        <v>335</v>
      </c>
      <c r="M6" s="232">
        <v>4</v>
      </c>
      <c r="N6" s="232">
        <v>1340</v>
      </c>
      <c r="O6" s="702">
        <v>8.5875416559856449E-2</v>
      </c>
      <c r="P6" s="710">
        <v>335</v>
      </c>
    </row>
    <row r="7" spans="1:16" ht="14.4" customHeight="1" x14ac:dyDescent="0.3">
      <c r="A7" s="631" t="s">
        <v>2109</v>
      </c>
      <c r="B7" s="632" t="s">
        <v>2110</v>
      </c>
      <c r="C7" s="632" t="s">
        <v>2113</v>
      </c>
      <c r="D7" s="632" t="s">
        <v>2114</v>
      </c>
      <c r="E7" s="635">
        <v>20</v>
      </c>
      <c r="F7" s="635">
        <v>680</v>
      </c>
      <c r="G7" s="632">
        <v>1</v>
      </c>
      <c r="H7" s="632">
        <v>34</v>
      </c>
      <c r="I7" s="635">
        <v>4</v>
      </c>
      <c r="J7" s="635">
        <v>136</v>
      </c>
      <c r="K7" s="632">
        <v>0.2</v>
      </c>
      <c r="L7" s="632">
        <v>34</v>
      </c>
      <c r="M7" s="635"/>
      <c r="N7" s="635"/>
      <c r="O7" s="657"/>
      <c r="P7" s="636"/>
    </row>
    <row r="8" spans="1:16" ht="14.4" customHeight="1" x14ac:dyDescent="0.3">
      <c r="A8" s="631" t="s">
        <v>2109</v>
      </c>
      <c r="B8" s="632" t="s">
        <v>2110</v>
      </c>
      <c r="C8" s="632" t="s">
        <v>2115</v>
      </c>
      <c r="D8" s="632" t="s">
        <v>2116</v>
      </c>
      <c r="E8" s="635">
        <v>114</v>
      </c>
      <c r="F8" s="635">
        <v>26334</v>
      </c>
      <c r="G8" s="632">
        <v>1</v>
      </c>
      <c r="H8" s="632">
        <v>231</v>
      </c>
      <c r="I8" s="635">
        <v>84</v>
      </c>
      <c r="J8" s="635">
        <v>19488</v>
      </c>
      <c r="K8" s="632">
        <v>0.74003189792663482</v>
      </c>
      <c r="L8" s="632">
        <v>232</v>
      </c>
      <c r="M8" s="635">
        <v>13</v>
      </c>
      <c r="N8" s="635">
        <v>3016</v>
      </c>
      <c r="O8" s="657">
        <v>0.11452874610769348</v>
      </c>
      <c r="P8" s="636">
        <v>232</v>
      </c>
    </row>
    <row r="9" spans="1:16" ht="14.4" customHeight="1" x14ac:dyDescent="0.3">
      <c r="A9" s="631" t="s">
        <v>2109</v>
      </c>
      <c r="B9" s="632" t="s">
        <v>2110</v>
      </c>
      <c r="C9" s="632" t="s">
        <v>2117</v>
      </c>
      <c r="D9" s="632" t="s">
        <v>2118</v>
      </c>
      <c r="E9" s="635">
        <v>32</v>
      </c>
      <c r="F9" s="635">
        <v>0</v>
      </c>
      <c r="G9" s="632"/>
      <c r="H9" s="632">
        <v>0</v>
      </c>
      <c r="I9" s="635">
        <v>20</v>
      </c>
      <c r="J9" s="635">
        <v>0</v>
      </c>
      <c r="K9" s="632"/>
      <c r="L9" s="632">
        <v>0</v>
      </c>
      <c r="M9" s="635">
        <v>2</v>
      </c>
      <c r="N9" s="635">
        <v>0</v>
      </c>
      <c r="O9" s="657"/>
      <c r="P9" s="636">
        <v>0</v>
      </c>
    </row>
    <row r="10" spans="1:16" ht="14.4" customHeight="1" x14ac:dyDescent="0.3">
      <c r="A10" s="631" t="s">
        <v>2109</v>
      </c>
      <c r="B10" s="632" t="s">
        <v>2110</v>
      </c>
      <c r="C10" s="632" t="s">
        <v>2119</v>
      </c>
      <c r="D10" s="632" t="s">
        <v>2120</v>
      </c>
      <c r="E10" s="635">
        <v>51</v>
      </c>
      <c r="F10" s="635">
        <v>4845</v>
      </c>
      <c r="G10" s="632">
        <v>1</v>
      </c>
      <c r="H10" s="632">
        <v>95</v>
      </c>
      <c r="I10" s="635">
        <v>13</v>
      </c>
      <c r="J10" s="635">
        <v>1248</v>
      </c>
      <c r="K10" s="632">
        <v>0.25758513931888544</v>
      </c>
      <c r="L10" s="632">
        <v>96</v>
      </c>
      <c r="M10" s="635">
        <v>4</v>
      </c>
      <c r="N10" s="635">
        <v>384</v>
      </c>
      <c r="O10" s="657">
        <v>7.9256965944272451E-2</v>
      </c>
      <c r="P10" s="636">
        <v>96</v>
      </c>
    </row>
    <row r="11" spans="1:16" ht="14.4" customHeight="1" x14ac:dyDescent="0.3">
      <c r="A11" s="631" t="s">
        <v>2109</v>
      </c>
      <c r="B11" s="632" t="s">
        <v>2110</v>
      </c>
      <c r="C11" s="632" t="s">
        <v>2121</v>
      </c>
      <c r="D11" s="632" t="s">
        <v>2122</v>
      </c>
      <c r="E11" s="635">
        <v>24</v>
      </c>
      <c r="F11" s="635">
        <v>6288</v>
      </c>
      <c r="G11" s="632">
        <v>1</v>
      </c>
      <c r="H11" s="632">
        <v>262</v>
      </c>
      <c r="I11" s="635"/>
      <c r="J11" s="635"/>
      <c r="K11" s="632"/>
      <c r="L11" s="632"/>
      <c r="M11" s="635"/>
      <c r="N11" s="635"/>
      <c r="O11" s="657"/>
      <c r="P11" s="636"/>
    </row>
    <row r="12" spans="1:16" ht="14.4" customHeight="1" thickBot="1" x14ac:dyDescent="0.35">
      <c r="A12" s="637" t="s">
        <v>2109</v>
      </c>
      <c r="B12" s="638" t="s">
        <v>2110</v>
      </c>
      <c r="C12" s="638" t="s">
        <v>2123</v>
      </c>
      <c r="D12" s="638" t="s">
        <v>2124</v>
      </c>
      <c r="E12" s="641"/>
      <c r="F12" s="641"/>
      <c r="G12" s="638"/>
      <c r="H12" s="638"/>
      <c r="I12" s="641">
        <v>40</v>
      </c>
      <c r="J12" s="641">
        <v>143440</v>
      </c>
      <c r="K12" s="638"/>
      <c r="L12" s="638">
        <v>3586</v>
      </c>
      <c r="M12" s="641"/>
      <c r="N12" s="641"/>
      <c r="O12" s="649"/>
      <c r="P12" s="642"/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5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7" bestFit="1" customWidth="1"/>
    <col min="2" max="2" width="7.77734375" style="222" customWidth="1"/>
    <col min="3" max="3" width="0.109375" style="257" hidden="1" customWidth="1"/>
    <col min="4" max="4" width="7.77734375" style="222" customWidth="1"/>
    <col min="5" max="5" width="5.44140625" style="257" hidden="1" customWidth="1"/>
    <col min="6" max="6" width="7.77734375" style="222" customWidth="1"/>
    <col min="7" max="7" width="7.77734375" style="343" customWidth="1"/>
    <col min="8" max="8" width="7.77734375" style="222" customWidth="1"/>
    <col min="9" max="9" width="5.44140625" style="257" hidden="1" customWidth="1"/>
    <col min="10" max="10" width="7.77734375" style="222" customWidth="1"/>
    <col min="11" max="11" width="5.44140625" style="257" hidden="1" customWidth="1"/>
    <col min="12" max="12" width="7.77734375" style="222" customWidth="1"/>
    <col min="13" max="13" width="7.77734375" style="343" customWidth="1"/>
    <col min="14" max="14" width="7.77734375" style="222" customWidth="1"/>
    <col min="15" max="15" width="5" style="257" hidden="1" customWidth="1"/>
    <col min="16" max="16" width="7.77734375" style="222" customWidth="1"/>
    <col min="17" max="17" width="5" style="257" hidden="1" customWidth="1"/>
    <col min="18" max="18" width="7.77734375" style="222" customWidth="1"/>
    <col min="19" max="19" width="7.77734375" style="343" customWidth="1"/>
    <col min="20" max="16384" width="8.88671875" style="257"/>
  </cols>
  <sheetData>
    <row r="1" spans="1:19" ht="18.600000000000001" customHeight="1" thickBot="1" x14ac:dyDescent="0.4">
      <c r="A1" s="467" t="s">
        <v>158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</row>
    <row r="2" spans="1:19" ht="14.4" customHeight="1" thickBot="1" x14ac:dyDescent="0.35">
      <c r="A2" s="386" t="s">
        <v>321</v>
      </c>
      <c r="B2" s="359"/>
      <c r="C2" s="227"/>
      <c r="D2" s="359"/>
      <c r="E2" s="227"/>
      <c r="F2" s="359"/>
      <c r="G2" s="360"/>
      <c r="H2" s="359"/>
      <c r="I2" s="227"/>
      <c r="J2" s="359"/>
      <c r="K2" s="227"/>
      <c r="L2" s="359"/>
      <c r="M2" s="360"/>
      <c r="N2" s="359"/>
      <c r="O2" s="227"/>
      <c r="P2" s="359"/>
      <c r="Q2" s="227"/>
      <c r="R2" s="359"/>
      <c r="S2" s="360"/>
    </row>
    <row r="3" spans="1:19" ht="14.4" customHeight="1" thickBot="1" x14ac:dyDescent="0.35">
      <c r="A3" s="353" t="s">
        <v>160</v>
      </c>
      <c r="B3" s="354">
        <f>SUBTOTAL(9,B6:B1048576)</f>
        <v>10105950</v>
      </c>
      <c r="C3" s="355">
        <f t="shared" ref="C3:R3" si="0">SUBTOTAL(9,C6:C1048576)</f>
        <v>7</v>
      </c>
      <c r="D3" s="355">
        <f t="shared" si="0"/>
        <v>10633872</v>
      </c>
      <c r="E3" s="355">
        <f t="shared" si="0"/>
        <v>8.5845348780158801</v>
      </c>
      <c r="F3" s="355">
        <f t="shared" si="0"/>
        <v>10282253</v>
      </c>
      <c r="G3" s="358">
        <f>IF(B3&lt;&gt;0,F3/B3,"")</f>
        <v>1.0174454652951974</v>
      </c>
      <c r="H3" s="354">
        <f t="shared" si="0"/>
        <v>1029315.27</v>
      </c>
      <c r="I3" s="355">
        <f t="shared" si="0"/>
        <v>1</v>
      </c>
      <c r="J3" s="355">
        <f t="shared" si="0"/>
        <v>1573226.7600000005</v>
      </c>
      <c r="K3" s="355">
        <f t="shared" si="0"/>
        <v>1.5284206946623851</v>
      </c>
      <c r="L3" s="355">
        <f t="shared" si="0"/>
        <v>1830610.2500000009</v>
      </c>
      <c r="M3" s="356">
        <f>IF(H3&lt;&gt;0,L3/H3,"")</f>
        <v>1.7784738100698738</v>
      </c>
      <c r="N3" s="357">
        <f t="shared" si="0"/>
        <v>0</v>
      </c>
      <c r="O3" s="355">
        <f t="shared" si="0"/>
        <v>0</v>
      </c>
      <c r="P3" s="355">
        <f t="shared" si="0"/>
        <v>0</v>
      </c>
      <c r="Q3" s="355">
        <f t="shared" si="0"/>
        <v>0</v>
      </c>
      <c r="R3" s="355">
        <f t="shared" si="0"/>
        <v>0</v>
      </c>
      <c r="S3" s="356" t="str">
        <f>IF(N3&lt;&gt;0,R3/N3,"")</f>
        <v/>
      </c>
    </row>
    <row r="4" spans="1:19" ht="14.4" customHeight="1" x14ac:dyDescent="0.3">
      <c r="A4" s="526" t="s">
        <v>130</v>
      </c>
      <c r="B4" s="527" t="s">
        <v>124</v>
      </c>
      <c r="C4" s="528"/>
      <c r="D4" s="528"/>
      <c r="E4" s="528"/>
      <c r="F4" s="528"/>
      <c r="G4" s="529"/>
      <c r="H4" s="527" t="s">
        <v>125</v>
      </c>
      <c r="I4" s="528"/>
      <c r="J4" s="528"/>
      <c r="K4" s="528"/>
      <c r="L4" s="528"/>
      <c r="M4" s="529"/>
      <c r="N4" s="527" t="s">
        <v>126</v>
      </c>
      <c r="O4" s="528"/>
      <c r="P4" s="528"/>
      <c r="Q4" s="528"/>
      <c r="R4" s="528"/>
      <c r="S4" s="529"/>
    </row>
    <row r="5" spans="1:19" ht="14.4" customHeight="1" thickBot="1" x14ac:dyDescent="0.35">
      <c r="A5" s="745"/>
      <c r="B5" s="746">
        <v>2012</v>
      </c>
      <c r="C5" s="747"/>
      <c r="D5" s="747">
        <v>2013</v>
      </c>
      <c r="E5" s="747"/>
      <c r="F5" s="747">
        <v>2014</v>
      </c>
      <c r="G5" s="748" t="s">
        <v>2</v>
      </c>
      <c r="H5" s="746">
        <v>2012</v>
      </c>
      <c r="I5" s="747"/>
      <c r="J5" s="747">
        <v>2013</v>
      </c>
      <c r="K5" s="747"/>
      <c r="L5" s="747">
        <v>2014</v>
      </c>
      <c r="M5" s="748" t="s">
        <v>2</v>
      </c>
      <c r="N5" s="746">
        <v>2012</v>
      </c>
      <c r="O5" s="747"/>
      <c r="P5" s="747">
        <v>2013</v>
      </c>
      <c r="Q5" s="747"/>
      <c r="R5" s="747">
        <v>2014</v>
      </c>
      <c r="S5" s="748" t="s">
        <v>2</v>
      </c>
    </row>
    <row r="6" spans="1:19" ht="14.4" customHeight="1" x14ac:dyDescent="0.3">
      <c r="A6" s="711" t="s">
        <v>2126</v>
      </c>
      <c r="B6" s="764">
        <v>231</v>
      </c>
      <c r="C6" s="697">
        <v>1</v>
      </c>
      <c r="D6" s="764"/>
      <c r="E6" s="697"/>
      <c r="F6" s="764"/>
      <c r="G6" s="702"/>
      <c r="H6" s="764"/>
      <c r="I6" s="697"/>
      <c r="J6" s="764"/>
      <c r="K6" s="697"/>
      <c r="L6" s="764"/>
      <c r="M6" s="702"/>
      <c r="N6" s="764"/>
      <c r="O6" s="697"/>
      <c r="P6" s="764"/>
      <c r="Q6" s="697"/>
      <c r="R6" s="764"/>
      <c r="S6" s="238"/>
    </row>
    <row r="7" spans="1:19" ht="14.4" customHeight="1" x14ac:dyDescent="0.3">
      <c r="A7" s="662" t="s">
        <v>2127</v>
      </c>
      <c r="B7" s="765">
        <v>231</v>
      </c>
      <c r="C7" s="632">
        <v>1</v>
      </c>
      <c r="D7" s="765">
        <v>928</v>
      </c>
      <c r="E7" s="632">
        <v>4.0173160173160172</v>
      </c>
      <c r="F7" s="765"/>
      <c r="G7" s="657"/>
      <c r="H7" s="765"/>
      <c r="I7" s="632"/>
      <c r="J7" s="765"/>
      <c r="K7" s="632"/>
      <c r="L7" s="765"/>
      <c r="M7" s="657"/>
      <c r="N7" s="765"/>
      <c r="O7" s="632"/>
      <c r="P7" s="765"/>
      <c r="Q7" s="632"/>
      <c r="R7" s="765"/>
      <c r="S7" s="683"/>
    </row>
    <row r="8" spans="1:19" ht="14.4" customHeight="1" x14ac:dyDescent="0.3">
      <c r="A8" s="662" t="s">
        <v>2128</v>
      </c>
      <c r="B8" s="765"/>
      <c r="C8" s="632"/>
      <c r="D8" s="765">
        <v>928</v>
      </c>
      <c r="E8" s="632"/>
      <c r="F8" s="765"/>
      <c r="G8" s="657"/>
      <c r="H8" s="765"/>
      <c r="I8" s="632"/>
      <c r="J8" s="765"/>
      <c r="K8" s="632"/>
      <c r="L8" s="765"/>
      <c r="M8" s="657"/>
      <c r="N8" s="765"/>
      <c r="O8" s="632"/>
      <c r="P8" s="765"/>
      <c r="Q8" s="632"/>
      <c r="R8" s="765"/>
      <c r="S8" s="683"/>
    </row>
    <row r="9" spans="1:19" ht="14.4" customHeight="1" x14ac:dyDescent="0.3">
      <c r="A9" s="662" t="s">
        <v>2129</v>
      </c>
      <c r="B9" s="765">
        <v>462</v>
      </c>
      <c r="C9" s="632">
        <v>1</v>
      </c>
      <c r="D9" s="765">
        <v>1160</v>
      </c>
      <c r="E9" s="632">
        <v>2.5108225108225106</v>
      </c>
      <c r="F9" s="765">
        <v>232</v>
      </c>
      <c r="G9" s="657">
        <v>0.50216450216450215</v>
      </c>
      <c r="H9" s="765"/>
      <c r="I9" s="632"/>
      <c r="J9" s="765"/>
      <c r="K9" s="632"/>
      <c r="L9" s="765"/>
      <c r="M9" s="657"/>
      <c r="N9" s="765"/>
      <c r="O9" s="632"/>
      <c r="P9" s="765"/>
      <c r="Q9" s="632"/>
      <c r="R9" s="765"/>
      <c r="S9" s="683"/>
    </row>
    <row r="10" spans="1:19" ht="14.4" customHeight="1" x14ac:dyDescent="0.3">
      <c r="A10" s="662" t="s">
        <v>2130</v>
      </c>
      <c r="B10" s="765">
        <v>265</v>
      </c>
      <c r="C10" s="632">
        <v>1</v>
      </c>
      <c r="D10" s="765"/>
      <c r="E10" s="632"/>
      <c r="F10" s="765"/>
      <c r="G10" s="657"/>
      <c r="H10" s="765"/>
      <c r="I10" s="632"/>
      <c r="J10" s="765"/>
      <c r="K10" s="632"/>
      <c r="L10" s="765"/>
      <c r="M10" s="657"/>
      <c r="N10" s="765"/>
      <c r="O10" s="632"/>
      <c r="P10" s="765"/>
      <c r="Q10" s="632"/>
      <c r="R10" s="765"/>
      <c r="S10" s="683"/>
    </row>
    <row r="11" spans="1:19" ht="14.4" customHeight="1" x14ac:dyDescent="0.3">
      <c r="A11" s="662" t="s">
        <v>2131</v>
      </c>
      <c r="B11" s="765"/>
      <c r="C11" s="632"/>
      <c r="D11" s="765"/>
      <c r="E11" s="632"/>
      <c r="F11" s="765">
        <v>232</v>
      </c>
      <c r="G11" s="657"/>
      <c r="H11" s="765"/>
      <c r="I11" s="632"/>
      <c r="J11" s="765"/>
      <c r="K11" s="632"/>
      <c r="L11" s="765"/>
      <c r="M11" s="657"/>
      <c r="N11" s="765"/>
      <c r="O11" s="632"/>
      <c r="P11" s="765"/>
      <c r="Q11" s="632"/>
      <c r="R11" s="765"/>
      <c r="S11" s="683"/>
    </row>
    <row r="12" spans="1:19" ht="14.4" customHeight="1" x14ac:dyDescent="0.3">
      <c r="A12" s="662" t="s">
        <v>2132</v>
      </c>
      <c r="B12" s="765">
        <v>462</v>
      </c>
      <c r="C12" s="632">
        <v>1</v>
      </c>
      <c r="D12" s="765">
        <v>464</v>
      </c>
      <c r="E12" s="632">
        <v>1.0043290043290043</v>
      </c>
      <c r="F12" s="765"/>
      <c r="G12" s="657"/>
      <c r="H12" s="765"/>
      <c r="I12" s="632"/>
      <c r="J12" s="765"/>
      <c r="K12" s="632"/>
      <c r="L12" s="765"/>
      <c r="M12" s="657"/>
      <c r="N12" s="765"/>
      <c r="O12" s="632"/>
      <c r="P12" s="765"/>
      <c r="Q12" s="632"/>
      <c r="R12" s="765"/>
      <c r="S12" s="683"/>
    </row>
    <row r="13" spans="1:19" ht="14.4" customHeight="1" x14ac:dyDescent="0.3">
      <c r="A13" s="662" t="s">
        <v>2133</v>
      </c>
      <c r="B13" s="765">
        <v>231</v>
      </c>
      <c r="C13" s="632">
        <v>1</v>
      </c>
      <c r="D13" s="765"/>
      <c r="E13" s="632"/>
      <c r="F13" s="765"/>
      <c r="G13" s="657"/>
      <c r="H13" s="765"/>
      <c r="I13" s="632"/>
      <c r="J13" s="765"/>
      <c r="K13" s="632"/>
      <c r="L13" s="765"/>
      <c r="M13" s="657"/>
      <c r="N13" s="765"/>
      <c r="O13" s="632"/>
      <c r="P13" s="765"/>
      <c r="Q13" s="632"/>
      <c r="R13" s="765"/>
      <c r="S13" s="683"/>
    </row>
    <row r="14" spans="1:19" ht="14.4" customHeight="1" x14ac:dyDescent="0.3">
      <c r="A14" s="662" t="s">
        <v>2134</v>
      </c>
      <c r="B14" s="765"/>
      <c r="C14" s="632"/>
      <c r="D14" s="765">
        <v>232</v>
      </c>
      <c r="E14" s="632"/>
      <c r="F14" s="765"/>
      <c r="G14" s="657"/>
      <c r="H14" s="765"/>
      <c r="I14" s="632"/>
      <c r="J14" s="765"/>
      <c r="K14" s="632"/>
      <c r="L14" s="765"/>
      <c r="M14" s="657"/>
      <c r="N14" s="765"/>
      <c r="O14" s="632"/>
      <c r="P14" s="765"/>
      <c r="Q14" s="632"/>
      <c r="R14" s="765"/>
      <c r="S14" s="683"/>
    </row>
    <row r="15" spans="1:19" ht="14.4" customHeight="1" thickBot="1" x14ac:dyDescent="0.35">
      <c r="A15" s="767" t="s">
        <v>2135</v>
      </c>
      <c r="B15" s="766">
        <v>10104068</v>
      </c>
      <c r="C15" s="638">
        <v>1</v>
      </c>
      <c r="D15" s="766">
        <v>10630160</v>
      </c>
      <c r="E15" s="638">
        <v>1.0520673455483474</v>
      </c>
      <c r="F15" s="766">
        <v>10281789</v>
      </c>
      <c r="G15" s="649">
        <v>1.0175890542304347</v>
      </c>
      <c r="H15" s="766">
        <v>1029315.27</v>
      </c>
      <c r="I15" s="638">
        <v>1</v>
      </c>
      <c r="J15" s="766">
        <v>1573226.7600000005</v>
      </c>
      <c r="K15" s="638">
        <v>1.5284206946623851</v>
      </c>
      <c r="L15" s="766">
        <v>1830610.2500000009</v>
      </c>
      <c r="M15" s="649">
        <v>1.7784738100698738</v>
      </c>
      <c r="N15" s="766"/>
      <c r="O15" s="638"/>
      <c r="P15" s="766"/>
      <c r="Q15" s="638"/>
      <c r="R15" s="766"/>
      <c r="S15" s="68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32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7" bestFit="1" customWidth="1"/>
    <col min="2" max="2" width="8.6640625" style="257" bestFit="1" customWidth="1"/>
    <col min="3" max="3" width="2.109375" style="257" bestFit="1" customWidth="1"/>
    <col min="4" max="4" width="8" style="257" bestFit="1" customWidth="1"/>
    <col min="5" max="5" width="52.88671875" style="257" bestFit="1" customWidth="1"/>
    <col min="6" max="7" width="11.109375" style="340" customWidth="1"/>
    <col min="8" max="9" width="9.33203125" style="340" hidden="1" customWidth="1"/>
    <col min="10" max="11" width="11.109375" style="340" customWidth="1"/>
    <col min="12" max="13" width="9.33203125" style="340" hidden="1" customWidth="1"/>
    <col min="14" max="15" width="11.109375" style="340" customWidth="1"/>
    <col min="16" max="16" width="11.109375" style="343" customWidth="1"/>
    <col min="17" max="17" width="11.109375" style="340" customWidth="1"/>
    <col min="18" max="16384" width="8.88671875" style="257"/>
  </cols>
  <sheetData>
    <row r="1" spans="1:17" ht="18.600000000000001" customHeight="1" thickBot="1" x14ac:dyDescent="0.4">
      <c r="A1" s="458" t="s">
        <v>2577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</row>
    <row r="2" spans="1:17" ht="14.4" customHeight="1" thickBot="1" x14ac:dyDescent="0.35">
      <c r="A2" s="386" t="s">
        <v>321</v>
      </c>
      <c r="B2" s="258"/>
      <c r="C2" s="258"/>
      <c r="D2" s="258"/>
      <c r="E2" s="258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2"/>
      <c r="Q2" s="361"/>
    </row>
    <row r="3" spans="1:17" ht="14.4" customHeight="1" thickBot="1" x14ac:dyDescent="0.35">
      <c r="E3" s="112" t="s">
        <v>160</v>
      </c>
      <c r="F3" s="214">
        <f t="shared" ref="F3:O3" si="0">SUBTOTAL(9,F6:F1048576)</f>
        <v>3381.66</v>
      </c>
      <c r="G3" s="215">
        <f t="shared" si="0"/>
        <v>11135265.27</v>
      </c>
      <c r="H3" s="215"/>
      <c r="I3" s="215"/>
      <c r="J3" s="215">
        <f t="shared" si="0"/>
        <v>4558.8999999999996</v>
      </c>
      <c r="K3" s="215">
        <f t="shared" si="0"/>
        <v>12207098.76</v>
      </c>
      <c r="L3" s="215"/>
      <c r="M3" s="215"/>
      <c r="N3" s="215">
        <f t="shared" si="0"/>
        <v>3764.6500000000005</v>
      </c>
      <c r="O3" s="215">
        <f t="shared" si="0"/>
        <v>12112863.25</v>
      </c>
      <c r="P3" s="79">
        <f>IF(G3=0,0,O3/G3)</f>
        <v>1.0877929673246123</v>
      </c>
      <c r="Q3" s="216">
        <f>IF(N3=0,0,O3/N3)</f>
        <v>3217.5270609485606</v>
      </c>
    </row>
    <row r="4" spans="1:17" ht="14.4" customHeight="1" x14ac:dyDescent="0.3">
      <c r="A4" s="532" t="s">
        <v>74</v>
      </c>
      <c r="B4" s="531" t="s">
        <v>119</v>
      </c>
      <c r="C4" s="532" t="s">
        <v>120</v>
      </c>
      <c r="D4" s="533" t="s">
        <v>121</v>
      </c>
      <c r="E4" s="534" t="s">
        <v>81</v>
      </c>
      <c r="F4" s="538">
        <v>2012</v>
      </c>
      <c r="G4" s="539"/>
      <c r="H4" s="217"/>
      <c r="I4" s="217"/>
      <c r="J4" s="538">
        <v>2013</v>
      </c>
      <c r="K4" s="539"/>
      <c r="L4" s="217"/>
      <c r="M4" s="217"/>
      <c r="N4" s="538">
        <v>2014</v>
      </c>
      <c r="O4" s="539"/>
      <c r="P4" s="540" t="s">
        <v>2</v>
      </c>
      <c r="Q4" s="530" t="s">
        <v>122</v>
      </c>
    </row>
    <row r="5" spans="1:17" ht="14.4" customHeight="1" thickBot="1" x14ac:dyDescent="0.35">
      <c r="A5" s="756"/>
      <c r="B5" s="755"/>
      <c r="C5" s="756"/>
      <c r="D5" s="757"/>
      <c r="E5" s="758"/>
      <c r="F5" s="768" t="s">
        <v>91</v>
      </c>
      <c r="G5" s="769" t="s">
        <v>14</v>
      </c>
      <c r="H5" s="770"/>
      <c r="I5" s="770"/>
      <c r="J5" s="768" t="s">
        <v>91</v>
      </c>
      <c r="K5" s="769" t="s">
        <v>14</v>
      </c>
      <c r="L5" s="770"/>
      <c r="M5" s="770"/>
      <c r="N5" s="768" t="s">
        <v>91</v>
      </c>
      <c r="O5" s="769" t="s">
        <v>14</v>
      </c>
      <c r="P5" s="771"/>
      <c r="Q5" s="763"/>
    </row>
    <row r="6" spans="1:17" ht="14.4" customHeight="1" x14ac:dyDescent="0.3">
      <c r="A6" s="696" t="s">
        <v>2136</v>
      </c>
      <c r="B6" s="697" t="s">
        <v>2109</v>
      </c>
      <c r="C6" s="697" t="s">
        <v>2110</v>
      </c>
      <c r="D6" s="697" t="s">
        <v>2115</v>
      </c>
      <c r="E6" s="697" t="s">
        <v>2116</v>
      </c>
      <c r="F6" s="232">
        <v>1</v>
      </c>
      <c r="G6" s="232">
        <v>231</v>
      </c>
      <c r="H6" s="232">
        <v>1</v>
      </c>
      <c r="I6" s="232">
        <v>231</v>
      </c>
      <c r="J6" s="232"/>
      <c r="K6" s="232"/>
      <c r="L6" s="232"/>
      <c r="M6" s="232"/>
      <c r="N6" s="232"/>
      <c r="O6" s="232"/>
      <c r="P6" s="702"/>
      <c r="Q6" s="710"/>
    </row>
    <row r="7" spans="1:17" ht="14.4" customHeight="1" x14ac:dyDescent="0.3">
      <c r="A7" s="631" t="s">
        <v>2137</v>
      </c>
      <c r="B7" s="632" t="s">
        <v>2109</v>
      </c>
      <c r="C7" s="632" t="s">
        <v>2110</v>
      </c>
      <c r="D7" s="632" t="s">
        <v>2115</v>
      </c>
      <c r="E7" s="632" t="s">
        <v>2116</v>
      </c>
      <c r="F7" s="635">
        <v>1</v>
      </c>
      <c r="G7" s="635">
        <v>231</v>
      </c>
      <c r="H7" s="635">
        <v>1</v>
      </c>
      <c r="I7" s="635">
        <v>231</v>
      </c>
      <c r="J7" s="635">
        <v>4</v>
      </c>
      <c r="K7" s="635">
        <v>928</v>
      </c>
      <c r="L7" s="635">
        <v>4.0173160173160172</v>
      </c>
      <c r="M7" s="635">
        <v>232</v>
      </c>
      <c r="N7" s="635"/>
      <c r="O7" s="635"/>
      <c r="P7" s="657"/>
      <c r="Q7" s="636"/>
    </row>
    <row r="8" spans="1:17" ht="14.4" customHeight="1" x14ac:dyDescent="0.3">
      <c r="A8" s="631" t="s">
        <v>2138</v>
      </c>
      <c r="B8" s="632" t="s">
        <v>2109</v>
      </c>
      <c r="C8" s="632" t="s">
        <v>2110</v>
      </c>
      <c r="D8" s="632" t="s">
        <v>2115</v>
      </c>
      <c r="E8" s="632" t="s">
        <v>2116</v>
      </c>
      <c r="F8" s="635"/>
      <c r="G8" s="635"/>
      <c r="H8" s="635"/>
      <c r="I8" s="635"/>
      <c r="J8" s="635">
        <v>4</v>
      </c>
      <c r="K8" s="635">
        <v>928</v>
      </c>
      <c r="L8" s="635"/>
      <c r="M8" s="635">
        <v>232</v>
      </c>
      <c r="N8" s="635"/>
      <c r="O8" s="635"/>
      <c r="P8" s="657"/>
      <c r="Q8" s="636"/>
    </row>
    <row r="9" spans="1:17" ht="14.4" customHeight="1" x14ac:dyDescent="0.3">
      <c r="A9" s="631" t="s">
        <v>2139</v>
      </c>
      <c r="B9" s="632" t="s">
        <v>2109</v>
      </c>
      <c r="C9" s="632" t="s">
        <v>2110</v>
      </c>
      <c r="D9" s="632" t="s">
        <v>2115</v>
      </c>
      <c r="E9" s="632" t="s">
        <v>2116</v>
      </c>
      <c r="F9" s="635">
        <v>2</v>
      </c>
      <c r="G9" s="635">
        <v>462</v>
      </c>
      <c r="H9" s="635">
        <v>1</v>
      </c>
      <c r="I9" s="635">
        <v>231</v>
      </c>
      <c r="J9" s="635">
        <v>5</v>
      </c>
      <c r="K9" s="635">
        <v>1160</v>
      </c>
      <c r="L9" s="635">
        <v>2.5108225108225106</v>
      </c>
      <c r="M9" s="635">
        <v>232</v>
      </c>
      <c r="N9" s="635">
        <v>1</v>
      </c>
      <c r="O9" s="635">
        <v>232</v>
      </c>
      <c r="P9" s="657">
        <v>0.50216450216450215</v>
      </c>
      <c r="Q9" s="636">
        <v>232</v>
      </c>
    </row>
    <row r="10" spans="1:17" ht="14.4" customHeight="1" x14ac:dyDescent="0.3">
      <c r="A10" s="631" t="s">
        <v>2140</v>
      </c>
      <c r="B10" s="632" t="s">
        <v>2109</v>
      </c>
      <c r="C10" s="632" t="s">
        <v>2110</v>
      </c>
      <c r="D10" s="632" t="s">
        <v>2113</v>
      </c>
      <c r="E10" s="632" t="s">
        <v>2114</v>
      </c>
      <c r="F10" s="635">
        <v>1</v>
      </c>
      <c r="G10" s="635">
        <v>34</v>
      </c>
      <c r="H10" s="635">
        <v>1</v>
      </c>
      <c r="I10" s="635">
        <v>34</v>
      </c>
      <c r="J10" s="635"/>
      <c r="K10" s="635"/>
      <c r="L10" s="635"/>
      <c r="M10" s="635"/>
      <c r="N10" s="635"/>
      <c r="O10" s="635"/>
      <c r="P10" s="657"/>
      <c r="Q10" s="636"/>
    </row>
    <row r="11" spans="1:17" ht="14.4" customHeight="1" x14ac:dyDescent="0.3">
      <c r="A11" s="631" t="s">
        <v>2140</v>
      </c>
      <c r="B11" s="632" t="s">
        <v>2109</v>
      </c>
      <c r="C11" s="632" t="s">
        <v>2110</v>
      </c>
      <c r="D11" s="632" t="s">
        <v>2115</v>
      </c>
      <c r="E11" s="632" t="s">
        <v>2116</v>
      </c>
      <c r="F11" s="635">
        <v>1</v>
      </c>
      <c r="G11" s="635">
        <v>231</v>
      </c>
      <c r="H11" s="635">
        <v>1</v>
      </c>
      <c r="I11" s="635">
        <v>231</v>
      </c>
      <c r="J11" s="635"/>
      <c r="K11" s="635"/>
      <c r="L11" s="635"/>
      <c r="M11" s="635"/>
      <c r="N11" s="635"/>
      <c r="O11" s="635"/>
      <c r="P11" s="657"/>
      <c r="Q11" s="636"/>
    </row>
    <row r="12" spans="1:17" ht="14.4" customHeight="1" x14ac:dyDescent="0.3">
      <c r="A12" s="631" t="s">
        <v>2141</v>
      </c>
      <c r="B12" s="632" t="s">
        <v>2109</v>
      </c>
      <c r="C12" s="632" t="s">
        <v>2110</v>
      </c>
      <c r="D12" s="632" t="s">
        <v>2115</v>
      </c>
      <c r="E12" s="632" t="s">
        <v>2116</v>
      </c>
      <c r="F12" s="635"/>
      <c r="G12" s="635"/>
      <c r="H12" s="635"/>
      <c r="I12" s="635"/>
      <c r="J12" s="635"/>
      <c r="K12" s="635"/>
      <c r="L12" s="635"/>
      <c r="M12" s="635"/>
      <c r="N12" s="635">
        <v>1</v>
      </c>
      <c r="O12" s="635">
        <v>232</v>
      </c>
      <c r="P12" s="657"/>
      <c r="Q12" s="636">
        <v>232</v>
      </c>
    </row>
    <row r="13" spans="1:17" ht="14.4" customHeight="1" x14ac:dyDescent="0.3">
      <c r="A13" s="631" t="s">
        <v>2142</v>
      </c>
      <c r="B13" s="632" t="s">
        <v>2109</v>
      </c>
      <c r="C13" s="632" t="s">
        <v>2110</v>
      </c>
      <c r="D13" s="632" t="s">
        <v>2115</v>
      </c>
      <c r="E13" s="632" t="s">
        <v>2116</v>
      </c>
      <c r="F13" s="635">
        <v>2</v>
      </c>
      <c r="G13" s="635">
        <v>462</v>
      </c>
      <c r="H13" s="635">
        <v>1</v>
      </c>
      <c r="I13" s="635">
        <v>231</v>
      </c>
      <c r="J13" s="635">
        <v>2</v>
      </c>
      <c r="K13" s="635">
        <v>464</v>
      </c>
      <c r="L13" s="635">
        <v>1.0043290043290043</v>
      </c>
      <c r="M13" s="635">
        <v>232</v>
      </c>
      <c r="N13" s="635"/>
      <c r="O13" s="635"/>
      <c r="P13" s="657"/>
      <c r="Q13" s="636"/>
    </row>
    <row r="14" spans="1:17" ht="14.4" customHeight="1" x14ac:dyDescent="0.3">
      <c r="A14" s="631" t="s">
        <v>2143</v>
      </c>
      <c r="B14" s="632" t="s">
        <v>2109</v>
      </c>
      <c r="C14" s="632" t="s">
        <v>2110</v>
      </c>
      <c r="D14" s="632" t="s">
        <v>2115</v>
      </c>
      <c r="E14" s="632" t="s">
        <v>2116</v>
      </c>
      <c r="F14" s="635">
        <v>1</v>
      </c>
      <c r="G14" s="635">
        <v>231</v>
      </c>
      <c r="H14" s="635">
        <v>1</v>
      </c>
      <c r="I14" s="635">
        <v>231</v>
      </c>
      <c r="J14" s="635"/>
      <c r="K14" s="635"/>
      <c r="L14" s="635"/>
      <c r="M14" s="635"/>
      <c r="N14" s="635"/>
      <c r="O14" s="635"/>
      <c r="P14" s="657"/>
      <c r="Q14" s="636"/>
    </row>
    <row r="15" spans="1:17" ht="14.4" customHeight="1" x14ac:dyDescent="0.3">
      <c r="A15" s="631" t="s">
        <v>2144</v>
      </c>
      <c r="B15" s="632" t="s">
        <v>2109</v>
      </c>
      <c r="C15" s="632" t="s">
        <v>2110</v>
      </c>
      <c r="D15" s="632" t="s">
        <v>2115</v>
      </c>
      <c r="E15" s="632" t="s">
        <v>2116</v>
      </c>
      <c r="F15" s="635"/>
      <c r="G15" s="635"/>
      <c r="H15" s="635"/>
      <c r="I15" s="635"/>
      <c r="J15" s="635">
        <v>1</v>
      </c>
      <c r="K15" s="635">
        <v>232</v>
      </c>
      <c r="L15" s="635"/>
      <c r="M15" s="635">
        <v>232</v>
      </c>
      <c r="N15" s="635"/>
      <c r="O15" s="635"/>
      <c r="P15" s="657"/>
      <c r="Q15" s="636"/>
    </row>
    <row r="16" spans="1:17" ht="14.4" customHeight="1" x14ac:dyDescent="0.3">
      <c r="A16" s="631" t="s">
        <v>512</v>
      </c>
      <c r="B16" s="632" t="s">
        <v>2145</v>
      </c>
      <c r="C16" s="632" t="s">
        <v>2110</v>
      </c>
      <c r="D16" s="632" t="s">
        <v>2146</v>
      </c>
      <c r="E16" s="632" t="s">
        <v>2147</v>
      </c>
      <c r="F16" s="635"/>
      <c r="G16" s="635"/>
      <c r="H16" s="635"/>
      <c r="I16" s="635"/>
      <c r="J16" s="635"/>
      <c r="K16" s="635"/>
      <c r="L16" s="635"/>
      <c r="M16" s="635"/>
      <c r="N16" s="635">
        <v>1</v>
      </c>
      <c r="O16" s="635">
        <v>611</v>
      </c>
      <c r="P16" s="657"/>
      <c r="Q16" s="636">
        <v>611</v>
      </c>
    </row>
    <row r="17" spans="1:17" ht="14.4" customHeight="1" x14ac:dyDescent="0.3">
      <c r="A17" s="631" t="s">
        <v>512</v>
      </c>
      <c r="B17" s="632" t="s">
        <v>2145</v>
      </c>
      <c r="C17" s="632" t="s">
        <v>2110</v>
      </c>
      <c r="D17" s="632" t="s">
        <v>2148</v>
      </c>
      <c r="E17" s="632" t="s">
        <v>2149</v>
      </c>
      <c r="F17" s="635"/>
      <c r="G17" s="635"/>
      <c r="H17" s="635"/>
      <c r="I17" s="635"/>
      <c r="J17" s="635"/>
      <c r="K17" s="635"/>
      <c r="L17" s="635"/>
      <c r="M17" s="635"/>
      <c r="N17" s="635">
        <v>1</v>
      </c>
      <c r="O17" s="635">
        <v>39</v>
      </c>
      <c r="P17" s="657"/>
      <c r="Q17" s="636">
        <v>39</v>
      </c>
    </row>
    <row r="18" spans="1:17" ht="14.4" customHeight="1" x14ac:dyDescent="0.3">
      <c r="A18" s="631" t="s">
        <v>512</v>
      </c>
      <c r="B18" s="632" t="s">
        <v>2145</v>
      </c>
      <c r="C18" s="632" t="s">
        <v>2110</v>
      </c>
      <c r="D18" s="632" t="s">
        <v>2150</v>
      </c>
      <c r="E18" s="632" t="s">
        <v>2151</v>
      </c>
      <c r="F18" s="635"/>
      <c r="G18" s="635"/>
      <c r="H18" s="635"/>
      <c r="I18" s="635"/>
      <c r="J18" s="635"/>
      <c r="K18" s="635"/>
      <c r="L18" s="635"/>
      <c r="M18" s="635"/>
      <c r="N18" s="635">
        <v>1</v>
      </c>
      <c r="O18" s="635">
        <v>689</v>
      </c>
      <c r="P18" s="657"/>
      <c r="Q18" s="636">
        <v>689</v>
      </c>
    </row>
    <row r="19" spans="1:17" ht="14.4" customHeight="1" x14ac:dyDescent="0.3">
      <c r="A19" s="631" t="s">
        <v>512</v>
      </c>
      <c r="B19" s="632" t="s">
        <v>2152</v>
      </c>
      <c r="C19" s="632" t="s">
        <v>2110</v>
      </c>
      <c r="D19" s="632" t="s">
        <v>2153</v>
      </c>
      <c r="E19" s="632" t="s">
        <v>2154</v>
      </c>
      <c r="F19" s="635">
        <v>3</v>
      </c>
      <c r="G19" s="635">
        <v>8013</v>
      </c>
      <c r="H19" s="635">
        <v>1</v>
      </c>
      <c r="I19" s="635">
        <v>2671</v>
      </c>
      <c r="J19" s="635">
        <v>7</v>
      </c>
      <c r="K19" s="635">
        <v>18746</v>
      </c>
      <c r="L19" s="635">
        <v>2.3394483963559218</v>
      </c>
      <c r="M19" s="635">
        <v>2678</v>
      </c>
      <c r="N19" s="635">
        <v>5</v>
      </c>
      <c r="O19" s="635">
        <v>13390</v>
      </c>
      <c r="P19" s="657">
        <v>1.6710345688256583</v>
      </c>
      <c r="Q19" s="636">
        <v>2678</v>
      </c>
    </row>
    <row r="20" spans="1:17" ht="14.4" customHeight="1" x14ac:dyDescent="0.3">
      <c r="A20" s="631" t="s">
        <v>512</v>
      </c>
      <c r="B20" s="632" t="s">
        <v>2152</v>
      </c>
      <c r="C20" s="632" t="s">
        <v>2110</v>
      </c>
      <c r="D20" s="632" t="s">
        <v>2155</v>
      </c>
      <c r="E20" s="632" t="s">
        <v>2156</v>
      </c>
      <c r="F20" s="635"/>
      <c r="G20" s="635"/>
      <c r="H20" s="635"/>
      <c r="I20" s="635"/>
      <c r="J20" s="635">
        <v>1</v>
      </c>
      <c r="K20" s="635">
        <v>5940</v>
      </c>
      <c r="L20" s="635"/>
      <c r="M20" s="635">
        <v>5940</v>
      </c>
      <c r="N20" s="635"/>
      <c r="O20" s="635"/>
      <c r="P20" s="657"/>
      <c r="Q20" s="636"/>
    </row>
    <row r="21" spans="1:17" ht="14.4" customHeight="1" x14ac:dyDescent="0.3">
      <c r="A21" s="631" t="s">
        <v>512</v>
      </c>
      <c r="B21" s="632" t="s">
        <v>2152</v>
      </c>
      <c r="C21" s="632" t="s">
        <v>2110</v>
      </c>
      <c r="D21" s="632" t="s">
        <v>552</v>
      </c>
      <c r="E21" s="632" t="s">
        <v>2157</v>
      </c>
      <c r="F21" s="635"/>
      <c r="G21" s="635"/>
      <c r="H21" s="635"/>
      <c r="I21" s="635"/>
      <c r="J21" s="635"/>
      <c r="K21" s="635"/>
      <c r="L21" s="635"/>
      <c r="M21" s="635"/>
      <c r="N21" s="635">
        <v>3</v>
      </c>
      <c r="O21" s="635">
        <v>7110</v>
      </c>
      <c r="P21" s="657"/>
      <c r="Q21" s="636">
        <v>2370</v>
      </c>
    </row>
    <row r="22" spans="1:17" ht="14.4" customHeight="1" x14ac:dyDescent="0.3">
      <c r="A22" s="631" t="s">
        <v>512</v>
      </c>
      <c r="B22" s="632" t="s">
        <v>2152</v>
      </c>
      <c r="C22" s="632" t="s">
        <v>2110</v>
      </c>
      <c r="D22" s="632" t="s">
        <v>2158</v>
      </c>
      <c r="E22" s="632" t="s">
        <v>2159</v>
      </c>
      <c r="F22" s="635"/>
      <c r="G22" s="635"/>
      <c r="H22" s="635"/>
      <c r="I22" s="635"/>
      <c r="J22" s="635"/>
      <c r="K22" s="635"/>
      <c r="L22" s="635"/>
      <c r="M22" s="635"/>
      <c r="N22" s="635">
        <v>1</v>
      </c>
      <c r="O22" s="635">
        <v>3340</v>
      </c>
      <c r="P22" s="657"/>
      <c r="Q22" s="636">
        <v>3340</v>
      </c>
    </row>
    <row r="23" spans="1:17" ht="14.4" customHeight="1" x14ac:dyDescent="0.3">
      <c r="A23" s="631" t="s">
        <v>512</v>
      </c>
      <c r="B23" s="632" t="s">
        <v>2152</v>
      </c>
      <c r="C23" s="632" t="s">
        <v>2110</v>
      </c>
      <c r="D23" s="632" t="s">
        <v>2160</v>
      </c>
      <c r="E23" s="632" t="s">
        <v>2161</v>
      </c>
      <c r="F23" s="635"/>
      <c r="G23" s="635"/>
      <c r="H23" s="635"/>
      <c r="I23" s="635"/>
      <c r="J23" s="635"/>
      <c r="K23" s="635"/>
      <c r="L23" s="635"/>
      <c r="M23" s="635"/>
      <c r="N23" s="635">
        <v>1</v>
      </c>
      <c r="O23" s="635">
        <v>4218</v>
      </c>
      <c r="P23" s="657"/>
      <c r="Q23" s="636">
        <v>4218</v>
      </c>
    </row>
    <row r="24" spans="1:17" ht="14.4" customHeight="1" x14ac:dyDescent="0.3">
      <c r="A24" s="631" t="s">
        <v>512</v>
      </c>
      <c r="B24" s="632" t="s">
        <v>2152</v>
      </c>
      <c r="C24" s="632" t="s">
        <v>2110</v>
      </c>
      <c r="D24" s="632" t="s">
        <v>2162</v>
      </c>
      <c r="E24" s="632" t="s">
        <v>2163</v>
      </c>
      <c r="F24" s="635">
        <v>2</v>
      </c>
      <c r="G24" s="635">
        <v>4092</v>
      </c>
      <c r="H24" s="635">
        <v>1</v>
      </c>
      <c r="I24" s="635">
        <v>2046</v>
      </c>
      <c r="J24" s="635">
        <v>8</v>
      </c>
      <c r="K24" s="635">
        <v>16424</v>
      </c>
      <c r="L24" s="635">
        <v>4.0136852394916911</v>
      </c>
      <c r="M24" s="635">
        <v>2053</v>
      </c>
      <c r="N24" s="635">
        <v>2</v>
      </c>
      <c r="O24" s="635">
        <v>4106</v>
      </c>
      <c r="P24" s="657">
        <v>1.0034213098729228</v>
      </c>
      <c r="Q24" s="636">
        <v>2053</v>
      </c>
    </row>
    <row r="25" spans="1:17" ht="14.4" customHeight="1" x14ac:dyDescent="0.3">
      <c r="A25" s="631" t="s">
        <v>512</v>
      </c>
      <c r="B25" s="632" t="s">
        <v>2152</v>
      </c>
      <c r="C25" s="632" t="s">
        <v>2110</v>
      </c>
      <c r="D25" s="632" t="s">
        <v>2164</v>
      </c>
      <c r="E25" s="632" t="s">
        <v>2165</v>
      </c>
      <c r="F25" s="635"/>
      <c r="G25" s="635"/>
      <c r="H25" s="635"/>
      <c r="I25" s="635"/>
      <c r="J25" s="635"/>
      <c r="K25" s="635"/>
      <c r="L25" s="635"/>
      <c r="M25" s="635"/>
      <c r="N25" s="635">
        <v>1</v>
      </c>
      <c r="O25" s="635">
        <v>1617</v>
      </c>
      <c r="P25" s="657"/>
      <c r="Q25" s="636">
        <v>1617</v>
      </c>
    </row>
    <row r="26" spans="1:17" ht="14.4" customHeight="1" x14ac:dyDescent="0.3">
      <c r="A26" s="631" t="s">
        <v>512</v>
      </c>
      <c r="B26" s="632" t="s">
        <v>2152</v>
      </c>
      <c r="C26" s="632" t="s">
        <v>2110</v>
      </c>
      <c r="D26" s="632" t="s">
        <v>2166</v>
      </c>
      <c r="E26" s="632" t="s">
        <v>2167</v>
      </c>
      <c r="F26" s="635"/>
      <c r="G26" s="635"/>
      <c r="H26" s="635"/>
      <c r="I26" s="635"/>
      <c r="J26" s="635">
        <v>1</v>
      </c>
      <c r="K26" s="635">
        <v>2222</v>
      </c>
      <c r="L26" s="635"/>
      <c r="M26" s="635">
        <v>2222</v>
      </c>
      <c r="N26" s="635"/>
      <c r="O26" s="635"/>
      <c r="P26" s="657"/>
      <c r="Q26" s="636"/>
    </row>
    <row r="27" spans="1:17" ht="14.4" customHeight="1" x14ac:dyDescent="0.3">
      <c r="A27" s="631" t="s">
        <v>512</v>
      </c>
      <c r="B27" s="632" t="s">
        <v>2152</v>
      </c>
      <c r="C27" s="632" t="s">
        <v>2110</v>
      </c>
      <c r="D27" s="632" t="s">
        <v>2168</v>
      </c>
      <c r="E27" s="632" t="s">
        <v>2169</v>
      </c>
      <c r="F27" s="635"/>
      <c r="G27" s="635"/>
      <c r="H27" s="635"/>
      <c r="I27" s="635"/>
      <c r="J27" s="635">
        <v>1</v>
      </c>
      <c r="K27" s="635">
        <v>2677</v>
      </c>
      <c r="L27" s="635"/>
      <c r="M27" s="635">
        <v>2677</v>
      </c>
      <c r="N27" s="635">
        <v>1</v>
      </c>
      <c r="O27" s="635">
        <v>2677</v>
      </c>
      <c r="P27" s="657"/>
      <c r="Q27" s="636">
        <v>2677</v>
      </c>
    </row>
    <row r="28" spans="1:17" ht="14.4" customHeight="1" x14ac:dyDescent="0.3">
      <c r="A28" s="631" t="s">
        <v>512</v>
      </c>
      <c r="B28" s="632" t="s">
        <v>2152</v>
      </c>
      <c r="C28" s="632" t="s">
        <v>2110</v>
      </c>
      <c r="D28" s="632" t="s">
        <v>2170</v>
      </c>
      <c r="E28" s="632" t="s">
        <v>2171</v>
      </c>
      <c r="F28" s="635">
        <v>1</v>
      </c>
      <c r="G28" s="635">
        <v>5148</v>
      </c>
      <c r="H28" s="635">
        <v>1</v>
      </c>
      <c r="I28" s="635">
        <v>5148</v>
      </c>
      <c r="J28" s="635"/>
      <c r="K28" s="635"/>
      <c r="L28" s="635"/>
      <c r="M28" s="635"/>
      <c r="N28" s="635">
        <v>3</v>
      </c>
      <c r="O28" s="635">
        <v>15444</v>
      </c>
      <c r="P28" s="657">
        <v>3</v>
      </c>
      <c r="Q28" s="636">
        <v>5148</v>
      </c>
    </row>
    <row r="29" spans="1:17" ht="14.4" customHeight="1" x14ac:dyDescent="0.3">
      <c r="A29" s="631" t="s">
        <v>512</v>
      </c>
      <c r="B29" s="632" t="s">
        <v>2152</v>
      </c>
      <c r="C29" s="632" t="s">
        <v>2110</v>
      </c>
      <c r="D29" s="632" t="s">
        <v>2172</v>
      </c>
      <c r="E29" s="632" t="s">
        <v>2173</v>
      </c>
      <c r="F29" s="635"/>
      <c r="G29" s="635"/>
      <c r="H29" s="635"/>
      <c r="I29" s="635"/>
      <c r="J29" s="635">
        <v>1</v>
      </c>
      <c r="K29" s="635">
        <v>681</v>
      </c>
      <c r="L29" s="635"/>
      <c r="M29" s="635">
        <v>681</v>
      </c>
      <c r="N29" s="635"/>
      <c r="O29" s="635"/>
      <c r="P29" s="657"/>
      <c r="Q29" s="636"/>
    </row>
    <row r="30" spans="1:17" ht="14.4" customHeight="1" x14ac:dyDescent="0.3">
      <c r="A30" s="631" t="s">
        <v>512</v>
      </c>
      <c r="B30" s="632" t="s">
        <v>2152</v>
      </c>
      <c r="C30" s="632" t="s">
        <v>2110</v>
      </c>
      <c r="D30" s="632" t="s">
        <v>2174</v>
      </c>
      <c r="E30" s="632" t="s">
        <v>2175</v>
      </c>
      <c r="F30" s="635">
        <v>1</v>
      </c>
      <c r="G30" s="635">
        <v>3506</v>
      </c>
      <c r="H30" s="635">
        <v>1</v>
      </c>
      <c r="I30" s="635">
        <v>3506</v>
      </c>
      <c r="J30" s="635"/>
      <c r="K30" s="635"/>
      <c r="L30" s="635"/>
      <c r="M30" s="635"/>
      <c r="N30" s="635"/>
      <c r="O30" s="635"/>
      <c r="P30" s="657"/>
      <c r="Q30" s="636"/>
    </row>
    <row r="31" spans="1:17" ht="14.4" customHeight="1" x14ac:dyDescent="0.3">
      <c r="A31" s="631" t="s">
        <v>512</v>
      </c>
      <c r="B31" s="632" t="s">
        <v>2152</v>
      </c>
      <c r="C31" s="632" t="s">
        <v>2110</v>
      </c>
      <c r="D31" s="632" t="s">
        <v>2176</v>
      </c>
      <c r="E31" s="632" t="s">
        <v>2177</v>
      </c>
      <c r="F31" s="635"/>
      <c r="G31" s="635"/>
      <c r="H31" s="635"/>
      <c r="I31" s="635"/>
      <c r="J31" s="635">
        <v>1</v>
      </c>
      <c r="K31" s="635">
        <v>8930</v>
      </c>
      <c r="L31" s="635"/>
      <c r="M31" s="635">
        <v>8930</v>
      </c>
      <c r="N31" s="635"/>
      <c r="O31" s="635"/>
      <c r="P31" s="657"/>
      <c r="Q31" s="636"/>
    </row>
    <row r="32" spans="1:17" ht="14.4" customHeight="1" x14ac:dyDescent="0.3">
      <c r="A32" s="631" t="s">
        <v>512</v>
      </c>
      <c r="B32" s="632" t="s">
        <v>2152</v>
      </c>
      <c r="C32" s="632" t="s">
        <v>2110</v>
      </c>
      <c r="D32" s="632" t="s">
        <v>2178</v>
      </c>
      <c r="E32" s="632" t="s">
        <v>2179</v>
      </c>
      <c r="F32" s="635">
        <v>1</v>
      </c>
      <c r="G32" s="635">
        <v>4738</v>
      </c>
      <c r="H32" s="635">
        <v>1</v>
      </c>
      <c r="I32" s="635">
        <v>4738</v>
      </c>
      <c r="J32" s="635"/>
      <c r="K32" s="635"/>
      <c r="L32" s="635"/>
      <c r="M32" s="635"/>
      <c r="N32" s="635"/>
      <c r="O32" s="635"/>
      <c r="P32" s="657"/>
      <c r="Q32" s="636"/>
    </row>
    <row r="33" spans="1:17" ht="14.4" customHeight="1" x14ac:dyDescent="0.3">
      <c r="A33" s="631" t="s">
        <v>512</v>
      </c>
      <c r="B33" s="632" t="s">
        <v>2152</v>
      </c>
      <c r="C33" s="632" t="s">
        <v>2110</v>
      </c>
      <c r="D33" s="632" t="s">
        <v>2180</v>
      </c>
      <c r="E33" s="632" t="s">
        <v>2181</v>
      </c>
      <c r="F33" s="635"/>
      <c r="G33" s="635"/>
      <c r="H33" s="635"/>
      <c r="I33" s="635"/>
      <c r="J33" s="635">
        <v>1</v>
      </c>
      <c r="K33" s="635">
        <v>4236</v>
      </c>
      <c r="L33" s="635"/>
      <c r="M33" s="635">
        <v>4236</v>
      </c>
      <c r="N33" s="635"/>
      <c r="O33" s="635"/>
      <c r="P33" s="657"/>
      <c r="Q33" s="636"/>
    </row>
    <row r="34" spans="1:17" ht="14.4" customHeight="1" x14ac:dyDescent="0.3">
      <c r="A34" s="631" t="s">
        <v>512</v>
      </c>
      <c r="B34" s="632" t="s">
        <v>2152</v>
      </c>
      <c r="C34" s="632" t="s">
        <v>2110</v>
      </c>
      <c r="D34" s="632" t="s">
        <v>2182</v>
      </c>
      <c r="E34" s="632" t="s">
        <v>2183</v>
      </c>
      <c r="F34" s="635"/>
      <c r="G34" s="635"/>
      <c r="H34" s="635"/>
      <c r="I34" s="635"/>
      <c r="J34" s="635">
        <v>1</v>
      </c>
      <c r="K34" s="635">
        <v>1354</v>
      </c>
      <c r="L34" s="635"/>
      <c r="M34" s="635">
        <v>1354</v>
      </c>
      <c r="N34" s="635"/>
      <c r="O34" s="635"/>
      <c r="P34" s="657"/>
      <c r="Q34" s="636"/>
    </row>
    <row r="35" spans="1:17" ht="14.4" customHeight="1" x14ac:dyDescent="0.3">
      <c r="A35" s="631" t="s">
        <v>512</v>
      </c>
      <c r="B35" s="632" t="s">
        <v>2152</v>
      </c>
      <c r="C35" s="632" t="s">
        <v>2110</v>
      </c>
      <c r="D35" s="632" t="s">
        <v>2184</v>
      </c>
      <c r="E35" s="632" t="s">
        <v>2185</v>
      </c>
      <c r="F35" s="635">
        <v>3</v>
      </c>
      <c r="G35" s="635">
        <v>2400</v>
      </c>
      <c r="H35" s="635">
        <v>1</v>
      </c>
      <c r="I35" s="635">
        <v>800</v>
      </c>
      <c r="J35" s="635">
        <v>6</v>
      </c>
      <c r="K35" s="635">
        <v>4836</v>
      </c>
      <c r="L35" s="635">
        <v>2.0150000000000001</v>
      </c>
      <c r="M35" s="635">
        <v>806</v>
      </c>
      <c r="N35" s="635">
        <v>5</v>
      </c>
      <c r="O35" s="635">
        <v>4030</v>
      </c>
      <c r="P35" s="657">
        <v>1.6791666666666667</v>
      </c>
      <c r="Q35" s="636">
        <v>806</v>
      </c>
    </row>
    <row r="36" spans="1:17" ht="14.4" customHeight="1" x14ac:dyDescent="0.3">
      <c r="A36" s="631" t="s">
        <v>512</v>
      </c>
      <c r="B36" s="632" t="s">
        <v>2152</v>
      </c>
      <c r="C36" s="632" t="s">
        <v>2110</v>
      </c>
      <c r="D36" s="632" t="s">
        <v>2186</v>
      </c>
      <c r="E36" s="632" t="s">
        <v>2187</v>
      </c>
      <c r="F36" s="635"/>
      <c r="G36" s="635"/>
      <c r="H36" s="635"/>
      <c r="I36" s="635"/>
      <c r="J36" s="635"/>
      <c r="K36" s="635"/>
      <c r="L36" s="635"/>
      <c r="M36" s="635"/>
      <c r="N36" s="635">
        <v>1</v>
      </c>
      <c r="O36" s="635">
        <v>3875</v>
      </c>
      <c r="P36" s="657"/>
      <c r="Q36" s="636">
        <v>3875</v>
      </c>
    </row>
    <row r="37" spans="1:17" ht="14.4" customHeight="1" x14ac:dyDescent="0.3">
      <c r="A37" s="631" t="s">
        <v>512</v>
      </c>
      <c r="B37" s="632" t="s">
        <v>2152</v>
      </c>
      <c r="C37" s="632" t="s">
        <v>2110</v>
      </c>
      <c r="D37" s="632" t="s">
        <v>2188</v>
      </c>
      <c r="E37" s="632" t="s">
        <v>2189</v>
      </c>
      <c r="F37" s="635"/>
      <c r="G37" s="635"/>
      <c r="H37" s="635"/>
      <c r="I37" s="635"/>
      <c r="J37" s="635">
        <v>5</v>
      </c>
      <c r="K37" s="635">
        <v>0</v>
      </c>
      <c r="L37" s="635"/>
      <c r="M37" s="635">
        <v>0</v>
      </c>
      <c r="N37" s="635">
        <v>2</v>
      </c>
      <c r="O37" s="635">
        <v>0</v>
      </c>
      <c r="P37" s="657"/>
      <c r="Q37" s="636">
        <v>0</v>
      </c>
    </row>
    <row r="38" spans="1:17" ht="14.4" customHeight="1" x14ac:dyDescent="0.3">
      <c r="A38" s="631" t="s">
        <v>512</v>
      </c>
      <c r="B38" s="632" t="s">
        <v>2152</v>
      </c>
      <c r="C38" s="632" t="s">
        <v>2110</v>
      </c>
      <c r="D38" s="632" t="s">
        <v>2190</v>
      </c>
      <c r="E38" s="632" t="s">
        <v>2191</v>
      </c>
      <c r="F38" s="635"/>
      <c r="G38" s="635"/>
      <c r="H38" s="635"/>
      <c r="I38" s="635"/>
      <c r="J38" s="635"/>
      <c r="K38" s="635"/>
      <c r="L38" s="635"/>
      <c r="M38" s="635"/>
      <c r="N38" s="635">
        <v>1</v>
      </c>
      <c r="O38" s="635">
        <v>0</v>
      </c>
      <c r="P38" s="657"/>
      <c r="Q38" s="636">
        <v>0</v>
      </c>
    </row>
    <row r="39" spans="1:17" ht="14.4" customHeight="1" x14ac:dyDescent="0.3">
      <c r="A39" s="631" t="s">
        <v>512</v>
      </c>
      <c r="B39" s="632" t="s">
        <v>2152</v>
      </c>
      <c r="C39" s="632" t="s">
        <v>2110</v>
      </c>
      <c r="D39" s="632" t="s">
        <v>2192</v>
      </c>
      <c r="E39" s="632" t="s">
        <v>2193</v>
      </c>
      <c r="F39" s="635"/>
      <c r="G39" s="635"/>
      <c r="H39" s="635"/>
      <c r="I39" s="635"/>
      <c r="J39" s="635"/>
      <c r="K39" s="635"/>
      <c r="L39" s="635"/>
      <c r="M39" s="635"/>
      <c r="N39" s="635">
        <v>1</v>
      </c>
      <c r="O39" s="635">
        <v>0</v>
      </c>
      <c r="P39" s="657"/>
      <c r="Q39" s="636">
        <v>0</v>
      </c>
    </row>
    <row r="40" spans="1:17" ht="14.4" customHeight="1" x14ac:dyDescent="0.3">
      <c r="A40" s="631" t="s">
        <v>512</v>
      </c>
      <c r="B40" s="632" t="s">
        <v>2152</v>
      </c>
      <c r="C40" s="632" t="s">
        <v>2110</v>
      </c>
      <c r="D40" s="632" t="s">
        <v>2194</v>
      </c>
      <c r="E40" s="632" t="s">
        <v>2195</v>
      </c>
      <c r="F40" s="635"/>
      <c r="G40" s="635"/>
      <c r="H40" s="635"/>
      <c r="I40" s="635"/>
      <c r="J40" s="635">
        <v>1</v>
      </c>
      <c r="K40" s="635">
        <v>0</v>
      </c>
      <c r="L40" s="635"/>
      <c r="M40" s="635">
        <v>0</v>
      </c>
      <c r="N40" s="635"/>
      <c r="O40" s="635"/>
      <c r="P40" s="657"/>
      <c r="Q40" s="636"/>
    </row>
    <row r="41" spans="1:17" ht="14.4" customHeight="1" x14ac:dyDescent="0.3">
      <c r="A41" s="631" t="s">
        <v>512</v>
      </c>
      <c r="B41" s="632" t="s">
        <v>2152</v>
      </c>
      <c r="C41" s="632" t="s">
        <v>2110</v>
      </c>
      <c r="D41" s="632" t="s">
        <v>2196</v>
      </c>
      <c r="E41" s="632" t="s">
        <v>2197</v>
      </c>
      <c r="F41" s="635"/>
      <c r="G41" s="635"/>
      <c r="H41" s="635"/>
      <c r="I41" s="635"/>
      <c r="J41" s="635">
        <v>1</v>
      </c>
      <c r="K41" s="635">
        <v>0</v>
      </c>
      <c r="L41" s="635"/>
      <c r="M41" s="635">
        <v>0</v>
      </c>
      <c r="N41" s="635"/>
      <c r="O41" s="635"/>
      <c r="P41" s="657"/>
      <c r="Q41" s="636"/>
    </row>
    <row r="42" spans="1:17" ht="14.4" customHeight="1" x14ac:dyDescent="0.3">
      <c r="A42" s="631" t="s">
        <v>512</v>
      </c>
      <c r="B42" s="632" t="s">
        <v>2152</v>
      </c>
      <c r="C42" s="632" t="s">
        <v>2110</v>
      </c>
      <c r="D42" s="632" t="s">
        <v>2198</v>
      </c>
      <c r="E42" s="632" t="s">
        <v>2199</v>
      </c>
      <c r="F42" s="635"/>
      <c r="G42" s="635"/>
      <c r="H42" s="635"/>
      <c r="I42" s="635"/>
      <c r="J42" s="635"/>
      <c r="K42" s="635"/>
      <c r="L42" s="635"/>
      <c r="M42" s="635"/>
      <c r="N42" s="635">
        <v>1</v>
      </c>
      <c r="O42" s="635">
        <v>0</v>
      </c>
      <c r="P42" s="657"/>
      <c r="Q42" s="636">
        <v>0</v>
      </c>
    </row>
    <row r="43" spans="1:17" ht="14.4" customHeight="1" x14ac:dyDescent="0.3">
      <c r="A43" s="631" t="s">
        <v>512</v>
      </c>
      <c r="B43" s="632" t="s">
        <v>2152</v>
      </c>
      <c r="C43" s="632" t="s">
        <v>2110</v>
      </c>
      <c r="D43" s="632" t="s">
        <v>2200</v>
      </c>
      <c r="E43" s="632" t="s">
        <v>2201</v>
      </c>
      <c r="F43" s="635"/>
      <c r="G43" s="635"/>
      <c r="H43" s="635"/>
      <c r="I43" s="635"/>
      <c r="J43" s="635"/>
      <c r="K43" s="635"/>
      <c r="L43" s="635"/>
      <c r="M43" s="635"/>
      <c r="N43" s="635">
        <v>1</v>
      </c>
      <c r="O43" s="635">
        <v>0</v>
      </c>
      <c r="P43" s="657"/>
      <c r="Q43" s="636">
        <v>0</v>
      </c>
    </row>
    <row r="44" spans="1:17" ht="14.4" customHeight="1" x14ac:dyDescent="0.3">
      <c r="A44" s="631" t="s">
        <v>512</v>
      </c>
      <c r="B44" s="632" t="s">
        <v>2152</v>
      </c>
      <c r="C44" s="632" t="s">
        <v>2110</v>
      </c>
      <c r="D44" s="632" t="s">
        <v>2202</v>
      </c>
      <c r="E44" s="632" t="s">
        <v>2203</v>
      </c>
      <c r="F44" s="635"/>
      <c r="G44" s="635"/>
      <c r="H44" s="635"/>
      <c r="I44" s="635"/>
      <c r="J44" s="635"/>
      <c r="K44" s="635"/>
      <c r="L44" s="635"/>
      <c r="M44" s="635"/>
      <c r="N44" s="635">
        <v>1</v>
      </c>
      <c r="O44" s="635">
        <v>0</v>
      </c>
      <c r="P44" s="657"/>
      <c r="Q44" s="636">
        <v>0</v>
      </c>
    </row>
    <row r="45" spans="1:17" ht="14.4" customHeight="1" x14ac:dyDescent="0.3">
      <c r="A45" s="631" t="s">
        <v>512</v>
      </c>
      <c r="B45" s="632" t="s">
        <v>2152</v>
      </c>
      <c r="C45" s="632" t="s">
        <v>2110</v>
      </c>
      <c r="D45" s="632" t="s">
        <v>2204</v>
      </c>
      <c r="E45" s="632" t="s">
        <v>2205</v>
      </c>
      <c r="F45" s="635"/>
      <c r="G45" s="635"/>
      <c r="H45" s="635"/>
      <c r="I45" s="635"/>
      <c r="J45" s="635">
        <v>1</v>
      </c>
      <c r="K45" s="635">
        <v>0</v>
      </c>
      <c r="L45" s="635"/>
      <c r="M45" s="635">
        <v>0</v>
      </c>
      <c r="N45" s="635"/>
      <c r="O45" s="635"/>
      <c r="P45" s="657"/>
      <c r="Q45" s="636"/>
    </row>
    <row r="46" spans="1:17" ht="14.4" customHeight="1" x14ac:dyDescent="0.3">
      <c r="A46" s="631" t="s">
        <v>512</v>
      </c>
      <c r="B46" s="632" t="s">
        <v>2152</v>
      </c>
      <c r="C46" s="632" t="s">
        <v>2110</v>
      </c>
      <c r="D46" s="632" t="s">
        <v>2206</v>
      </c>
      <c r="E46" s="632" t="s">
        <v>2207</v>
      </c>
      <c r="F46" s="635"/>
      <c r="G46" s="635"/>
      <c r="H46" s="635"/>
      <c r="I46" s="635"/>
      <c r="J46" s="635">
        <v>1</v>
      </c>
      <c r="K46" s="635">
        <v>0</v>
      </c>
      <c r="L46" s="635"/>
      <c r="M46" s="635">
        <v>0</v>
      </c>
      <c r="N46" s="635"/>
      <c r="O46" s="635"/>
      <c r="P46" s="657"/>
      <c r="Q46" s="636"/>
    </row>
    <row r="47" spans="1:17" ht="14.4" customHeight="1" x14ac:dyDescent="0.3">
      <c r="A47" s="631" t="s">
        <v>512</v>
      </c>
      <c r="B47" s="632" t="s">
        <v>2152</v>
      </c>
      <c r="C47" s="632" t="s">
        <v>2110</v>
      </c>
      <c r="D47" s="632" t="s">
        <v>2208</v>
      </c>
      <c r="E47" s="632" t="s">
        <v>2209</v>
      </c>
      <c r="F47" s="635"/>
      <c r="G47" s="635"/>
      <c r="H47" s="635"/>
      <c r="I47" s="635"/>
      <c r="J47" s="635">
        <v>5</v>
      </c>
      <c r="K47" s="635">
        <v>0</v>
      </c>
      <c r="L47" s="635"/>
      <c r="M47" s="635">
        <v>0</v>
      </c>
      <c r="N47" s="635">
        <v>2</v>
      </c>
      <c r="O47" s="635">
        <v>0</v>
      </c>
      <c r="P47" s="657"/>
      <c r="Q47" s="636">
        <v>0</v>
      </c>
    </row>
    <row r="48" spans="1:17" ht="14.4" customHeight="1" x14ac:dyDescent="0.3">
      <c r="A48" s="631" t="s">
        <v>512</v>
      </c>
      <c r="B48" s="632" t="s">
        <v>2152</v>
      </c>
      <c r="C48" s="632" t="s">
        <v>2110</v>
      </c>
      <c r="D48" s="632" t="s">
        <v>2210</v>
      </c>
      <c r="E48" s="632" t="s">
        <v>2211</v>
      </c>
      <c r="F48" s="635">
        <v>2</v>
      </c>
      <c r="G48" s="635">
        <v>1482</v>
      </c>
      <c r="H48" s="635">
        <v>1</v>
      </c>
      <c r="I48" s="635">
        <v>741</v>
      </c>
      <c r="J48" s="635">
        <v>1</v>
      </c>
      <c r="K48" s="635">
        <v>745</v>
      </c>
      <c r="L48" s="635">
        <v>0.5026990553306343</v>
      </c>
      <c r="M48" s="635">
        <v>745</v>
      </c>
      <c r="N48" s="635">
        <v>1</v>
      </c>
      <c r="O48" s="635">
        <v>745</v>
      </c>
      <c r="P48" s="657">
        <v>0.5026990553306343</v>
      </c>
      <c r="Q48" s="636">
        <v>745</v>
      </c>
    </row>
    <row r="49" spans="1:17" ht="14.4" customHeight="1" x14ac:dyDescent="0.3">
      <c r="A49" s="631" t="s">
        <v>512</v>
      </c>
      <c r="B49" s="632" t="s">
        <v>2152</v>
      </c>
      <c r="C49" s="632" t="s">
        <v>2110</v>
      </c>
      <c r="D49" s="632" t="s">
        <v>2212</v>
      </c>
      <c r="E49" s="632" t="s">
        <v>2213</v>
      </c>
      <c r="F49" s="635"/>
      <c r="G49" s="635"/>
      <c r="H49" s="635"/>
      <c r="I49" s="635"/>
      <c r="J49" s="635"/>
      <c r="K49" s="635"/>
      <c r="L49" s="635"/>
      <c r="M49" s="635"/>
      <c r="N49" s="635">
        <v>1</v>
      </c>
      <c r="O49" s="635">
        <v>2702</v>
      </c>
      <c r="P49" s="657"/>
      <c r="Q49" s="636">
        <v>2702</v>
      </c>
    </row>
    <row r="50" spans="1:17" ht="14.4" customHeight="1" x14ac:dyDescent="0.3">
      <c r="A50" s="631" t="s">
        <v>512</v>
      </c>
      <c r="B50" s="632" t="s">
        <v>2152</v>
      </c>
      <c r="C50" s="632" t="s">
        <v>2110</v>
      </c>
      <c r="D50" s="632" t="s">
        <v>2214</v>
      </c>
      <c r="E50" s="632" t="s">
        <v>2215</v>
      </c>
      <c r="F50" s="635"/>
      <c r="G50" s="635"/>
      <c r="H50" s="635"/>
      <c r="I50" s="635"/>
      <c r="J50" s="635">
        <v>1</v>
      </c>
      <c r="K50" s="635">
        <v>668</v>
      </c>
      <c r="L50" s="635"/>
      <c r="M50" s="635">
        <v>668</v>
      </c>
      <c r="N50" s="635"/>
      <c r="O50" s="635"/>
      <c r="P50" s="657"/>
      <c r="Q50" s="636"/>
    </row>
    <row r="51" spans="1:17" ht="14.4" customHeight="1" x14ac:dyDescent="0.3">
      <c r="A51" s="631" t="s">
        <v>512</v>
      </c>
      <c r="B51" s="632" t="s">
        <v>2152</v>
      </c>
      <c r="C51" s="632" t="s">
        <v>2110</v>
      </c>
      <c r="D51" s="632" t="s">
        <v>2216</v>
      </c>
      <c r="E51" s="632" t="s">
        <v>2217</v>
      </c>
      <c r="F51" s="635">
        <v>1</v>
      </c>
      <c r="G51" s="635">
        <v>794</v>
      </c>
      <c r="H51" s="635">
        <v>1</v>
      </c>
      <c r="I51" s="635">
        <v>794</v>
      </c>
      <c r="J51" s="635">
        <v>1</v>
      </c>
      <c r="K51" s="635">
        <v>800</v>
      </c>
      <c r="L51" s="635">
        <v>1.0075566750629723</v>
      </c>
      <c r="M51" s="635">
        <v>800</v>
      </c>
      <c r="N51" s="635">
        <v>1</v>
      </c>
      <c r="O51" s="635">
        <v>800</v>
      </c>
      <c r="P51" s="657">
        <v>1.0075566750629723</v>
      </c>
      <c r="Q51" s="636">
        <v>800</v>
      </c>
    </row>
    <row r="52" spans="1:17" ht="14.4" customHeight="1" x14ac:dyDescent="0.3">
      <c r="A52" s="631" t="s">
        <v>512</v>
      </c>
      <c r="B52" s="632" t="s">
        <v>2152</v>
      </c>
      <c r="C52" s="632" t="s">
        <v>2110</v>
      </c>
      <c r="D52" s="632" t="s">
        <v>2218</v>
      </c>
      <c r="E52" s="632" t="s">
        <v>2219</v>
      </c>
      <c r="F52" s="635"/>
      <c r="G52" s="635"/>
      <c r="H52" s="635"/>
      <c r="I52" s="635"/>
      <c r="J52" s="635">
        <v>1</v>
      </c>
      <c r="K52" s="635">
        <v>6077</v>
      </c>
      <c r="L52" s="635"/>
      <c r="M52" s="635">
        <v>6077</v>
      </c>
      <c r="N52" s="635"/>
      <c r="O52" s="635"/>
      <c r="P52" s="657"/>
      <c r="Q52" s="636"/>
    </row>
    <row r="53" spans="1:17" ht="14.4" customHeight="1" x14ac:dyDescent="0.3">
      <c r="A53" s="631" t="s">
        <v>512</v>
      </c>
      <c r="B53" s="632" t="s">
        <v>2152</v>
      </c>
      <c r="C53" s="632" t="s">
        <v>2110</v>
      </c>
      <c r="D53" s="632" t="s">
        <v>2220</v>
      </c>
      <c r="E53" s="632" t="s">
        <v>2221</v>
      </c>
      <c r="F53" s="635">
        <v>1</v>
      </c>
      <c r="G53" s="635">
        <v>9000</v>
      </c>
      <c r="H53" s="635">
        <v>1</v>
      </c>
      <c r="I53" s="635">
        <v>9000</v>
      </c>
      <c r="J53" s="635">
        <v>2</v>
      </c>
      <c r="K53" s="635">
        <v>18068</v>
      </c>
      <c r="L53" s="635">
        <v>2.0075555555555558</v>
      </c>
      <c r="M53" s="635">
        <v>9034</v>
      </c>
      <c r="N53" s="635">
        <v>3</v>
      </c>
      <c r="O53" s="635">
        <v>27102</v>
      </c>
      <c r="P53" s="657">
        <v>3.0113333333333334</v>
      </c>
      <c r="Q53" s="636">
        <v>9034</v>
      </c>
    </row>
    <row r="54" spans="1:17" ht="14.4" customHeight="1" x14ac:dyDescent="0.3">
      <c r="A54" s="631" t="s">
        <v>512</v>
      </c>
      <c r="B54" s="632" t="s">
        <v>2152</v>
      </c>
      <c r="C54" s="632" t="s">
        <v>2110</v>
      </c>
      <c r="D54" s="632" t="s">
        <v>2222</v>
      </c>
      <c r="E54" s="632" t="s">
        <v>2223</v>
      </c>
      <c r="F54" s="635"/>
      <c r="G54" s="635"/>
      <c r="H54" s="635"/>
      <c r="I54" s="635"/>
      <c r="J54" s="635">
        <v>1</v>
      </c>
      <c r="K54" s="635">
        <v>431</v>
      </c>
      <c r="L54" s="635"/>
      <c r="M54" s="635">
        <v>431</v>
      </c>
      <c r="N54" s="635">
        <v>1</v>
      </c>
      <c r="O54" s="635">
        <v>431</v>
      </c>
      <c r="P54" s="657"/>
      <c r="Q54" s="636">
        <v>431</v>
      </c>
    </row>
    <row r="55" spans="1:17" ht="14.4" customHeight="1" x14ac:dyDescent="0.3">
      <c r="A55" s="631" t="s">
        <v>512</v>
      </c>
      <c r="B55" s="632" t="s">
        <v>2152</v>
      </c>
      <c r="C55" s="632" t="s">
        <v>2110</v>
      </c>
      <c r="D55" s="632" t="s">
        <v>2224</v>
      </c>
      <c r="E55" s="632" t="s">
        <v>2225</v>
      </c>
      <c r="F55" s="635">
        <v>1</v>
      </c>
      <c r="G55" s="635">
        <v>842</v>
      </c>
      <c r="H55" s="635">
        <v>1</v>
      </c>
      <c r="I55" s="635">
        <v>842</v>
      </c>
      <c r="J55" s="635"/>
      <c r="K55" s="635"/>
      <c r="L55" s="635"/>
      <c r="M55" s="635"/>
      <c r="N55" s="635">
        <v>6</v>
      </c>
      <c r="O55" s="635">
        <v>5070</v>
      </c>
      <c r="P55" s="657">
        <v>6.0213776722090264</v>
      </c>
      <c r="Q55" s="636">
        <v>845</v>
      </c>
    </row>
    <row r="56" spans="1:17" ht="14.4" customHeight="1" x14ac:dyDescent="0.3">
      <c r="A56" s="631" t="s">
        <v>512</v>
      </c>
      <c r="B56" s="632" t="s">
        <v>2152</v>
      </c>
      <c r="C56" s="632" t="s">
        <v>2110</v>
      </c>
      <c r="D56" s="632" t="s">
        <v>2226</v>
      </c>
      <c r="E56" s="632" t="s">
        <v>2227</v>
      </c>
      <c r="F56" s="635">
        <v>2</v>
      </c>
      <c r="G56" s="635">
        <v>6892</v>
      </c>
      <c r="H56" s="635">
        <v>1</v>
      </c>
      <c r="I56" s="635">
        <v>3446</v>
      </c>
      <c r="J56" s="635">
        <v>1</v>
      </c>
      <c r="K56" s="635">
        <v>3459</v>
      </c>
      <c r="L56" s="635">
        <v>0.50188624492164824</v>
      </c>
      <c r="M56" s="635">
        <v>3459</v>
      </c>
      <c r="N56" s="635">
        <v>1</v>
      </c>
      <c r="O56" s="635">
        <v>3459</v>
      </c>
      <c r="P56" s="657">
        <v>0.50188624492164824</v>
      </c>
      <c r="Q56" s="636">
        <v>3459</v>
      </c>
    </row>
    <row r="57" spans="1:17" ht="14.4" customHeight="1" x14ac:dyDescent="0.3">
      <c r="A57" s="631" t="s">
        <v>512</v>
      </c>
      <c r="B57" s="632" t="s">
        <v>2152</v>
      </c>
      <c r="C57" s="632" t="s">
        <v>2110</v>
      </c>
      <c r="D57" s="632" t="s">
        <v>2228</v>
      </c>
      <c r="E57" s="632" t="s">
        <v>2229</v>
      </c>
      <c r="F57" s="635">
        <v>1</v>
      </c>
      <c r="G57" s="635">
        <v>176</v>
      </c>
      <c r="H57" s="635">
        <v>1</v>
      </c>
      <c r="I57" s="635">
        <v>176</v>
      </c>
      <c r="J57" s="635"/>
      <c r="K57" s="635"/>
      <c r="L57" s="635"/>
      <c r="M57" s="635"/>
      <c r="N57" s="635"/>
      <c r="O57" s="635"/>
      <c r="P57" s="657"/>
      <c r="Q57" s="636"/>
    </row>
    <row r="58" spans="1:17" ht="14.4" customHeight="1" x14ac:dyDescent="0.3">
      <c r="A58" s="631" t="s">
        <v>512</v>
      </c>
      <c r="B58" s="632" t="s">
        <v>2152</v>
      </c>
      <c r="C58" s="632" t="s">
        <v>2110</v>
      </c>
      <c r="D58" s="632" t="s">
        <v>550</v>
      </c>
      <c r="E58" s="632" t="s">
        <v>2230</v>
      </c>
      <c r="F58" s="635"/>
      <c r="G58" s="635"/>
      <c r="H58" s="635"/>
      <c r="I58" s="635"/>
      <c r="J58" s="635">
        <v>2</v>
      </c>
      <c r="K58" s="635">
        <v>3784</v>
      </c>
      <c r="L58" s="635"/>
      <c r="M58" s="635">
        <v>1892</v>
      </c>
      <c r="N58" s="635"/>
      <c r="O58" s="635"/>
      <c r="P58" s="657"/>
      <c r="Q58" s="636"/>
    </row>
    <row r="59" spans="1:17" ht="14.4" customHeight="1" x14ac:dyDescent="0.3">
      <c r="A59" s="631" t="s">
        <v>512</v>
      </c>
      <c r="B59" s="632" t="s">
        <v>2152</v>
      </c>
      <c r="C59" s="632" t="s">
        <v>2110</v>
      </c>
      <c r="D59" s="632" t="s">
        <v>2231</v>
      </c>
      <c r="E59" s="632" t="s">
        <v>2232</v>
      </c>
      <c r="F59" s="635"/>
      <c r="G59" s="635"/>
      <c r="H59" s="635"/>
      <c r="I59" s="635"/>
      <c r="J59" s="635">
        <v>1</v>
      </c>
      <c r="K59" s="635">
        <v>628</v>
      </c>
      <c r="L59" s="635"/>
      <c r="M59" s="635">
        <v>628</v>
      </c>
      <c r="N59" s="635"/>
      <c r="O59" s="635"/>
      <c r="P59" s="657"/>
      <c r="Q59" s="636"/>
    </row>
    <row r="60" spans="1:17" ht="14.4" customHeight="1" x14ac:dyDescent="0.3">
      <c r="A60" s="631" t="s">
        <v>512</v>
      </c>
      <c r="B60" s="632" t="s">
        <v>2152</v>
      </c>
      <c r="C60" s="632" t="s">
        <v>2110</v>
      </c>
      <c r="D60" s="632" t="s">
        <v>2233</v>
      </c>
      <c r="E60" s="632" t="s">
        <v>2234</v>
      </c>
      <c r="F60" s="635">
        <v>1</v>
      </c>
      <c r="G60" s="635">
        <v>14860</v>
      </c>
      <c r="H60" s="635">
        <v>1</v>
      </c>
      <c r="I60" s="635">
        <v>14860</v>
      </c>
      <c r="J60" s="635"/>
      <c r="K60" s="635"/>
      <c r="L60" s="635"/>
      <c r="M60" s="635"/>
      <c r="N60" s="635"/>
      <c r="O60" s="635"/>
      <c r="P60" s="657"/>
      <c r="Q60" s="636"/>
    </row>
    <row r="61" spans="1:17" ht="14.4" customHeight="1" x14ac:dyDescent="0.3">
      <c r="A61" s="631" t="s">
        <v>512</v>
      </c>
      <c r="B61" s="632" t="s">
        <v>2152</v>
      </c>
      <c r="C61" s="632" t="s">
        <v>2110</v>
      </c>
      <c r="D61" s="632" t="s">
        <v>2235</v>
      </c>
      <c r="E61" s="632" t="s">
        <v>2236</v>
      </c>
      <c r="F61" s="635">
        <v>1</v>
      </c>
      <c r="G61" s="635">
        <v>15311</v>
      </c>
      <c r="H61" s="635">
        <v>1</v>
      </c>
      <c r="I61" s="635">
        <v>15311</v>
      </c>
      <c r="J61" s="635">
        <v>1</v>
      </c>
      <c r="K61" s="635">
        <v>15368</v>
      </c>
      <c r="L61" s="635">
        <v>1.0037228136633793</v>
      </c>
      <c r="M61" s="635">
        <v>15368</v>
      </c>
      <c r="N61" s="635">
        <v>1</v>
      </c>
      <c r="O61" s="635">
        <v>15368</v>
      </c>
      <c r="P61" s="657">
        <v>1.0037228136633793</v>
      </c>
      <c r="Q61" s="636">
        <v>15368</v>
      </c>
    </row>
    <row r="62" spans="1:17" ht="14.4" customHeight="1" x14ac:dyDescent="0.3">
      <c r="A62" s="631" t="s">
        <v>512</v>
      </c>
      <c r="B62" s="632" t="s">
        <v>2152</v>
      </c>
      <c r="C62" s="632" t="s">
        <v>2110</v>
      </c>
      <c r="D62" s="632" t="s">
        <v>2237</v>
      </c>
      <c r="E62" s="632" t="s">
        <v>2238</v>
      </c>
      <c r="F62" s="635"/>
      <c r="G62" s="635"/>
      <c r="H62" s="635"/>
      <c r="I62" s="635"/>
      <c r="J62" s="635">
        <v>1</v>
      </c>
      <c r="K62" s="635">
        <v>0</v>
      </c>
      <c r="L62" s="635"/>
      <c r="M62" s="635">
        <v>0</v>
      </c>
      <c r="N62" s="635"/>
      <c r="O62" s="635"/>
      <c r="P62" s="657"/>
      <c r="Q62" s="636"/>
    </row>
    <row r="63" spans="1:17" ht="14.4" customHeight="1" x14ac:dyDescent="0.3">
      <c r="A63" s="631" t="s">
        <v>512</v>
      </c>
      <c r="B63" s="632" t="s">
        <v>2152</v>
      </c>
      <c r="C63" s="632" t="s">
        <v>2110</v>
      </c>
      <c r="D63" s="632" t="s">
        <v>2239</v>
      </c>
      <c r="E63" s="632" t="s">
        <v>2240</v>
      </c>
      <c r="F63" s="635">
        <v>1</v>
      </c>
      <c r="G63" s="635">
        <v>349</v>
      </c>
      <c r="H63" s="635">
        <v>1</v>
      </c>
      <c r="I63" s="635">
        <v>349</v>
      </c>
      <c r="J63" s="635"/>
      <c r="K63" s="635"/>
      <c r="L63" s="635"/>
      <c r="M63" s="635"/>
      <c r="N63" s="635"/>
      <c r="O63" s="635"/>
      <c r="P63" s="657"/>
      <c r="Q63" s="636"/>
    </row>
    <row r="64" spans="1:17" ht="14.4" customHeight="1" x14ac:dyDescent="0.3">
      <c r="A64" s="631" t="s">
        <v>512</v>
      </c>
      <c r="B64" s="632" t="s">
        <v>2152</v>
      </c>
      <c r="C64" s="632" t="s">
        <v>2110</v>
      </c>
      <c r="D64" s="632" t="s">
        <v>2241</v>
      </c>
      <c r="E64" s="632" t="s">
        <v>2242</v>
      </c>
      <c r="F64" s="635"/>
      <c r="G64" s="635"/>
      <c r="H64" s="635"/>
      <c r="I64" s="635"/>
      <c r="J64" s="635">
        <v>1</v>
      </c>
      <c r="K64" s="635">
        <v>7097</v>
      </c>
      <c r="L64" s="635"/>
      <c r="M64" s="635">
        <v>7097</v>
      </c>
      <c r="N64" s="635"/>
      <c r="O64" s="635"/>
      <c r="P64" s="657"/>
      <c r="Q64" s="636"/>
    </row>
    <row r="65" spans="1:17" ht="14.4" customHeight="1" x14ac:dyDescent="0.3">
      <c r="A65" s="631" t="s">
        <v>512</v>
      </c>
      <c r="B65" s="632" t="s">
        <v>2152</v>
      </c>
      <c r="C65" s="632" t="s">
        <v>2110</v>
      </c>
      <c r="D65" s="632" t="s">
        <v>2243</v>
      </c>
      <c r="E65" s="632" t="s">
        <v>2244</v>
      </c>
      <c r="F65" s="635"/>
      <c r="G65" s="635"/>
      <c r="H65" s="635"/>
      <c r="I65" s="635"/>
      <c r="J65" s="635">
        <v>5</v>
      </c>
      <c r="K65" s="635">
        <v>0</v>
      </c>
      <c r="L65" s="635"/>
      <c r="M65" s="635">
        <v>0</v>
      </c>
      <c r="N65" s="635">
        <v>2</v>
      </c>
      <c r="O65" s="635">
        <v>0</v>
      </c>
      <c r="P65" s="657"/>
      <c r="Q65" s="636">
        <v>0</v>
      </c>
    </row>
    <row r="66" spans="1:17" ht="14.4" customHeight="1" x14ac:dyDescent="0.3">
      <c r="A66" s="631" t="s">
        <v>512</v>
      </c>
      <c r="B66" s="632" t="s">
        <v>2152</v>
      </c>
      <c r="C66" s="632" t="s">
        <v>2110</v>
      </c>
      <c r="D66" s="632" t="s">
        <v>2245</v>
      </c>
      <c r="E66" s="632" t="s">
        <v>2246</v>
      </c>
      <c r="F66" s="635">
        <v>1</v>
      </c>
      <c r="G66" s="635">
        <v>6016</v>
      </c>
      <c r="H66" s="635">
        <v>1</v>
      </c>
      <c r="I66" s="635">
        <v>6016</v>
      </c>
      <c r="J66" s="635">
        <v>1</v>
      </c>
      <c r="K66" s="635">
        <v>6045</v>
      </c>
      <c r="L66" s="635">
        <v>1.0048204787234043</v>
      </c>
      <c r="M66" s="635">
        <v>6045</v>
      </c>
      <c r="N66" s="635"/>
      <c r="O66" s="635"/>
      <c r="P66" s="657"/>
      <c r="Q66" s="636"/>
    </row>
    <row r="67" spans="1:17" ht="14.4" customHeight="1" x14ac:dyDescent="0.3">
      <c r="A67" s="631" t="s">
        <v>512</v>
      </c>
      <c r="B67" s="632" t="s">
        <v>2152</v>
      </c>
      <c r="C67" s="632" t="s">
        <v>2110</v>
      </c>
      <c r="D67" s="632" t="s">
        <v>2247</v>
      </c>
      <c r="E67" s="632" t="s">
        <v>2248</v>
      </c>
      <c r="F67" s="635">
        <v>2</v>
      </c>
      <c r="G67" s="635">
        <v>8640</v>
      </c>
      <c r="H67" s="635">
        <v>1</v>
      </c>
      <c r="I67" s="635">
        <v>4320</v>
      </c>
      <c r="J67" s="635"/>
      <c r="K67" s="635"/>
      <c r="L67" s="635"/>
      <c r="M67" s="635"/>
      <c r="N67" s="635">
        <v>1</v>
      </c>
      <c r="O67" s="635">
        <v>4340</v>
      </c>
      <c r="P67" s="657">
        <v>0.50231481481481477</v>
      </c>
      <c r="Q67" s="636">
        <v>4340</v>
      </c>
    </row>
    <row r="68" spans="1:17" ht="14.4" customHeight="1" x14ac:dyDescent="0.3">
      <c r="A68" s="631" t="s">
        <v>512</v>
      </c>
      <c r="B68" s="632" t="s">
        <v>2152</v>
      </c>
      <c r="C68" s="632" t="s">
        <v>2110</v>
      </c>
      <c r="D68" s="632" t="s">
        <v>2249</v>
      </c>
      <c r="E68" s="632" t="s">
        <v>2250</v>
      </c>
      <c r="F68" s="635"/>
      <c r="G68" s="635"/>
      <c r="H68" s="635"/>
      <c r="I68" s="635"/>
      <c r="J68" s="635">
        <v>2</v>
      </c>
      <c r="K68" s="635">
        <v>6410</v>
      </c>
      <c r="L68" s="635"/>
      <c r="M68" s="635">
        <v>3205</v>
      </c>
      <c r="N68" s="635">
        <v>4</v>
      </c>
      <c r="O68" s="635">
        <v>12820</v>
      </c>
      <c r="P68" s="657"/>
      <c r="Q68" s="636">
        <v>3205</v>
      </c>
    </row>
    <row r="69" spans="1:17" ht="14.4" customHeight="1" x14ac:dyDescent="0.3">
      <c r="A69" s="631" t="s">
        <v>512</v>
      </c>
      <c r="B69" s="632" t="s">
        <v>2152</v>
      </c>
      <c r="C69" s="632" t="s">
        <v>2110</v>
      </c>
      <c r="D69" s="632" t="s">
        <v>2251</v>
      </c>
      <c r="E69" s="632" t="s">
        <v>2252</v>
      </c>
      <c r="F69" s="635"/>
      <c r="G69" s="635"/>
      <c r="H69" s="635"/>
      <c r="I69" s="635"/>
      <c r="J69" s="635">
        <v>4</v>
      </c>
      <c r="K69" s="635">
        <v>7052</v>
      </c>
      <c r="L69" s="635"/>
      <c r="M69" s="635">
        <v>1763</v>
      </c>
      <c r="N69" s="635"/>
      <c r="O69" s="635"/>
      <c r="P69" s="657"/>
      <c r="Q69" s="636"/>
    </row>
    <row r="70" spans="1:17" ht="14.4" customHeight="1" x14ac:dyDescent="0.3">
      <c r="A70" s="631" t="s">
        <v>512</v>
      </c>
      <c r="B70" s="632" t="s">
        <v>2152</v>
      </c>
      <c r="C70" s="632" t="s">
        <v>2110</v>
      </c>
      <c r="D70" s="632" t="s">
        <v>2253</v>
      </c>
      <c r="E70" s="632" t="s">
        <v>2254</v>
      </c>
      <c r="F70" s="635"/>
      <c r="G70" s="635"/>
      <c r="H70" s="635"/>
      <c r="I70" s="635"/>
      <c r="J70" s="635">
        <v>3</v>
      </c>
      <c r="K70" s="635">
        <v>0</v>
      </c>
      <c r="L70" s="635"/>
      <c r="M70" s="635">
        <v>0</v>
      </c>
      <c r="N70" s="635">
        <v>2</v>
      </c>
      <c r="O70" s="635">
        <v>0</v>
      </c>
      <c r="P70" s="657"/>
      <c r="Q70" s="636">
        <v>0</v>
      </c>
    </row>
    <row r="71" spans="1:17" ht="14.4" customHeight="1" x14ac:dyDescent="0.3">
      <c r="A71" s="631" t="s">
        <v>512</v>
      </c>
      <c r="B71" s="632" t="s">
        <v>2152</v>
      </c>
      <c r="C71" s="632" t="s">
        <v>2110</v>
      </c>
      <c r="D71" s="632" t="s">
        <v>2255</v>
      </c>
      <c r="E71" s="632" t="s">
        <v>2256</v>
      </c>
      <c r="F71" s="635"/>
      <c r="G71" s="635"/>
      <c r="H71" s="635"/>
      <c r="I71" s="635"/>
      <c r="J71" s="635"/>
      <c r="K71" s="635"/>
      <c r="L71" s="635"/>
      <c r="M71" s="635"/>
      <c r="N71" s="635">
        <v>1</v>
      </c>
      <c r="O71" s="635">
        <v>2445</v>
      </c>
      <c r="P71" s="657"/>
      <c r="Q71" s="636">
        <v>2445</v>
      </c>
    </row>
    <row r="72" spans="1:17" ht="14.4" customHeight="1" x14ac:dyDescent="0.3">
      <c r="A72" s="631" t="s">
        <v>512</v>
      </c>
      <c r="B72" s="632" t="s">
        <v>2152</v>
      </c>
      <c r="C72" s="632" t="s">
        <v>2110</v>
      </c>
      <c r="D72" s="632" t="s">
        <v>2257</v>
      </c>
      <c r="E72" s="632" t="s">
        <v>2258</v>
      </c>
      <c r="F72" s="635"/>
      <c r="G72" s="635"/>
      <c r="H72" s="635"/>
      <c r="I72" s="635"/>
      <c r="J72" s="635">
        <v>1</v>
      </c>
      <c r="K72" s="635">
        <v>3525</v>
      </c>
      <c r="L72" s="635"/>
      <c r="M72" s="635">
        <v>3525</v>
      </c>
      <c r="N72" s="635"/>
      <c r="O72" s="635"/>
      <c r="P72" s="657"/>
      <c r="Q72" s="636"/>
    </row>
    <row r="73" spans="1:17" ht="14.4" customHeight="1" x14ac:dyDescent="0.3">
      <c r="A73" s="631" t="s">
        <v>512</v>
      </c>
      <c r="B73" s="632" t="s">
        <v>2152</v>
      </c>
      <c r="C73" s="632" t="s">
        <v>2110</v>
      </c>
      <c r="D73" s="632" t="s">
        <v>2259</v>
      </c>
      <c r="E73" s="632" t="s">
        <v>2260</v>
      </c>
      <c r="F73" s="635">
        <v>1</v>
      </c>
      <c r="G73" s="635">
        <v>4594</v>
      </c>
      <c r="H73" s="635">
        <v>1</v>
      </c>
      <c r="I73" s="635">
        <v>4594</v>
      </c>
      <c r="J73" s="635">
        <v>4</v>
      </c>
      <c r="K73" s="635">
        <v>18468</v>
      </c>
      <c r="L73" s="635">
        <v>4.0200261210274268</v>
      </c>
      <c r="M73" s="635">
        <v>4617</v>
      </c>
      <c r="N73" s="635"/>
      <c r="O73" s="635"/>
      <c r="P73" s="657"/>
      <c r="Q73" s="636"/>
    </row>
    <row r="74" spans="1:17" ht="14.4" customHeight="1" x14ac:dyDescent="0.3">
      <c r="A74" s="631" t="s">
        <v>512</v>
      </c>
      <c r="B74" s="632" t="s">
        <v>2152</v>
      </c>
      <c r="C74" s="632" t="s">
        <v>2110</v>
      </c>
      <c r="D74" s="632" t="s">
        <v>2261</v>
      </c>
      <c r="E74" s="632" t="s">
        <v>2262</v>
      </c>
      <c r="F74" s="635"/>
      <c r="G74" s="635"/>
      <c r="H74" s="635"/>
      <c r="I74" s="635"/>
      <c r="J74" s="635"/>
      <c r="K74" s="635"/>
      <c r="L74" s="635"/>
      <c r="M74" s="635"/>
      <c r="N74" s="635">
        <v>1</v>
      </c>
      <c r="O74" s="635">
        <v>4527</v>
      </c>
      <c r="P74" s="657"/>
      <c r="Q74" s="636">
        <v>4527</v>
      </c>
    </row>
    <row r="75" spans="1:17" ht="14.4" customHeight="1" x14ac:dyDescent="0.3">
      <c r="A75" s="631" t="s">
        <v>512</v>
      </c>
      <c r="B75" s="632" t="s">
        <v>2152</v>
      </c>
      <c r="C75" s="632" t="s">
        <v>2110</v>
      </c>
      <c r="D75" s="632" t="s">
        <v>2263</v>
      </c>
      <c r="E75" s="632" t="s">
        <v>2264</v>
      </c>
      <c r="F75" s="635"/>
      <c r="G75" s="635"/>
      <c r="H75" s="635"/>
      <c r="I75" s="635"/>
      <c r="J75" s="635"/>
      <c r="K75" s="635"/>
      <c r="L75" s="635"/>
      <c r="M75" s="635"/>
      <c r="N75" s="635">
        <v>1</v>
      </c>
      <c r="O75" s="635">
        <v>11811</v>
      </c>
      <c r="P75" s="657"/>
      <c r="Q75" s="636">
        <v>11811</v>
      </c>
    </row>
    <row r="76" spans="1:17" ht="14.4" customHeight="1" x14ac:dyDescent="0.3">
      <c r="A76" s="631" t="s">
        <v>512</v>
      </c>
      <c r="B76" s="632" t="s">
        <v>2152</v>
      </c>
      <c r="C76" s="632" t="s">
        <v>2110</v>
      </c>
      <c r="D76" s="632" t="s">
        <v>2265</v>
      </c>
      <c r="E76" s="632" t="s">
        <v>2266</v>
      </c>
      <c r="F76" s="635"/>
      <c r="G76" s="635"/>
      <c r="H76" s="635"/>
      <c r="I76" s="635"/>
      <c r="J76" s="635"/>
      <c r="K76" s="635"/>
      <c r="L76" s="635"/>
      <c r="M76" s="635"/>
      <c r="N76" s="635">
        <v>1</v>
      </c>
      <c r="O76" s="635">
        <v>2331</v>
      </c>
      <c r="P76" s="657"/>
      <c r="Q76" s="636">
        <v>2331</v>
      </c>
    </row>
    <row r="77" spans="1:17" ht="14.4" customHeight="1" x14ac:dyDescent="0.3">
      <c r="A77" s="631" t="s">
        <v>512</v>
      </c>
      <c r="B77" s="632" t="s">
        <v>2152</v>
      </c>
      <c r="C77" s="632" t="s">
        <v>2110</v>
      </c>
      <c r="D77" s="632" t="s">
        <v>2267</v>
      </c>
      <c r="E77" s="632" t="s">
        <v>2268</v>
      </c>
      <c r="F77" s="635">
        <v>1</v>
      </c>
      <c r="G77" s="635">
        <v>6076</v>
      </c>
      <c r="H77" s="635">
        <v>1</v>
      </c>
      <c r="I77" s="635">
        <v>6076</v>
      </c>
      <c r="J77" s="635"/>
      <c r="K77" s="635"/>
      <c r="L77" s="635"/>
      <c r="M77" s="635"/>
      <c r="N77" s="635">
        <v>1</v>
      </c>
      <c r="O77" s="635">
        <v>6105</v>
      </c>
      <c r="P77" s="657">
        <v>1.0047728768926925</v>
      </c>
      <c r="Q77" s="636">
        <v>6105</v>
      </c>
    </row>
    <row r="78" spans="1:17" ht="14.4" customHeight="1" x14ac:dyDescent="0.3">
      <c r="A78" s="631" t="s">
        <v>512</v>
      </c>
      <c r="B78" s="632" t="s">
        <v>2152</v>
      </c>
      <c r="C78" s="632" t="s">
        <v>2110</v>
      </c>
      <c r="D78" s="632" t="s">
        <v>2269</v>
      </c>
      <c r="E78" s="632" t="s">
        <v>2270</v>
      </c>
      <c r="F78" s="635"/>
      <c r="G78" s="635"/>
      <c r="H78" s="635"/>
      <c r="I78" s="635"/>
      <c r="J78" s="635">
        <v>2</v>
      </c>
      <c r="K78" s="635">
        <v>10196</v>
      </c>
      <c r="L78" s="635"/>
      <c r="M78" s="635">
        <v>5098</v>
      </c>
      <c r="N78" s="635"/>
      <c r="O78" s="635"/>
      <c r="P78" s="657"/>
      <c r="Q78" s="636"/>
    </row>
    <row r="79" spans="1:17" ht="14.4" customHeight="1" x14ac:dyDescent="0.3">
      <c r="A79" s="631" t="s">
        <v>512</v>
      </c>
      <c r="B79" s="632" t="s">
        <v>2152</v>
      </c>
      <c r="C79" s="632" t="s">
        <v>2110</v>
      </c>
      <c r="D79" s="632" t="s">
        <v>2271</v>
      </c>
      <c r="E79" s="632" t="s">
        <v>2272</v>
      </c>
      <c r="F79" s="635"/>
      <c r="G79" s="635"/>
      <c r="H79" s="635"/>
      <c r="I79" s="635"/>
      <c r="J79" s="635">
        <v>1</v>
      </c>
      <c r="K79" s="635">
        <v>0</v>
      </c>
      <c r="L79" s="635"/>
      <c r="M79" s="635">
        <v>0</v>
      </c>
      <c r="N79" s="635"/>
      <c r="O79" s="635"/>
      <c r="P79" s="657"/>
      <c r="Q79" s="636"/>
    </row>
    <row r="80" spans="1:17" ht="14.4" customHeight="1" x14ac:dyDescent="0.3">
      <c r="A80" s="631" t="s">
        <v>512</v>
      </c>
      <c r="B80" s="632" t="s">
        <v>2152</v>
      </c>
      <c r="C80" s="632" t="s">
        <v>2110</v>
      </c>
      <c r="D80" s="632" t="s">
        <v>2273</v>
      </c>
      <c r="E80" s="632" t="s">
        <v>2274</v>
      </c>
      <c r="F80" s="635">
        <v>1</v>
      </c>
      <c r="G80" s="635">
        <v>10559</v>
      </c>
      <c r="H80" s="635">
        <v>1</v>
      </c>
      <c r="I80" s="635">
        <v>10559</v>
      </c>
      <c r="J80" s="635"/>
      <c r="K80" s="635"/>
      <c r="L80" s="635"/>
      <c r="M80" s="635"/>
      <c r="N80" s="635">
        <v>1</v>
      </c>
      <c r="O80" s="635">
        <v>10597</v>
      </c>
      <c r="P80" s="657">
        <v>1.0035988256463679</v>
      </c>
      <c r="Q80" s="636">
        <v>10597</v>
      </c>
    </row>
    <row r="81" spans="1:17" ht="14.4" customHeight="1" x14ac:dyDescent="0.3">
      <c r="A81" s="631" t="s">
        <v>512</v>
      </c>
      <c r="B81" s="632" t="s">
        <v>2152</v>
      </c>
      <c r="C81" s="632" t="s">
        <v>2110</v>
      </c>
      <c r="D81" s="632" t="s">
        <v>2275</v>
      </c>
      <c r="E81" s="632" t="s">
        <v>2276</v>
      </c>
      <c r="F81" s="635">
        <v>1</v>
      </c>
      <c r="G81" s="635">
        <v>3963</v>
      </c>
      <c r="H81" s="635">
        <v>1</v>
      </c>
      <c r="I81" s="635">
        <v>3963</v>
      </c>
      <c r="J81" s="635">
        <v>1</v>
      </c>
      <c r="K81" s="635">
        <v>3975</v>
      </c>
      <c r="L81" s="635">
        <v>1.0030280090840273</v>
      </c>
      <c r="M81" s="635">
        <v>3975</v>
      </c>
      <c r="N81" s="635"/>
      <c r="O81" s="635"/>
      <c r="P81" s="657"/>
      <c r="Q81" s="636"/>
    </row>
    <row r="82" spans="1:17" ht="14.4" customHeight="1" x14ac:dyDescent="0.3">
      <c r="A82" s="631" t="s">
        <v>512</v>
      </c>
      <c r="B82" s="632" t="s">
        <v>2152</v>
      </c>
      <c r="C82" s="632" t="s">
        <v>2110</v>
      </c>
      <c r="D82" s="632" t="s">
        <v>2277</v>
      </c>
      <c r="E82" s="632" t="s">
        <v>2278</v>
      </c>
      <c r="F82" s="635"/>
      <c r="G82" s="635"/>
      <c r="H82" s="635"/>
      <c r="I82" s="635"/>
      <c r="J82" s="635"/>
      <c r="K82" s="635"/>
      <c r="L82" s="635"/>
      <c r="M82" s="635"/>
      <c r="N82" s="635">
        <v>1</v>
      </c>
      <c r="O82" s="635">
        <v>0</v>
      </c>
      <c r="P82" s="657"/>
      <c r="Q82" s="636">
        <v>0</v>
      </c>
    </row>
    <row r="83" spans="1:17" ht="14.4" customHeight="1" x14ac:dyDescent="0.3">
      <c r="A83" s="631" t="s">
        <v>512</v>
      </c>
      <c r="B83" s="632" t="s">
        <v>2152</v>
      </c>
      <c r="C83" s="632" t="s">
        <v>2110</v>
      </c>
      <c r="D83" s="632" t="s">
        <v>2279</v>
      </c>
      <c r="E83" s="632" t="s">
        <v>2280</v>
      </c>
      <c r="F83" s="635"/>
      <c r="G83" s="635"/>
      <c r="H83" s="635"/>
      <c r="I83" s="635"/>
      <c r="J83" s="635"/>
      <c r="K83" s="635"/>
      <c r="L83" s="635"/>
      <c r="M83" s="635"/>
      <c r="N83" s="635">
        <v>1</v>
      </c>
      <c r="O83" s="635">
        <v>249</v>
      </c>
      <c r="P83" s="657"/>
      <c r="Q83" s="636">
        <v>249</v>
      </c>
    </row>
    <row r="84" spans="1:17" ht="14.4" customHeight="1" x14ac:dyDescent="0.3">
      <c r="A84" s="631" t="s">
        <v>512</v>
      </c>
      <c r="B84" s="632" t="s">
        <v>2152</v>
      </c>
      <c r="C84" s="632" t="s">
        <v>2110</v>
      </c>
      <c r="D84" s="632" t="s">
        <v>2281</v>
      </c>
      <c r="E84" s="632" t="s">
        <v>2282</v>
      </c>
      <c r="F84" s="635"/>
      <c r="G84" s="635"/>
      <c r="H84" s="635"/>
      <c r="I84" s="635"/>
      <c r="J84" s="635">
        <v>1</v>
      </c>
      <c r="K84" s="635">
        <v>0</v>
      </c>
      <c r="L84" s="635"/>
      <c r="M84" s="635">
        <v>0</v>
      </c>
      <c r="N84" s="635"/>
      <c r="O84" s="635"/>
      <c r="P84" s="657"/>
      <c r="Q84" s="636"/>
    </row>
    <row r="85" spans="1:17" ht="14.4" customHeight="1" x14ac:dyDescent="0.3">
      <c r="A85" s="631" t="s">
        <v>512</v>
      </c>
      <c r="B85" s="632" t="s">
        <v>2152</v>
      </c>
      <c r="C85" s="632" t="s">
        <v>2110</v>
      </c>
      <c r="D85" s="632" t="s">
        <v>2283</v>
      </c>
      <c r="E85" s="632" t="s">
        <v>2284</v>
      </c>
      <c r="F85" s="635">
        <v>2</v>
      </c>
      <c r="G85" s="635">
        <v>3826</v>
      </c>
      <c r="H85" s="635">
        <v>1</v>
      </c>
      <c r="I85" s="635">
        <v>1913</v>
      </c>
      <c r="J85" s="635"/>
      <c r="K85" s="635"/>
      <c r="L85" s="635"/>
      <c r="M85" s="635"/>
      <c r="N85" s="635"/>
      <c r="O85" s="635"/>
      <c r="P85" s="657"/>
      <c r="Q85" s="636"/>
    </row>
    <row r="86" spans="1:17" ht="14.4" customHeight="1" x14ac:dyDescent="0.3">
      <c r="A86" s="631" t="s">
        <v>512</v>
      </c>
      <c r="B86" s="632" t="s">
        <v>2152</v>
      </c>
      <c r="C86" s="632" t="s">
        <v>2110</v>
      </c>
      <c r="D86" s="632" t="s">
        <v>2285</v>
      </c>
      <c r="E86" s="632" t="s">
        <v>2286</v>
      </c>
      <c r="F86" s="635">
        <v>1</v>
      </c>
      <c r="G86" s="635">
        <v>7990</v>
      </c>
      <c r="H86" s="635">
        <v>1</v>
      </c>
      <c r="I86" s="635">
        <v>7990</v>
      </c>
      <c r="J86" s="635"/>
      <c r="K86" s="635"/>
      <c r="L86" s="635"/>
      <c r="M86" s="635"/>
      <c r="N86" s="635">
        <v>2</v>
      </c>
      <c r="O86" s="635">
        <v>16056</v>
      </c>
      <c r="P86" s="657">
        <v>2.0095118898623281</v>
      </c>
      <c r="Q86" s="636">
        <v>8028</v>
      </c>
    </row>
    <row r="87" spans="1:17" ht="14.4" customHeight="1" x14ac:dyDescent="0.3">
      <c r="A87" s="631" t="s">
        <v>512</v>
      </c>
      <c r="B87" s="632" t="s">
        <v>2152</v>
      </c>
      <c r="C87" s="632" t="s">
        <v>2110</v>
      </c>
      <c r="D87" s="632" t="s">
        <v>2287</v>
      </c>
      <c r="E87" s="632" t="s">
        <v>2288</v>
      </c>
      <c r="F87" s="635"/>
      <c r="G87" s="635"/>
      <c r="H87" s="635"/>
      <c r="I87" s="635"/>
      <c r="J87" s="635"/>
      <c r="K87" s="635"/>
      <c r="L87" s="635"/>
      <c r="M87" s="635"/>
      <c r="N87" s="635">
        <v>1</v>
      </c>
      <c r="O87" s="635">
        <v>0</v>
      </c>
      <c r="P87" s="657"/>
      <c r="Q87" s="636">
        <v>0</v>
      </c>
    </row>
    <row r="88" spans="1:17" ht="14.4" customHeight="1" x14ac:dyDescent="0.3">
      <c r="A88" s="631" t="s">
        <v>512</v>
      </c>
      <c r="B88" s="632" t="s">
        <v>2152</v>
      </c>
      <c r="C88" s="632" t="s">
        <v>2110</v>
      </c>
      <c r="D88" s="632" t="s">
        <v>2289</v>
      </c>
      <c r="E88" s="632" t="s">
        <v>2290</v>
      </c>
      <c r="F88" s="635"/>
      <c r="G88" s="635"/>
      <c r="H88" s="635"/>
      <c r="I88" s="635"/>
      <c r="J88" s="635">
        <v>1</v>
      </c>
      <c r="K88" s="635">
        <v>0</v>
      </c>
      <c r="L88" s="635"/>
      <c r="M88" s="635">
        <v>0</v>
      </c>
      <c r="N88" s="635"/>
      <c r="O88" s="635"/>
      <c r="P88" s="657"/>
      <c r="Q88" s="636"/>
    </row>
    <row r="89" spans="1:17" ht="14.4" customHeight="1" x14ac:dyDescent="0.3">
      <c r="A89" s="631" t="s">
        <v>512</v>
      </c>
      <c r="B89" s="632" t="s">
        <v>2152</v>
      </c>
      <c r="C89" s="632" t="s">
        <v>2110</v>
      </c>
      <c r="D89" s="632" t="s">
        <v>2291</v>
      </c>
      <c r="E89" s="632" t="s">
        <v>2292</v>
      </c>
      <c r="F89" s="635"/>
      <c r="G89" s="635"/>
      <c r="H89" s="635"/>
      <c r="I89" s="635"/>
      <c r="J89" s="635"/>
      <c r="K89" s="635"/>
      <c r="L89" s="635"/>
      <c r="M89" s="635"/>
      <c r="N89" s="635">
        <v>1</v>
      </c>
      <c r="O89" s="635">
        <v>1710</v>
      </c>
      <c r="P89" s="657"/>
      <c r="Q89" s="636">
        <v>1710</v>
      </c>
    </row>
    <row r="90" spans="1:17" ht="14.4" customHeight="1" x14ac:dyDescent="0.3">
      <c r="A90" s="631" t="s">
        <v>512</v>
      </c>
      <c r="B90" s="632" t="s">
        <v>2293</v>
      </c>
      <c r="C90" s="632" t="s">
        <v>2110</v>
      </c>
      <c r="D90" s="632" t="s">
        <v>2164</v>
      </c>
      <c r="E90" s="632" t="s">
        <v>2165</v>
      </c>
      <c r="F90" s="635"/>
      <c r="G90" s="635"/>
      <c r="H90" s="635"/>
      <c r="I90" s="635"/>
      <c r="J90" s="635"/>
      <c r="K90" s="635"/>
      <c r="L90" s="635"/>
      <c r="M90" s="635"/>
      <c r="N90" s="635">
        <v>2</v>
      </c>
      <c r="O90" s="635">
        <v>3234</v>
      </c>
      <c r="P90" s="657"/>
      <c r="Q90" s="636">
        <v>1617</v>
      </c>
    </row>
    <row r="91" spans="1:17" ht="14.4" customHeight="1" x14ac:dyDescent="0.3">
      <c r="A91" s="631" t="s">
        <v>512</v>
      </c>
      <c r="B91" s="632" t="s">
        <v>2293</v>
      </c>
      <c r="C91" s="632" t="s">
        <v>2110</v>
      </c>
      <c r="D91" s="632" t="s">
        <v>2172</v>
      </c>
      <c r="E91" s="632" t="s">
        <v>2173</v>
      </c>
      <c r="F91" s="635"/>
      <c r="G91" s="635"/>
      <c r="H91" s="635"/>
      <c r="I91" s="635"/>
      <c r="J91" s="635"/>
      <c r="K91" s="635"/>
      <c r="L91" s="635"/>
      <c r="M91" s="635"/>
      <c r="N91" s="635">
        <v>4</v>
      </c>
      <c r="O91" s="635">
        <v>2724</v>
      </c>
      <c r="P91" s="657"/>
      <c r="Q91" s="636">
        <v>681</v>
      </c>
    </row>
    <row r="92" spans="1:17" ht="14.4" customHeight="1" x14ac:dyDescent="0.3">
      <c r="A92" s="631" t="s">
        <v>512</v>
      </c>
      <c r="B92" s="632" t="s">
        <v>2293</v>
      </c>
      <c r="C92" s="632" t="s">
        <v>2110</v>
      </c>
      <c r="D92" s="632" t="s">
        <v>2294</v>
      </c>
      <c r="E92" s="632" t="s">
        <v>2295</v>
      </c>
      <c r="F92" s="635">
        <v>1</v>
      </c>
      <c r="G92" s="635">
        <v>221</v>
      </c>
      <c r="H92" s="635">
        <v>1</v>
      </c>
      <c r="I92" s="635">
        <v>221</v>
      </c>
      <c r="J92" s="635"/>
      <c r="K92" s="635"/>
      <c r="L92" s="635"/>
      <c r="M92" s="635"/>
      <c r="N92" s="635"/>
      <c r="O92" s="635"/>
      <c r="P92" s="657"/>
      <c r="Q92" s="636"/>
    </row>
    <row r="93" spans="1:17" ht="14.4" customHeight="1" x14ac:dyDescent="0.3">
      <c r="A93" s="631" t="s">
        <v>512</v>
      </c>
      <c r="B93" s="632" t="s">
        <v>2293</v>
      </c>
      <c r="C93" s="632" t="s">
        <v>2110</v>
      </c>
      <c r="D93" s="632" t="s">
        <v>2296</v>
      </c>
      <c r="E93" s="632" t="s">
        <v>2297</v>
      </c>
      <c r="F93" s="635"/>
      <c r="G93" s="635"/>
      <c r="H93" s="635"/>
      <c r="I93" s="635"/>
      <c r="J93" s="635"/>
      <c r="K93" s="635"/>
      <c r="L93" s="635"/>
      <c r="M93" s="635"/>
      <c r="N93" s="635">
        <v>2</v>
      </c>
      <c r="O93" s="635">
        <v>6932</v>
      </c>
      <c r="P93" s="657"/>
      <c r="Q93" s="636">
        <v>3466</v>
      </c>
    </row>
    <row r="94" spans="1:17" ht="14.4" customHeight="1" x14ac:dyDescent="0.3">
      <c r="A94" s="631" t="s">
        <v>512</v>
      </c>
      <c r="B94" s="632" t="s">
        <v>2293</v>
      </c>
      <c r="C94" s="632" t="s">
        <v>2110</v>
      </c>
      <c r="D94" s="632" t="s">
        <v>2298</v>
      </c>
      <c r="E94" s="632" t="s">
        <v>2299</v>
      </c>
      <c r="F94" s="635">
        <v>1</v>
      </c>
      <c r="G94" s="635">
        <v>2315</v>
      </c>
      <c r="H94" s="635">
        <v>1</v>
      </c>
      <c r="I94" s="635">
        <v>2315</v>
      </c>
      <c r="J94" s="635"/>
      <c r="K94" s="635"/>
      <c r="L94" s="635"/>
      <c r="M94" s="635"/>
      <c r="N94" s="635"/>
      <c r="O94" s="635"/>
      <c r="P94" s="657"/>
      <c r="Q94" s="636"/>
    </row>
    <row r="95" spans="1:17" ht="14.4" customHeight="1" x14ac:dyDescent="0.3">
      <c r="A95" s="631" t="s">
        <v>512</v>
      </c>
      <c r="B95" s="632" t="s">
        <v>2293</v>
      </c>
      <c r="C95" s="632" t="s">
        <v>2110</v>
      </c>
      <c r="D95" s="632" t="s">
        <v>2300</v>
      </c>
      <c r="E95" s="632" t="s">
        <v>2301</v>
      </c>
      <c r="F95" s="635"/>
      <c r="G95" s="635"/>
      <c r="H95" s="635"/>
      <c r="I95" s="635"/>
      <c r="J95" s="635"/>
      <c r="K95" s="635"/>
      <c r="L95" s="635"/>
      <c r="M95" s="635"/>
      <c r="N95" s="635">
        <v>2</v>
      </c>
      <c r="O95" s="635">
        <v>8066</v>
      </c>
      <c r="P95" s="657"/>
      <c r="Q95" s="636">
        <v>4033</v>
      </c>
    </row>
    <row r="96" spans="1:17" ht="14.4" customHeight="1" x14ac:dyDescent="0.3">
      <c r="A96" s="631" t="s">
        <v>512</v>
      </c>
      <c r="B96" s="632" t="s">
        <v>2293</v>
      </c>
      <c r="C96" s="632" t="s">
        <v>2110</v>
      </c>
      <c r="D96" s="632" t="s">
        <v>2184</v>
      </c>
      <c r="E96" s="632" t="s">
        <v>2185</v>
      </c>
      <c r="F96" s="635"/>
      <c r="G96" s="635"/>
      <c r="H96" s="635"/>
      <c r="I96" s="635"/>
      <c r="J96" s="635"/>
      <c r="K96" s="635"/>
      <c r="L96" s="635"/>
      <c r="M96" s="635"/>
      <c r="N96" s="635">
        <v>2</v>
      </c>
      <c r="O96" s="635">
        <v>1612</v>
      </c>
      <c r="P96" s="657"/>
      <c r="Q96" s="636">
        <v>806</v>
      </c>
    </row>
    <row r="97" spans="1:17" ht="14.4" customHeight="1" x14ac:dyDescent="0.3">
      <c r="A97" s="631" t="s">
        <v>512</v>
      </c>
      <c r="B97" s="632" t="s">
        <v>2293</v>
      </c>
      <c r="C97" s="632" t="s">
        <v>2110</v>
      </c>
      <c r="D97" s="632" t="s">
        <v>2214</v>
      </c>
      <c r="E97" s="632" t="s">
        <v>2215</v>
      </c>
      <c r="F97" s="635">
        <v>1</v>
      </c>
      <c r="G97" s="635">
        <v>665</v>
      </c>
      <c r="H97" s="635">
        <v>1</v>
      </c>
      <c r="I97" s="635">
        <v>665</v>
      </c>
      <c r="J97" s="635"/>
      <c r="K97" s="635"/>
      <c r="L97" s="635"/>
      <c r="M97" s="635"/>
      <c r="N97" s="635"/>
      <c r="O97" s="635"/>
      <c r="P97" s="657"/>
      <c r="Q97" s="636"/>
    </row>
    <row r="98" spans="1:17" ht="14.4" customHeight="1" x14ac:dyDescent="0.3">
      <c r="A98" s="631" t="s">
        <v>512</v>
      </c>
      <c r="B98" s="632" t="s">
        <v>2293</v>
      </c>
      <c r="C98" s="632" t="s">
        <v>2110</v>
      </c>
      <c r="D98" s="632" t="s">
        <v>2302</v>
      </c>
      <c r="E98" s="632" t="s">
        <v>2303</v>
      </c>
      <c r="F98" s="635">
        <v>1</v>
      </c>
      <c r="G98" s="635">
        <v>2798</v>
      </c>
      <c r="H98" s="635">
        <v>1</v>
      </c>
      <c r="I98" s="635">
        <v>2798</v>
      </c>
      <c r="J98" s="635"/>
      <c r="K98" s="635"/>
      <c r="L98" s="635"/>
      <c r="M98" s="635"/>
      <c r="N98" s="635"/>
      <c r="O98" s="635"/>
      <c r="P98" s="657"/>
      <c r="Q98" s="636"/>
    </row>
    <row r="99" spans="1:17" ht="14.4" customHeight="1" x14ac:dyDescent="0.3">
      <c r="A99" s="631" t="s">
        <v>512</v>
      </c>
      <c r="B99" s="632" t="s">
        <v>2293</v>
      </c>
      <c r="C99" s="632" t="s">
        <v>2110</v>
      </c>
      <c r="D99" s="632" t="s">
        <v>2222</v>
      </c>
      <c r="E99" s="632" t="s">
        <v>2223</v>
      </c>
      <c r="F99" s="635"/>
      <c r="G99" s="635"/>
      <c r="H99" s="635"/>
      <c r="I99" s="635"/>
      <c r="J99" s="635"/>
      <c r="K99" s="635"/>
      <c r="L99" s="635"/>
      <c r="M99" s="635"/>
      <c r="N99" s="635">
        <v>1</v>
      </c>
      <c r="O99" s="635">
        <v>431</v>
      </c>
      <c r="P99" s="657"/>
      <c r="Q99" s="636">
        <v>431</v>
      </c>
    </row>
    <row r="100" spans="1:17" ht="14.4" customHeight="1" x14ac:dyDescent="0.3">
      <c r="A100" s="631" t="s">
        <v>512</v>
      </c>
      <c r="B100" s="632" t="s">
        <v>2293</v>
      </c>
      <c r="C100" s="632" t="s">
        <v>2110</v>
      </c>
      <c r="D100" s="632" t="s">
        <v>2224</v>
      </c>
      <c r="E100" s="632" t="s">
        <v>2225</v>
      </c>
      <c r="F100" s="635"/>
      <c r="G100" s="635"/>
      <c r="H100" s="635"/>
      <c r="I100" s="635"/>
      <c r="J100" s="635"/>
      <c r="K100" s="635"/>
      <c r="L100" s="635"/>
      <c r="M100" s="635"/>
      <c r="N100" s="635">
        <v>5</v>
      </c>
      <c r="O100" s="635">
        <v>4225</v>
      </c>
      <c r="P100" s="657"/>
      <c r="Q100" s="636">
        <v>845</v>
      </c>
    </row>
    <row r="101" spans="1:17" ht="14.4" customHeight="1" x14ac:dyDescent="0.3">
      <c r="A101" s="631" t="s">
        <v>512</v>
      </c>
      <c r="B101" s="632" t="s">
        <v>2293</v>
      </c>
      <c r="C101" s="632" t="s">
        <v>2110</v>
      </c>
      <c r="D101" s="632" t="s">
        <v>2304</v>
      </c>
      <c r="E101" s="632" t="s">
        <v>2305</v>
      </c>
      <c r="F101" s="635">
        <v>1</v>
      </c>
      <c r="G101" s="635">
        <v>111</v>
      </c>
      <c r="H101" s="635">
        <v>1</v>
      </c>
      <c r="I101" s="635">
        <v>111</v>
      </c>
      <c r="J101" s="635">
        <v>2</v>
      </c>
      <c r="K101" s="635">
        <v>224</v>
      </c>
      <c r="L101" s="635">
        <v>2.0180180180180178</v>
      </c>
      <c r="M101" s="635">
        <v>112</v>
      </c>
      <c r="N101" s="635">
        <v>4</v>
      </c>
      <c r="O101" s="635">
        <v>448</v>
      </c>
      <c r="P101" s="657">
        <v>4.0360360360360357</v>
      </c>
      <c r="Q101" s="636">
        <v>112</v>
      </c>
    </row>
    <row r="102" spans="1:17" ht="14.4" customHeight="1" x14ac:dyDescent="0.3">
      <c r="A102" s="631" t="s">
        <v>512</v>
      </c>
      <c r="B102" s="632" t="s">
        <v>2293</v>
      </c>
      <c r="C102" s="632" t="s">
        <v>2110</v>
      </c>
      <c r="D102" s="632" t="s">
        <v>2228</v>
      </c>
      <c r="E102" s="632" t="s">
        <v>2229</v>
      </c>
      <c r="F102" s="635"/>
      <c r="G102" s="635"/>
      <c r="H102" s="635"/>
      <c r="I102" s="635"/>
      <c r="J102" s="635"/>
      <c r="K102" s="635"/>
      <c r="L102" s="635"/>
      <c r="M102" s="635"/>
      <c r="N102" s="635">
        <v>1</v>
      </c>
      <c r="O102" s="635">
        <v>177</v>
      </c>
      <c r="P102" s="657"/>
      <c r="Q102" s="636">
        <v>177</v>
      </c>
    </row>
    <row r="103" spans="1:17" ht="14.4" customHeight="1" x14ac:dyDescent="0.3">
      <c r="A103" s="631" t="s">
        <v>512</v>
      </c>
      <c r="B103" s="632" t="s">
        <v>2293</v>
      </c>
      <c r="C103" s="632" t="s">
        <v>2110</v>
      </c>
      <c r="D103" s="632" t="s">
        <v>2306</v>
      </c>
      <c r="E103" s="632" t="s">
        <v>2307</v>
      </c>
      <c r="F103" s="635">
        <v>21</v>
      </c>
      <c r="G103" s="635">
        <v>3360</v>
      </c>
      <c r="H103" s="635">
        <v>1</v>
      </c>
      <c r="I103" s="635">
        <v>160</v>
      </c>
      <c r="J103" s="635">
        <v>2</v>
      </c>
      <c r="K103" s="635">
        <v>322</v>
      </c>
      <c r="L103" s="635">
        <v>9.583333333333334E-2</v>
      </c>
      <c r="M103" s="635">
        <v>161</v>
      </c>
      <c r="N103" s="635"/>
      <c r="O103" s="635"/>
      <c r="P103" s="657"/>
      <c r="Q103" s="636"/>
    </row>
    <row r="104" spans="1:17" ht="14.4" customHeight="1" x14ac:dyDescent="0.3">
      <c r="A104" s="631" t="s">
        <v>512</v>
      </c>
      <c r="B104" s="632" t="s">
        <v>2293</v>
      </c>
      <c r="C104" s="632" t="s">
        <v>2110</v>
      </c>
      <c r="D104" s="632" t="s">
        <v>2308</v>
      </c>
      <c r="E104" s="632" t="s">
        <v>2309</v>
      </c>
      <c r="F104" s="635"/>
      <c r="G104" s="635"/>
      <c r="H104" s="635"/>
      <c r="I104" s="635"/>
      <c r="J104" s="635">
        <v>1</v>
      </c>
      <c r="K104" s="635">
        <v>2510</v>
      </c>
      <c r="L104" s="635"/>
      <c r="M104" s="635">
        <v>2510</v>
      </c>
      <c r="N104" s="635">
        <v>1</v>
      </c>
      <c r="O104" s="635">
        <v>2510</v>
      </c>
      <c r="P104" s="657"/>
      <c r="Q104" s="636">
        <v>2510</v>
      </c>
    </row>
    <row r="105" spans="1:17" ht="14.4" customHeight="1" x14ac:dyDescent="0.3">
      <c r="A105" s="631" t="s">
        <v>512</v>
      </c>
      <c r="B105" s="632" t="s">
        <v>2293</v>
      </c>
      <c r="C105" s="632" t="s">
        <v>2110</v>
      </c>
      <c r="D105" s="632" t="s">
        <v>2310</v>
      </c>
      <c r="E105" s="632" t="s">
        <v>2311</v>
      </c>
      <c r="F105" s="635"/>
      <c r="G105" s="635"/>
      <c r="H105" s="635"/>
      <c r="I105" s="635"/>
      <c r="J105" s="635">
        <v>1</v>
      </c>
      <c r="K105" s="635">
        <v>2443</v>
      </c>
      <c r="L105" s="635"/>
      <c r="M105" s="635">
        <v>2443</v>
      </c>
      <c r="N105" s="635"/>
      <c r="O105" s="635"/>
      <c r="P105" s="657"/>
      <c r="Q105" s="636"/>
    </row>
    <row r="106" spans="1:17" ht="14.4" customHeight="1" x14ac:dyDescent="0.3">
      <c r="A106" s="631" t="s">
        <v>512</v>
      </c>
      <c r="B106" s="632" t="s">
        <v>2293</v>
      </c>
      <c r="C106" s="632" t="s">
        <v>2110</v>
      </c>
      <c r="D106" s="632" t="s">
        <v>2312</v>
      </c>
      <c r="E106" s="632" t="s">
        <v>2313</v>
      </c>
      <c r="F106" s="635"/>
      <c r="G106" s="635"/>
      <c r="H106" s="635"/>
      <c r="I106" s="635"/>
      <c r="J106" s="635">
        <v>5</v>
      </c>
      <c r="K106" s="635">
        <v>4810</v>
      </c>
      <c r="L106" s="635"/>
      <c r="M106" s="635">
        <v>962</v>
      </c>
      <c r="N106" s="635"/>
      <c r="O106" s="635"/>
      <c r="P106" s="657"/>
      <c r="Q106" s="636"/>
    </row>
    <row r="107" spans="1:17" ht="14.4" customHeight="1" x14ac:dyDescent="0.3">
      <c r="A107" s="631" t="s">
        <v>512</v>
      </c>
      <c r="B107" s="632" t="s">
        <v>2293</v>
      </c>
      <c r="C107" s="632" t="s">
        <v>2110</v>
      </c>
      <c r="D107" s="632" t="s">
        <v>2314</v>
      </c>
      <c r="E107" s="632" t="s">
        <v>2315</v>
      </c>
      <c r="F107" s="635"/>
      <c r="G107" s="635"/>
      <c r="H107" s="635"/>
      <c r="I107" s="635"/>
      <c r="J107" s="635"/>
      <c r="K107" s="635"/>
      <c r="L107" s="635"/>
      <c r="M107" s="635"/>
      <c r="N107" s="635">
        <v>2</v>
      </c>
      <c r="O107" s="635">
        <v>1372</v>
      </c>
      <c r="P107" s="657"/>
      <c r="Q107" s="636">
        <v>686</v>
      </c>
    </row>
    <row r="108" spans="1:17" ht="14.4" customHeight="1" x14ac:dyDescent="0.3">
      <c r="A108" s="631" t="s">
        <v>512</v>
      </c>
      <c r="B108" s="632" t="s">
        <v>2293</v>
      </c>
      <c r="C108" s="632" t="s">
        <v>2110</v>
      </c>
      <c r="D108" s="632" t="s">
        <v>2316</v>
      </c>
      <c r="E108" s="632" t="s">
        <v>2317</v>
      </c>
      <c r="F108" s="635"/>
      <c r="G108" s="635"/>
      <c r="H108" s="635"/>
      <c r="I108" s="635"/>
      <c r="J108" s="635">
        <v>1</v>
      </c>
      <c r="K108" s="635">
        <v>311</v>
      </c>
      <c r="L108" s="635"/>
      <c r="M108" s="635">
        <v>311</v>
      </c>
      <c r="N108" s="635">
        <v>2</v>
      </c>
      <c r="O108" s="635">
        <v>622</v>
      </c>
      <c r="P108" s="657"/>
      <c r="Q108" s="636">
        <v>311</v>
      </c>
    </row>
    <row r="109" spans="1:17" ht="14.4" customHeight="1" x14ac:dyDescent="0.3">
      <c r="A109" s="631" t="s">
        <v>512</v>
      </c>
      <c r="B109" s="632" t="s">
        <v>2293</v>
      </c>
      <c r="C109" s="632" t="s">
        <v>2110</v>
      </c>
      <c r="D109" s="632" t="s">
        <v>2318</v>
      </c>
      <c r="E109" s="632" t="s">
        <v>2319</v>
      </c>
      <c r="F109" s="635"/>
      <c r="G109" s="635"/>
      <c r="H109" s="635"/>
      <c r="I109" s="635"/>
      <c r="J109" s="635"/>
      <c r="K109" s="635"/>
      <c r="L109" s="635"/>
      <c r="M109" s="635"/>
      <c r="N109" s="635">
        <v>1</v>
      </c>
      <c r="O109" s="635">
        <v>1796</v>
      </c>
      <c r="P109" s="657"/>
      <c r="Q109" s="636">
        <v>1796</v>
      </c>
    </row>
    <row r="110" spans="1:17" ht="14.4" customHeight="1" x14ac:dyDescent="0.3">
      <c r="A110" s="631" t="s">
        <v>512</v>
      </c>
      <c r="B110" s="632" t="s">
        <v>2320</v>
      </c>
      <c r="C110" s="632" t="s">
        <v>2110</v>
      </c>
      <c r="D110" s="632" t="s">
        <v>2321</v>
      </c>
      <c r="E110" s="632" t="s">
        <v>2322</v>
      </c>
      <c r="F110" s="635">
        <v>1</v>
      </c>
      <c r="G110" s="635">
        <v>171</v>
      </c>
      <c r="H110" s="635">
        <v>1</v>
      </c>
      <c r="I110" s="635">
        <v>171</v>
      </c>
      <c r="J110" s="635"/>
      <c r="K110" s="635"/>
      <c r="L110" s="635"/>
      <c r="M110" s="635"/>
      <c r="N110" s="635"/>
      <c r="O110" s="635"/>
      <c r="P110" s="657"/>
      <c r="Q110" s="636"/>
    </row>
    <row r="111" spans="1:17" ht="14.4" customHeight="1" x14ac:dyDescent="0.3">
      <c r="A111" s="631" t="s">
        <v>512</v>
      </c>
      <c r="B111" s="632" t="s">
        <v>2320</v>
      </c>
      <c r="C111" s="632" t="s">
        <v>2110</v>
      </c>
      <c r="D111" s="632" t="s">
        <v>2323</v>
      </c>
      <c r="E111" s="632" t="s">
        <v>2324</v>
      </c>
      <c r="F111" s="635">
        <v>1</v>
      </c>
      <c r="G111" s="635">
        <v>3912</v>
      </c>
      <c r="H111" s="635">
        <v>1</v>
      </c>
      <c r="I111" s="635">
        <v>3912</v>
      </c>
      <c r="J111" s="635"/>
      <c r="K111" s="635"/>
      <c r="L111" s="635"/>
      <c r="M111" s="635"/>
      <c r="N111" s="635"/>
      <c r="O111" s="635"/>
      <c r="P111" s="657"/>
      <c r="Q111" s="636"/>
    </row>
    <row r="112" spans="1:17" ht="14.4" customHeight="1" x14ac:dyDescent="0.3">
      <c r="A112" s="631" t="s">
        <v>512</v>
      </c>
      <c r="B112" s="632" t="s">
        <v>2320</v>
      </c>
      <c r="C112" s="632" t="s">
        <v>2110</v>
      </c>
      <c r="D112" s="632" t="s">
        <v>2325</v>
      </c>
      <c r="E112" s="632" t="s">
        <v>2326</v>
      </c>
      <c r="F112" s="635">
        <v>1</v>
      </c>
      <c r="G112" s="635">
        <v>4183</v>
      </c>
      <c r="H112" s="635">
        <v>1</v>
      </c>
      <c r="I112" s="635">
        <v>4183</v>
      </c>
      <c r="J112" s="635"/>
      <c r="K112" s="635"/>
      <c r="L112" s="635"/>
      <c r="M112" s="635"/>
      <c r="N112" s="635"/>
      <c r="O112" s="635"/>
      <c r="P112" s="657"/>
      <c r="Q112" s="636"/>
    </row>
    <row r="113" spans="1:17" ht="14.4" customHeight="1" x14ac:dyDescent="0.3">
      <c r="A113" s="631" t="s">
        <v>512</v>
      </c>
      <c r="B113" s="632" t="s">
        <v>2327</v>
      </c>
      <c r="C113" s="632" t="s">
        <v>2328</v>
      </c>
      <c r="D113" s="632" t="s">
        <v>2329</v>
      </c>
      <c r="E113" s="632" t="s">
        <v>2330</v>
      </c>
      <c r="F113" s="635"/>
      <c r="G113" s="635"/>
      <c r="H113" s="635"/>
      <c r="I113" s="635"/>
      <c r="J113" s="635"/>
      <c r="K113" s="635"/>
      <c r="L113" s="635"/>
      <c r="M113" s="635"/>
      <c r="N113" s="635">
        <v>0.9</v>
      </c>
      <c r="O113" s="635">
        <v>10925.4</v>
      </c>
      <c r="P113" s="657"/>
      <c r="Q113" s="636">
        <v>12139.333333333332</v>
      </c>
    </row>
    <row r="114" spans="1:17" ht="14.4" customHeight="1" x14ac:dyDescent="0.3">
      <c r="A114" s="631" t="s">
        <v>512</v>
      </c>
      <c r="B114" s="632" t="s">
        <v>2327</v>
      </c>
      <c r="C114" s="632" t="s">
        <v>2328</v>
      </c>
      <c r="D114" s="632" t="s">
        <v>2331</v>
      </c>
      <c r="E114" s="632" t="s">
        <v>2332</v>
      </c>
      <c r="F114" s="635"/>
      <c r="G114" s="635"/>
      <c r="H114" s="635"/>
      <c r="I114" s="635"/>
      <c r="J114" s="635"/>
      <c r="K114" s="635"/>
      <c r="L114" s="635"/>
      <c r="M114" s="635"/>
      <c r="N114" s="635">
        <v>4</v>
      </c>
      <c r="O114" s="635">
        <v>333.2</v>
      </c>
      <c r="P114" s="657"/>
      <c r="Q114" s="636">
        <v>83.3</v>
      </c>
    </row>
    <row r="115" spans="1:17" ht="14.4" customHeight="1" x14ac:dyDescent="0.3">
      <c r="A115" s="631" t="s">
        <v>512</v>
      </c>
      <c r="B115" s="632" t="s">
        <v>2327</v>
      </c>
      <c r="C115" s="632" t="s">
        <v>2328</v>
      </c>
      <c r="D115" s="632" t="s">
        <v>2333</v>
      </c>
      <c r="E115" s="632" t="s">
        <v>1407</v>
      </c>
      <c r="F115" s="635"/>
      <c r="G115" s="635"/>
      <c r="H115" s="635"/>
      <c r="I115" s="635"/>
      <c r="J115" s="635"/>
      <c r="K115" s="635"/>
      <c r="L115" s="635"/>
      <c r="M115" s="635"/>
      <c r="N115" s="635">
        <v>1</v>
      </c>
      <c r="O115" s="635">
        <v>82.92</v>
      </c>
      <c r="P115" s="657"/>
      <c r="Q115" s="636">
        <v>82.92</v>
      </c>
    </row>
    <row r="116" spans="1:17" ht="14.4" customHeight="1" x14ac:dyDescent="0.3">
      <c r="A116" s="631" t="s">
        <v>512</v>
      </c>
      <c r="B116" s="632" t="s">
        <v>2327</v>
      </c>
      <c r="C116" s="632" t="s">
        <v>2328</v>
      </c>
      <c r="D116" s="632" t="s">
        <v>2334</v>
      </c>
      <c r="E116" s="632" t="s">
        <v>2335</v>
      </c>
      <c r="F116" s="635"/>
      <c r="G116" s="635"/>
      <c r="H116" s="635"/>
      <c r="I116" s="635"/>
      <c r="J116" s="635"/>
      <c r="K116" s="635"/>
      <c r="L116" s="635"/>
      <c r="M116" s="635"/>
      <c r="N116" s="635">
        <v>9</v>
      </c>
      <c r="O116" s="635">
        <v>46933.38</v>
      </c>
      <c r="P116" s="657"/>
      <c r="Q116" s="636">
        <v>5214.82</v>
      </c>
    </row>
    <row r="117" spans="1:17" ht="14.4" customHeight="1" x14ac:dyDescent="0.3">
      <c r="A117" s="631" t="s">
        <v>512</v>
      </c>
      <c r="B117" s="632" t="s">
        <v>2327</v>
      </c>
      <c r="C117" s="632" t="s">
        <v>2328</v>
      </c>
      <c r="D117" s="632" t="s">
        <v>2336</v>
      </c>
      <c r="E117" s="632" t="s">
        <v>1407</v>
      </c>
      <c r="F117" s="635"/>
      <c r="G117" s="635"/>
      <c r="H117" s="635"/>
      <c r="I117" s="635"/>
      <c r="J117" s="635"/>
      <c r="K117" s="635"/>
      <c r="L117" s="635"/>
      <c r="M117" s="635"/>
      <c r="N117" s="635">
        <v>79</v>
      </c>
      <c r="O117" s="635">
        <v>9318.84</v>
      </c>
      <c r="P117" s="657"/>
      <c r="Q117" s="636">
        <v>117.96000000000001</v>
      </c>
    </row>
    <row r="118" spans="1:17" ht="14.4" customHeight="1" x14ac:dyDescent="0.3">
      <c r="A118" s="631" t="s">
        <v>512</v>
      </c>
      <c r="B118" s="632" t="s">
        <v>2327</v>
      </c>
      <c r="C118" s="632" t="s">
        <v>2328</v>
      </c>
      <c r="D118" s="632" t="s">
        <v>2337</v>
      </c>
      <c r="E118" s="632" t="s">
        <v>1407</v>
      </c>
      <c r="F118" s="635"/>
      <c r="G118" s="635"/>
      <c r="H118" s="635"/>
      <c r="I118" s="635"/>
      <c r="J118" s="635"/>
      <c r="K118" s="635"/>
      <c r="L118" s="635"/>
      <c r="M118" s="635"/>
      <c r="N118" s="635">
        <v>23</v>
      </c>
      <c r="O118" s="635">
        <v>1830.57</v>
      </c>
      <c r="P118" s="657"/>
      <c r="Q118" s="636">
        <v>79.59</v>
      </c>
    </row>
    <row r="119" spans="1:17" ht="14.4" customHeight="1" x14ac:dyDescent="0.3">
      <c r="A119" s="631" t="s">
        <v>512</v>
      </c>
      <c r="B119" s="632" t="s">
        <v>2327</v>
      </c>
      <c r="C119" s="632" t="s">
        <v>2328</v>
      </c>
      <c r="D119" s="632" t="s">
        <v>2338</v>
      </c>
      <c r="E119" s="632" t="s">
        <v>2339</v>
      </c>
      <c r="F119" s="635"/>
      <c r="G119" s="635"/>
      <c r="H119" s="635"/>
      <c r="I119" s="635"/>
      <c r="J119" s="635"/>
      <c r="K119" s="635"/>
      <c r="L119" s="635"/>
      <c r="M119" s="635"/>
      <c r="N119" s="635">
        <v>25.6</v>
      </c>
      <c r="O119" s="635">
        <v>16116.83</v>
      </c>
      <c r="P119" s="657"/>
      <c r="Q119" s="636">
        <v>629.56367187499995</v>
      </c>
    </row>
    <row r="120" spans="1:17" ht="14.4" customHeight="1" x14ac:dyDescent="0.3">
      <c r="A120" s="631" t="s">
        <v>512</v>
      </c>
      <c r="B120" s="632" t="s">
        <v>2327</v>
      </c>
      <c r="C120" s="632" t="s">
        <v>2328</v>
      </c>
      <c r="D120" s="632" t="s">
        <v>2340</v>
      </c>
      <c r="E120" s="632" t="s">
        <v>2341</v>
      </c>
      <c r="F120" s="635"/>
      <c r="G120" s="635"/>
      <c r="H120" s="635"/>
      <c r="I120" s="635"/>
      <c r="J120" s="635"/>
      <c r="K120" s="635"/>
      <c r="L120" s="635"/>
      <c r="M120" s="635"/>
      <c r="N120" s="635">
        <v>20</v>
      </c>
      <c r="O120" s="635">
        <v>1681.6</v>
      </c>
      <c r="P120" s="657"/>
      <c r="Q120" s="636">
        <v>84.08</v>
      </c>
    </row>
    <row r="121" spans="1:17" ht="14.4" customHeight="1" x14ac:dyDescent="0.3">
      <c r="A121" s="631" t="s">
        <v>512</v>
      </c>
      <c r="B121" s="632" t="s">
        <v>2327</v>
      </c>
      <c r="C121" s="632" t="s">
        <v>2328</v>
      </c>
      <c r="D121" s="632" t="s">
        <v>2342</v>
      </c>
      <c r="E121" s="632" t="s">
        <v>1374</v>
      </c>
      <c r="F121" s="635"/>
      <c r="G121" s="635"/>
      <c r="H121" s="635"/>
      <c r="I121" s="635"/>
      <c r="J121" s="635"/>
      <c r="K121" s="635"/>
      <c r="L121" s="635"/>
      <c r="M121" s="635"/>
      <c r="N121" s="635">
        <v>223</v>
      </c>
      <c r="O121" s="635">
        <v>13614.150000000001</v>
      </c>
      <c r="P121" s="657"/>
      <c r="Q121" s="636">
        <v>61.050000000000004</v>
      </c>
    </row>
    <row r="122" spans="1:17" ht="14.4" customHeight="1" x14ac:dyDescent="0.3">
      <c r="A122" s="631" t="s">
        <v>512</v>
      </c>
      <c r="B122" s="632" t="s">
        <v>2327</v>
      </c>
      <c r="C122" s="632" t="s">
        <v>2328</v>
      </c>
      <c r="D122" s="632" t="s">
        <v>2343</v>
      </c>
      <c r="E122" s="632" t="s">
        <v>1315</v>
      </c>
      <c r="F122" s="635"/>
      <c r="G122" s="635"/>
      <c r="H122" s="635"/>
      <c r="I122" s="635"/>
      <c r="J122" s="635"/>
      <c r="K122" s="635"/>
      <c r="L122" s="635"/>
      <c r="M122" s="635"/>
      <c r="N122" s="635">
        <v>9.2200000000000006</v>
      </c>
      <c r="O122" s="635">
        <v>6672.92</v>
      </c>
      <c r="P122" s="657"/>
      <c r="Q122" s="636">
        <v>723.74403470715833</v>
      </c>
    </row>
    <row r="123" spans="1:17" ht="14.4" customHeight="1" x14ac:dyDescent="0.3">
      <c r="A123" s="631" t="s">
        <v>512</v>
      </c>
      <c r="B123" s="632" t="s">
        <v>2327</v>
      </c>
      <c r="C123" s="632" t="s">
        <v>2328</v>
      </c>
      <c r="D123" s="632" t="s">
        <v>2344</v>
      </c>
      <c r="E123" s="632" t="s">
        <v>1411</v>
      </c>
      <c r="F123" s="635"/>
      <c r="G123" s="635"/>
      <c r="H123" s="635"/>
      <c r="I123" s="635"/>
      <c r="J123" s="635"/>
      <c r="K123" s="635"/>
      <c r="L123" s="635"/>
      <c r="M123" s="635"/>
      <c r="N123" s="635">
        <v>5.9</v>
      </c>
      <c r="O123" s="635">
        <v>80232.92</v>
      </c>
      <c r="P123" s="657"/>
      <c r="Q123" s="636">
        <v>13598.8</v>
      </c>
    </row>
    <row r="124" spans="1:17" ht="14.4" customHeight="1" x14ac:dyDescent="0.3">
      <c r="A124" s="631" t="s">
        <v>512</v>
      </c>
      <c r="B124" s="632" t="s">
        <v>2327</v>
      </c>
      <c r="C124" s="632" t="s">
        <v>2328</v>
      </c>
      <c r="D124" s="632" t="s">
        <v>2345</v>
      </c>
      <c r="E124" s="632" t="s">
        <v>1441</v>
      </c>
      <c r="F124" s="635"/>
      <c r="G124" s="635"/>
      <c r="H124" s="635"/>
      <c r="I124" s="635"/>
      <c r="J124" s="635"/>
      <c r="K124" s="635"/>
      <c r="L124" s="635"/>
      <c r="M124" s="635"/>
      <c r="N124" s="635">
        <v>4</v>
      </c>
      <c r="O124" s="635">
        <v>14009.64</v>
      </c>
      <c r="P124" s="657"/>
      <c r="Q124" s="636">
        <v>3502.41</v>
      </c>
    </row>
    <row r="125" spans="1:17" ht="14.4" customHeight="1" x14ac:dyDescent="0.3">
      <c r="A125" s="631" t="s">
        <v>512</v>
      </c>
      <c r="B125" s="632" t="s">
        <v>2327</v>
      </c>
      <c r="C125" s="632" t="s">
        <v>2328</v>
      </c>
      <c r="D125" s="632" t="s">
        <v>2346</v>
      </c>
      <c r="E125" s="632" t="s">
        <v>1555</v>
      </c>
      <c r="F125" s="635"/>
      <c r="G125" s="635"/>
      <c r="H125" s="635"/>
      <c r="I125" s="635"/>
      <c r="J125" s="635"/>
      <c r="K125" s="635"/>
      <c r="L125" s="635"/>
      <c r="M125" s="635"/>
      <c r="N125" s="635">
        <v>182</v>
      </c>
      <c r="O125" s="635">
        <v>7345.52</v>
      </c>
      <c r="P125" s="657"/>
      <c r="Q125" s="636">
        <v>40.36</v>
      </c>
    </row>
    <row r="126" spans="1:17" ht="14.4" customHeight="1" x14ac:dyDescent="0.3">
      <c r="A126" s="631" t="s">
        <v>512</v>
      </c>
      <c r="B126" s="632" t="s">
        <v>2327</v>
      </c>
      <c r="C126" s="632" t="s">
        <v>2328</v>
      </c>
      <c r="D126" s="632" t="s">
        <v>2347</v>
      </c>
      <c r="E126" s="632" t="s">
        <v>1386</v>
      </c>
      <c r="F126" s="635"/>
      <c r="G126" s="635"/>
      <c r="H126" s="635"/>
      <c r="I126" s="635"/>
      <c r="J126" s="635"/>
      <c r="K126" s="635"/>
      <c r="L126" s="635"/>
      <c r="M126" s="635"/>
      <c r="N126" s="635">
        <v>7.6999999999999993</v>
      </c>
      <c r="O126" s="635">
        <v>3112.3399999999997</v>
      </c>
      <c r="P126" s="657"/>
      <c r="Q126" s="636">
        <v>404.2</v>
      </c>
    </row>
    <row r="127" spans="1:17" ht="14.4" customHeight="1" x14ac:dyDescent="0.3">
      <c r="A127" s="631" t="s">
        <v>512</v>
      </c>
      <c r="B127" s="632" t="s">
        <v>2327</v>
      </c>
      <c r="C127" s="632" t="s">
        <v>2328</v>
      </c>
      <c r="D127" s="632" t="s">
        <v>1454</v>
      </c>
      <c r="E127" s="632" t="s">
        <v>2348</v>
      </c>
      <c r="F127" s="635"/>
      <c r="G127" s="635"/>
      <c r="H127" s="635"/>
      <c r="I127" s="635"/>
      <c r="J127" s="635"/>
      <c r="K127" s="635"/>
      <c r="L127" s="635"/>
      <c r="M127" s="635"/>
      <c r="N127" s="635">
        <v>2</v>
      </c>
      <c r="O127" s="635">
        <v>13793</v>
      </c>
      <c r="P127" s="657"/>
      <c r="Q127" s="636">
        <v>6896.5</v>
      </c>
    </row>
    <row r="128" spans="1:17" ht="14.4" customHeight="1" x14ac:dyDescent="0.3">
      <c r="A128" s="631" t="s">
        <v>512</v>
      </c>
      <c r="B128" s="632" t="s">
        <v>2327</v>
      </c>
      <c r="C128" s="632" t="s">
        <v>2328</v>
      </c>
      <c r="D128" s="632" t="s">
        <v>2349</v>
      </c>
      <c r="E128" s="632" t="s">
        <v>1561</v>
      </c>
      <c r="F128" s="635"/>
      <c r="G128" s="635"/>
      <c r="H128" s="635"/>
      <c r="I128" s="635"/>
      <c r="J128" s="635"/>
      <c r="K128" s="635"/>
      <c r="L128" s="635"/>
      <c r="M128" s="635"/>
      <c r="N128" s="635">
        <v>226</v>
      </c>
      <c r="O128" s="635">
        <v>10735</v>
      </c>
      <c r="P128" s="657"/>
      <c r="Q128" s="636">
        <v>47.5</v>
      </c>
    </row>
    <row r="129" spans="1:17" ht="14.4" customHeight="1" x14ac:dyDescent="0.3">
      <c r="A129" s="631" t="s">
        <v>512</v>
      </c>
      <c r="B129" s="632" t="s">
        <v>2327</v>
      </c>
      <c r="C129" s="632" t="s">
        <v>2328</v>
      </c>
      <c r="D129" s="632" t="s">
        <v>2350</v>
      </c>
      <c r="E129" s="632" t="s">
        <v>1401</v>
      </c>
      <c r="F129" s="635"/>
      <c r="G129" s="635"/>
      <c r="H129" s="635"/>
      <c r="I129" s="635"/>
      <c r="J129" s="635"/>
      <c r="K129" s="635"/>
      <c r="L129" s="635"/>
      <c r="M129" s="635"/>
      <c r="N129" s="635">
        <v>6</v>
      </c>
      <c r="O129" s="635">
        <v>484.38</v>
      </c>
      <c r="P129" s="657"/>
      <c r="Q129" s="636">
        <v>80.73</v>
      </c>
    </row>
    <row r="130" spans="1:17" ht="14.4" customHeight="1" x14ac:dyDescent="0.3">
      <c r="A130" s="631" t="s">
        <v>512</v>
      </c>
      <c r="B130" s="632" t="s">
        <v>2327</v>
      </c>
      <c r="C130" s="632" t="s">
        <v>2328</v>
      </c>
      <c r="D130" s="632" t="s">
        <v>2351</v>
      </c>
      <c r="E130" s="632" t="s">
        <v>1537</v>
      </c>
      <c r="F130" s="635"/>
      <c r="G130" s="635"/>
      <c r="H130" s="635"/>
      <c r="I130" s="635"/>
      <c r="J130" s="635"/>
      <c r="K130" s="635"/>
      <c r="L130" s="635"/>
      <c r="M130" s="635"/>
      <c r="N130" s="635">
        <v>89.6</v>
      </c>
      <c r="O130" s="635">
        <v>34025.600000000006</v>
      </c>
      <c r="P130" s="657"/>
      <c r="Q130" s="636">
        <v>379.75000000000011</v>
      </c>
    </row>
    <row r="131" spans="1:17" ht="14.4" customHeight="1" x14ac:dyDescent="0.3">
      <c r="A131" s="631" t="s">
        <v>512</v>
      </c>
      <c r="B131" s="632" t="s">
        <v>2327</v>
      </c>
      <c r="C131" s="632" t="s">
        <v>2328</v>
      </c>
      <c r="D131" s="632" t="s">
        <v>2352</v>
      </c>
      <c r="E131" s="632" t="s">
        <v>1544</v>
      </c>
      <c r="F131" s="635"/>
      <c r="G131" s="635"/>
      <c r="H131" s="635"/>
      <c r="I131" s="635"/>
      <c r="J131" s="635"/>
      <c r="K131" s="635"/>
      <c r="L131" s="635"/>
      <c r="M131" s="635"/>
      <c r="N131" s="635">
        <v>46.3</v>
      </c>
      <c r="O131" s="635">
        <v>2782.8900000000003</v>
      </c>
      <c r="P131" s="657"/>
      <c r="Q131" s="636">
        <v>60.10561555075595</v>
      </c>
    </row>
    <row r="132" spans="1:17" ht="14.4" customHeight="1" x14ac:dyDescent="0.3">
      <c r="A132" s="631" t="s">
        <v>512</v>
      </c>
      <c r="B132" s="632" t="s">
        <v>2327</v>
      </c>
      <c r="C132" s="632" t="s">
        <v>2328</v>
      </c>
      <c r="D132" s="632" t="s">
        <v>2353</v>
      </c>
      <c r="E132" s="632" t="s">
        <v>1289</v>
      </c>
      <c r="F132" s="635"/>
      <c r="G132" s="635"/>
      <c r="H132" s="635"/>
      <c r="I132" s="635"/>
      <c r="J132" s="635"/>
      <c r="K132" s="635"/>
      <c r="L132" s="635"/>
      <c r="M132" s="635"/>
      <c r="N132" s="635">
        <v>12</v>
      </c>
      <c r="O132" s="635">
        <v>824.88</v>
      </c>
      <c r="P132" s="657"/>
      <c r="Q132" s="636">
        <v>68.739999999999995</v>
      </c>
    </row>
    <row r="133" spans="1:17" ht="14.4" customHeight="1" x14ac:dyDescent="0.3">
      <c r="A133" s="631" t="s">
        <v>512</v>
      </c>
      <c r="B133" s="632" t="s">
        <v>2327</v>
      </c>
      <c r="C133" s="632" t="s">
        <v>2328</v>
      </c>
      <c r="D133" s="632" t="s">
        <v>2354</v>
      </c>
      <c r="E133" s="632" t="s">
        <v>2355</v>
      </c>
      <c r="F133" s="635"/>
      <c r="G133" s="635"/>
      <c r="H133" s="635"/>
      <c r="I133" s="635"/>
      <c r="J133" s="635"/>
      <c r="K133" s="635"/>
      <c r="L133" s="635"/>
      <c r="M133" s="635"/>
      <c r="N133" s="635">
        <v>10.4</v>
      </c>
      <c r="O133" s="635">
        <v>40829.43</v>
      </c>
      <c r="P133" s="657"/>
      <c r="Q133" s="636">
        <v>3925.9067307692308</v>
      </c>
    </row>
    <row r="134" spans="1:17" ht="14.4" customHeight="1" x14ac:dyDescent="0.3">
      <c r="A134" s="631" t="s">
        <v>512</v>
      </c>
      <c r="B134" s="632" t="s">
        <v>2327</v>
      </c>
      <c r="C134" s="632" t="s">
        <v>2328</v>
      </c>
      <c r="D134" s="632" t="s">
        <v>2356</v>
      </c>
      <c r="E134" s="632" t="s">
        <v>2357</v>
      </c>
      <c r="F134" s="635"/>
      <c r="G134" s="635"/>
      <c r="H134" s="635"/>
      <c r="I134" s="635"/>
      <c r="J134" s="635"/>
      <c r="K134" s="635"/>
      <c r="L134" s="635"/>
      <c r="M134" s="635"/>
      <c r="N134" s="635">
        <v>0.6</v>
      </c>
      <c r="O134" s="635">
        <v>1321.86</v>
      </c>
      <c r="P134" s="657"/>
      <c r="Q134" s="636">
        <v>2203.1</v>
      </c>
    </row>
    <row r="135" spans="1:17" ht="14.4" customHeight="1" x14ac:dyDescent="0.3">
      <c r="A135" s="631" t="s">
        <v>512</v>
      </c>
      <c r="B135" s="632" t="s">
        <v>2327</v>
      </c>
      <c r="C135" s="632" t="s">
        <v>2328</v>
      </c>
      <c r="D135" s="632" t="s">
        <v>2358</v>
      </c>
      <c r="E135" s="632" t="s">
        <v>1557</v>
      </c>
      <c r="F135" s="635"/>
      <c r="G135" s="635"/>
      <c r="H135" s="635"/>
      <c r="I135" s="635"/>
      <c r="J135" s="635"/>
      <c r="K135" s="635"/>
      <c r="L135" s="635"/>
      <c r="M135" s="635"/>
      <c r="N135" s="635">
        <v>49</v>
      </c>
      <c r="O135" s="635">
        <v>5614.42</v>
      </c>
      <c r="P135" s="657"/>
      <c r="Q135" s="636">
        <v>114.58</v>
      </c>
    </row>
    <row r="136" spans="1:17" ht="14.4" customHeight="1" x14ac:dyDescent="0.3">
      <c r="A136" s="631" t="s">
        <v>512</v>
      </c>
      <c r="B136" s="632" t="s">
        <v>2327</v>
      </c>
      <c r="C136" s="632" t="s">
        <v>2328</v>
      </c>
      <c r="D136" s="632" t="s">
        <v>2359</v>
      </c>
      <c r="E136" s="632" t="s">
        <v>1559</v>
      </c>
      <c r="F136" s="635"/>
      <c r="G136" s="635"/>
      <c r="H136" s="635"/>
      <c r="I136" s="635"/>
      <c r="J136" s="635"/>
      <c r="K136" s="635"/>
      <c r="L136" s="635"/>
      <c r="M136" s="635"/>
      <c r="N136" s="635">
        <v>4</v>
      </c>
      <c r="O136" s="635">
        <v>916.64</v>
      </c>
      <c r="P136" s="657"/>
      <c r="Q136" s="636">
        <v>229.16</v>
      </c>
    </row>
    <row r="137" spans="1:17" ht="14.4" customHeight="1" x14ac:dyDescent="0.3">
      <c r="A137" s="631" t="s">
        <v>512</v>
      </c>
      <c r="B137" s="632" t="s">
        <v>2327</v>
      </c>
      <c r="C137" s="632" t="s">
        <v>2328</v>
      </c>
      <c r="D137" s="632" t="s">
        <v>2360</v>
      </c>
      <c r="E137" s="632" t="s">
        <v>2361</v>
      </c>
      <c r="F137" s="635"/>
      <c r="G137" s="635"/>
      <c r="H137" s="635"/>
      <c r="I137" s="635"/>
      <c r="J137" s="635"/>
      <c r="K137" s="635"/>
      <c r="L137" s="635"/>
      <c r="M137" s="635"/>
      <c r="N137" s="635">
        <v>1.2</v>
      </c>
      <c r="O137" s="635">
        <v>260.39999999999998</v>
      </c>
      <c r="P137" s="657"/>
      <c r="Q137" s="636">
        <v>217</v>
      </c>
    </row>
    <row r="138" spans="1:17" ht="14.4" customHeight="1" x14ac:dyDescent="0.3">
      <c r="A138" s="631" t="s">
        <v>512</v>
      </c>
      <c r="B138" s="632" t="s">
        <v>2327</v>
      </c>
      <c r="C138" s="632" t="s">
        <v>2328</v>
      </c>
      <c r="D138" s="632" t="s">
        <v>2362</v>
      </c>
      <c r="E138" s="632" t="s">
        <v>2363</v>
      </c>
      <c r="F138" s="635"/>
      <c r="G138" s="635"/>
      <c r="H138" s="635"/>
      <c r="I138" s="635"/>
      <c r="J138" s="635"/>
      <c r="K138" s="635"/>
      <c r="L138" s="635"/>
      <c r="M138" s="635"/>
      <c r="N138" s="635">
        <v>8</v>
      </c>
      <c r="O138" s="635">
        <v>549.91999999999996</v>
      </c>
      <c r="P138" s="657"/>
      <c r="Q138" s="636">
        <v>68.739999999999995</v>
      </c>
    </row>
    <row r="139" spans="1:17" ht="14.4" customHeight="1" x14ac:dyDescent="0.3">
      <c r="A139" s="631" t="s">
        <v>512</v>
      </c>
      <c r="B139" s="632" t="s">
        <v>2327</v>
      </c>
      <c r="C139" s="632" t="s">
        <v>2328</v>
      </c>
      <c r="D139" s="632" t="s">
        <v>2364</v>
      </c>
      <c r="E139" s="632" t="s">
        <v>1292</v>
      </c>
      <c r="F139" s="635"/>
      <c r="G139" s="635"/>
      <c r="H139" s="635"/>
      <c r="I139" s="635"/>
      <c r="J139" s="635"/>
      <c r="K139" s="635"/>
      <c r="L139" s="635"/>
      <c r="M139" s="635"/>
      <c r="N139" s="635">
        <v>6.1000000000000005</v>
      </c>
      <c r="O139" s="635">
        <v>591.39</v>
      </c>
      <c r="P139" s="657"/>
      <c r="Q139" s="636">
        <v>96.949180327868845</v>
      </c>
    </row>
    <row r="140" spans="1:17" ht="14.4" customHeight="1" x14ac:dyDescent="0.3">
      <c r="A140" s="631" t="s">
        <v>512</v>
      </c>
      <c r="B140" s="632" t="s">
        <v>2327</v>
      </c>
      <c r="C140" s="632" t="s">
        <v>2328</v>
      </c>
      <c r="D140" s="632" t="s">
        <v>2365</v>
      </c>
      <c r="E140" s="632" t="s">
        <v>2366</v>
      </c>
      <c r="F140" s="635"/>
      <c r="G140" s="635"/>
      <c r="H140" s="635"/>
      <c r="I140" s="635"/>
      <c r="J140" s="635"/>
      <c r="K140" s="635"/>
      <c r="L140" s="635"/>
      <c r="M140" s="635"/>
      <c r="N140" s="635">
        <v>22</v>
      </c>
      <c r="O140" s="635">
        <v>29609.360000000001</v>
      </c>
      <c r="P140" s="657"/>
      <c r="Q140" s="636">
        <v>1345.88</v>
      </c>
    </row>
    <row r="141" spans="1:17" ht="14.4" customHeight="1" x14ac:dyDescent="0.3">
      <c r="A141" s="631" t="s">
        <v>512</v>
      </c>
      <c r="B141" s="632" t="s">
        <v>2327</v>
      </c>
      <c r="C141" s="632" t="s">
        <v>2328</v>
      </c>
      <c r="D141" s="632" t="s">
        <v>2367</v>
      </c>
      <c r="E141" s="632" t="s">
        <v>2368</v>
      </c>
      <c r="F141" s="635"/>
      <c r="G141" s="635"/>
      <c r="H141" s="635"/>
      <c r="I141" s="635"/>
      <c r="J141" s="635"/>
      <c r="K141" s="635"/>
      <c r="L141" s="635"/>
      <c r="M141" s="635"/>
      <c r="N141" s="635">
        <v>3.6</v>
      </c>
      <c r="O141" s="635">
        <v>2880</v>
      </c>
      <c r="P141" s="657"/>
      <c r="Q141" s="636">
        <v>800</v>
      </c>
    </row>
    <row r="142" spans="1:17" ht="14.4" customHeight="1" x14ac:dyDescent="0.3">
      <c r="A142" s="631" t="s">
        <v>512</v>
      </c>
      <c r="B142" s="632" t="s">
        <v>2327</v>
      </c>
      <c r="C142" s="632" t="s">
        <v>2328</v>
      </c>
      <c r="D142" s="632" t="s">
        <v>2369</v>
      </c>
      <c r="E142" s="632" t="s">
        <v>1414</v>
      </c>
      <c r="F142" s="635"/>
      <c r="G142" s="635"/>
      <c r="H142" s="635"/>
      <c r="I142" s="635"/>
      <c r="J142" s="635"/>
      <c r="K142" s="635"/>
      <c r="L142" s="635"/>
      <c r="M142" s="635"/>
      <c r="N142" s="635">
        <v>6.7</v>
      </c>
      <c r="O142" s="635">
        <v>14462.720000000001</v>
      </c>
      <c r="P142" s="657"/>
      <c r="Q142" s="636">
        <v>2158.6149253731346</v>
      </c>
    </row>
    <row r="143" spans="1:17" ht="14.4" customHeight="1" x14ac:dyDescent="0.3">
      <c r="A143" s="631" t="s">
        <v>512</v>
      </c>
      <c r="B143" s="632" t="s">
        <v>2327</v>
      </c>
      <c r="C143" s="632" t="s">
        <v>2328</v>
      </c>
      <c r="D143" s="632" t="s">
        <v>2370</v>
      </c>
      <c r="E143" s="632" t="s">
        <v>1346</v>
      </c>
      <c r="F143" s="635"/>
      <c r="G143" s="635"/>
      <c r="H143" s="635"/>
      <c r="I143" s="635"/>
      <c r="J143" s="635"/>
      <c r="K143" s="635"/>
      <c r="L143" s="635"/>
      <c r="M143" s="635"/>
      <c r="N143" s="635">
        <v>2.9</v>
      </c>
      <c r="O143" s="635">
        <v>2348.5099999999998</v>
      </c>
      <c r="P143" s="657"/>
      <c r="Q143" s="636">
        <v>809.83103448275858</v>
      </c>
    </row>
    <row r="144" spans="1:17" ht="14.4" customHeight="1" x14ac:dyDescent="0.3">
      <c r="A144" s="631" t="s">
        <v>512</v>
      </c>
      <c r="B144" s="632" t="s">
        <v>2327</v>
      </c>
      <c r="C144" s="632" t="s">
        <v>2328</v>
      </c>
      <c r="D144" s="632" t="s">
        <v>2371</v>
      </c>
      <c r="E144" s="632" t="s">
        <v>2372</v>
      </c>
      <c r="F144" s="635"/>
      <c r="G144" s="635"/>
      <c r="H144" s="635"/>
      <c r="I144" s="635"/>
      <c r="J144" s="635"/>
      <c r="K144" s="635"/>
      <c r="L144" s="635"/>
      <c r="M144" s="635"/>
      <c r="N144" s="635">
        <v>0.4</v>
      </c>
      <c r="O144" s="635">
        <v>322.89999999999998</v>
      </c>
      <c r="P144" s="657"/>
      <c r="Q144" s="636">
        <v>807.24999999999989</v>
      </c>
    </row>
    <row r="145" spans="1:17" ht="14.4" customHeight="1" x14ac:dyDescent="0.3">
      <c r="A145" s="631" t="s">
        <v>512</v>
      </c>
      <c r="B145" s="632" t="s">
        <v>2327</v>
      </c>
      <c r="C145" s="632" t="s">
        <v>2328</v>
      </c>
      <c r="D145" s="632" t="s">
        <v>2373</v>
      </c>
      <c r="E145" s="632" t="s">
        <v>2374</v>
      </c>
      <c r="F145" s="635"/>
      <c r="G145" s="635"/>
      <c r="H145" s="635"/>
      <c r="I145" s="635"/>
      <c r="J145" s="635"/>
      <c r="K145" s="635"/>
      <c r="L145" s="635"/>
      <c r="M145" s="635"/>
      <c r="N145" s="635">
        <v>20.13</v>
      </c>
      <c r="O145" s="635">
        <v>72988.73</v>
      </c>
      <c r="P145" s="657"/>
      <c r="Q145" s="636">
        <v>3625.8683556880278</v>
      </c>
    </row>
    <row r="146" spans="1:17" ht="14.4" customHeight="1" x14ac:dyDescent="0.3">
      <c r="A146" s="631" t="s">
        <v>512</v>
      </c>
      <c r="B146" s="632" t="s">
        <v>2327</v>
      </c>
      <c r="C146" s="632" t="s">
        <v>2328</v>
      </c>
      <c r="D146" s="632" t="s">
        <v>2375</v>
      </c>
      <c r="E146" s="632" t="s">
        <v>1431</v>
      </c>
      <c r="F146" s="635"/>
      <c r="G146" s="635"/>
      <c r="H146" s="635"/>
      <c r="I146" s="635"/>
      <c r="J146" s="635"/>
      <c r="K146" s="635"/>
      <c r="L146" s="635"/>
      <c r="M146" s="635"/>
      <c r="N146" s="635">
        <v>6</v>
      </c>
      <c r="O146" s="635">
        <v>64794.06</v>
      </c>
      <c r="P146" s="657"/>
      <c r="Q146" s="636">
        <v>10799.01</v>
      </c>
    </row>
    <row r="147" spans="1:17" ht="14.4" customHeight="1" x14ac:dyDescent="0.3">
      <c r="A147" s="631" t="s">
        <v>512</v>
      </c>
      <c r="B147" s="632" t="s">
        <v>2327</v>
      </c>
      <c r="C147" s="632" t="s">
        <v>2328</v>
      </c>
      <c r="D147" s="632" t="s">
        <v>1452</v>
      </c>
      <c r="E147" s="632" t="s">
        <v>1457</v>
      </c>
      <c r="F147" s="635"/>
      <c r="G147" s="635"/>
      <c r="H147" s="635"/>
      <c r="I147" s="635"/>
      <c r="J147" s="635"/>
      <c r="K147" s="635"/>
      <c r="L147" s="635"/>
      <c r="M147" s="635"/>
      <c r="N147" s="635">
        <v>6</v>
      </c>
      <c r="O147" s="635">
        <v>21020.34</v>
      </c>
      <c r="P147" s="657"/>
      <c r="Q147" s="636">
        <v>3503.39</v>
      </c>
    </row>
    <row r="148" spans="1:17" ht="14.4" customHeight="1" x14ac:dyDescent="0.3">
      <c r="A148" s="631" t="s">
        <v>512</v>
      </c>
      <c r="B148" s="632" t="s">
        <v>2327</v>
      </c>
      <c r="C148" s="632" t="s">
        <v>2328</v>
      </c>
      <c r="D148" s="632" t="s">
        <v>1456</v>
      </c>
      <c r="E148" s="632" t="s">
        <v>1457</v>
      </c>
      <c r="F148" s="635"/>
      <c r="G148" s="635"/>
      <c r="H148" s="635"/>
      <c r="I148" s="635"/>
      <c r="J148" s="635"/>
      <c r="K148" s="635"/>
      <c r="L148" s="635"/>
      <c r="M148" s="635"/>
      <c r="N148" s="635">
        <v>1</v>
      </c>
      <c r="O148" s="635">
        <v>7006.78</v>
      </c>
      <c r="P148" s="657"/>
      <c r="Q148" s="636">
        <v>7006.78</v>
      </c>
    </row>
    <row r="149" spans="1:17" ht="14.4" customHeight="1" x14ac:dyDescent="0.3">
      <c r="A149" s="631" t="s">
        <v>512</v>
      </c>
      <c r="B149" s="632" t="s">
        <v>2327</v>
      </c>
      <c r="C149" s="632" t="s">
        <v>2328</v>
      </c>
      <c r="D149" s="632" t="s">
        <v>2376</v>
      </c>
      <c r="E149" s="632" t="s">
        <v>1360</v>
      </c>
      <c r="F149" s="635"/>
      <c r="G149" s="635"/>
      <c r="H149" s="635"/>
      <c r="I149" s="635"/>
      <c r="J149" s="635"/>
      <c r="K149" s="635"/>
      <c r="L149" s="635"/>
      <c r="M149" s="635"/>
      <c r="N149" s="635">
        <v>12</v>
      </c>
      <c r="O149" s="635">
        <v>35247.599999999999</v>
      </c>
      <c r="P149" s="657"/>
      <c r="Q149" s="636">
        <v>2937.2999999999997</v>
      </c>
    </row>
    <row r="150" spans="1:17" ht="14.4" customHeight="1" x14ac:dyDescent="0.3">
      <c r="A150" s="631" t="s">
        <v>512</v>
      </c>
      <c r="B150" s="632" t="s">
        <v>2327</v>
      </c>
      <c r="C150" s="632" t="s">
        <v>2328</v>
      </c>
      <c r="D150" s="632" t="s">
        <v>2377</v>
      </c>
      <c r="E150" s="632" t="s">
        <v>1434</v>
      </c>
      <c r="F150" s="635"/>
      <c r="G150" s="635"/>
      <c r="H150" s="635"/>
      <c r="I150" s="635"/>
      <c r="J150" s="635"/>
      <c r="K150" s="635"/>
      <c r="L150" s="635"/>
      <c r="M150" s="635"/>
      <c r="N150" s="635">
        <v>12</v>
      </c>
      <c r="O150" s="635">
        <v>182108.04</v>
      </c>
      <c r="P150" s="657"/>
      <c r="Q150" s="636">
        <v>15175.67</v>
      </c>
    </row>
    <row r="151" spans="1:17" ht="14.4" customHeight="1" x14ac:dyDescent="0.3">
      <c r="A151" s="631" t="s">
        <v>512</v>
      </c>
      <c r="B151" s="632" t="s">
        <v>2327</v>
      </c>
      <c r="C151" s="632" t="s">
        <v>2328</v>
      </c>
      <c r="D151" s="632" t="s">
        <v>2378</v>
      </c>
      <c r="E151" s="632" t="s">
        <v>1363</v>
      </c>
      <c r="F151" s="635"/>
      <c r="G151" s="635"/>
      <c r="H151" s="635"/>
      <c r="I151" s="635"/>
      <c r="J151" s="635"/>
      <c r="K151" s="635"/>
      <c r="L151" s="635"/>
      <c r="M151" s="635"/>
      <c r="N151" s="635">
        <v>0.7</v>
      </c>
      <c r="O151" s="635">
        <v>2042.11</v>
      </c>
      <c r="P151" s="657"/>
      <c r="Q151" s="636">
        <v>2917.3</v>
      </c>
    </row>
    <row r="152" spans="1:17" ht="14.4" customHeight="1" x14ac:dyDescent="0.3">
      <c r="A152" s="631" t="s">
        <v>512</v>
      </c>
      <c r="B152" s="632" t="s">
        <v>2327</v>
      </c>
      <c r="C152" s="632" t="s">
        <v>2328</v>
      </c>
      <c r="D152" s="632" t="s">
        <v>2379</v>
      </c>
      <c r="E152" s="632" t="s">
        <v>1445</v>
      </c>
      <c r="F152" s="635"/>
      <c r="G152" s="635"/>
      <c r="H152" s="635"/>
      <c r="I152" s="635"/>
      <c r="J152" s="635"/>
      <c r="K152" s="635"/>
      <c r="L152" s="635"/>
      <c r="M152" s="635"/>
      <c r="N152" s="635">
        <v>0.4</v>
      </c>
      <c r="O152" s="635">
        <v>4345.88</v>
      </c>
      <c r="P152" s="657"/>
      <c r="Q152" s="636">
        <v>10864.699999999999</v>
      </c>
    </row>
    <row r="153" spans="1:17" ht="14.4" customHeight="1" x14ac:dyDescent="0.3">
      <c r="A153" s="631" t="s">
        <v>512</v>
      </c>
      <c r="B153" s="632" t="s">
        <v>2327</v>
      </c>
      <c r="C153" s="632" t="s">
        <v>2380</v>
      </c>
      <c r="D153" s="632" t="s">
        <v>2381</v>
      </c>
      <c r="E153" s="632" t="s">
        <v>2105</v>
      </c>
      <c r="F153" s="635"/>
      <c r="G153" s="635"/>
      <c r="H153" s="635"/>
      <c r="I153" s="635"/>
      <c r="J153" s="635"/>
      <c r="K153" s="635"/>
      <c r="L153" s="635"/>
      <c r="M153" s="635"/>
      <c r="N153" s="635">
        <v>253</v>
      </c>
      <c r="O153" s="635">
        <v>471991.74</v>
      </c>
      <c r="P153" s="657"/>
      <c r="Q153" s="636">
        <v>1865.58</v>
      </c>
    </row>
    <row r="154" spans="1:17" ht="14.4" customHeight="1" x14ac:dyDescent="0.3">
      <c r="A154" s="631" t="s">
        <v>512</v>
      </c>
      <c r="B154" s="632" t="s">
        <v>2327</v>
      </c>
      <c r="C154" s="632" t="s">
        <v>2380</v>
      </c>
      <c r="D154" s="632" t="s">
        <v>2382</v>
      </c>
      <c r="E154" s="632" t="s">
        <v>2105</v>
      </c>
      <c r="F154" s="635"/>
      <c r="G154" s="635"/>
      <c r="H154" s="635"/>
      <c r="I154" s="635"/>
      <c r="J154" s="635"/>
      <c r="K154" s="635"/>
      <c r="L154" s="635"/>
      <c r="M154" s="635"/>
      <c r="N154" s="635">
        <v>6</v>
      </c>
      <c r="O154" s="635">
        <v>16372.26</v>
      </c>
      <c r="P154" s="657"/>
      <c r="Q154" s="636">
        <v>2728.71</v>
      </c>
    </row>
    <row r="155" spans="1:17" ht="14.4" customHeight="1" x14ac:dyDescent="0.3">
      <c r="A155" s="631" t="s">
        <v>512</v>
      </c>
      <c r="B155" s="632" t="s">
        <v>2327</v>
      </c>
      <c r="C155" s="632" t="s">
        <v>2380</v>
      </c>
      <c r="D155" s="632" t="s">
        <v>2383</v>
      </c>
      <c r="E155" s="632" t="s">
        <v>2105</v>
      </c>
      <c r="F155" s="635"/>
      <c r="G155" s="635"/>
      <c r="H155" s="635"/>
      <c r="I155" s="635"/>
      <c r="J155" s="635"/>
      <c r="K155" s="635"/>
      <c r="L155" s="635"/>
      <c r="M155" s="635"/>
      <c r="N155" s="635">
        <v>1</v>
      </c>
      <c r="O155" s="635">
        <v>1865.58</v>
      </c>
      <c r="P155" s="657"/>
      <c r="Q155" s="636">
        <v>1865.58</v>
      </c>
    </row>
    <row r="156" spans="1:17" ht="14.4" customHeight="1" x14ac:dyDescent="0.3">
      <c r="A156" s="631" t="s">
        <v>512</v>
      </c>
      <c r="B156" s="632" t="s">
        <v>2327</v>
      </c>
      <c r="C156" s="632" t="s">
        <v>2380</v>
      </c>
      <c r="D156" s="632" t="s">
        <v>2384</v>
      </c>
      <c r="E156" s="632" t="s">
        <v>2105</v>
      </c>
      <c r="F156" s="635"/>
      <c r="G156" s="635"/>
      <c r="H156" s="635"/>
      <c r="I156" s="635"/>
      <c r="J156" s="635"/>
      <c r="K156" s="635"/>
      <c r="L156" s="635"/>
      <c r="M156" s="635"/>
      <c r="N156" s="635">
        <v>1</v>
      </c>
      <c r="O156" s="635">
        <v>8191.63</v>
      </c>
      <c r="P156" s="657"/>
      <c r="Q156" s="636">
        <v>8191.63</v>
      </c>
    </row>
    <row r="157" spans="1:17" ht="14.4" customHeight="1" x14ac:dyDescent="0.3">
      <c r="A157" s="631" t="s">
        <v>512</v>
      </c>
      <c r="B157" s="632" t="s">
        <v>2327</v>
      </c>
      <c r="C157" s="632" t="s">
        <v>2380</v>
      </c>
      <c r="D157" s="632" t="s">
        <v>2385</v>
      </c>
      <c r="E157" s="632" t="s">
        <v>2105</v>
      </c>
      <c r="F157" s="635"/>
      <c r="G157" s="635"/>
      <c r="H157" s="635"/>
      <c r="I157" s="635"/>
      <c r="J157" s="635"/>
      <c r="K157" s="635"/>
      <c r="L157" s="635"/>
      <c r="M157" s="635"/>
      <c r="N157" s="635">
        <v>1</v>
      </c>
      <c r="O157" s="635">
        <v>8074.36</v>
      </c>
      <c r="P157" s="657"/>
      <c r="Q157" s="636">
        <v>8074.36</v>
      </c>
    </row>
    <row r="158" spans="1:17" ht="14.4" customHeight="1" x14ac:dyDescent="0.3">
      <c r="A158" s="631" t="s">
        <v>512</v>
      </c>
      <c r="B158" s="632" t="s">
        <v>2327</v>
      </c>
      <c r="C158" s="632" t="s">
        <v>2380</v>
      </c>
      <c r="D158" s="632" t="s">
        <v>2386</v>
      </c>
      <c r="E158" s="632" t="s">
        <v>2105</v>
      </c>
      <c r="F158" s="635"/>
      <c r="G158" s="635"/>
      <c r="H158" s="635"/>
      <c r="I158" s="635"/>
      <c r="J158" s="635"/>
      <c r="K158" s="635"/>
      <c r="L158" s="635"/>
      <c r="M158" s="635"/>
      <c r="N158" s="635">
        <v>18</v>
      </c>
      <c r="O158" s="635">
        <v>174349.8</v>
      </c>
      <c r="P158" s="657"/>
      <c r="Q158" s="636">
        <v>9686.0999999999985</v>
      </c>
    </row>
    <row r="159" spans="1:17" ht="14.4" customHeight="1" x14ac:dyDescent="0.3">
      <c r="A159" s="631" t="s">
        <v>512</v>
      </c>
      <c r="B159" s="632" t="s">
        <v>2327</v>
      </c>
      <c r="C159" s="632" t="s">
        <v>2380</v>
      </c>
      <c r="D159" s="632" t="s">
        <v>2387</v>
      </c>
      <c r="E159" s="632" t="s">
        <v>2105</v>
      </c>
      <c r="F159" s="635"/>
      <c r="G159" s="635"/>
      <c r="H159" s="635"/>
      <c r="I159" s="635"/>
      <c r="J159" s="635"/>
      <c r="K159" s="635"/>
      <c r="L159" s="635"/>
      <c r="M159" s="635"/>
      <c r="N159" s="635">
        <v>144</v>
      </c>
      <c r="O159" s="635">
        <v>133282.08000000002</v>
      </c>
      <c r="P159" s="657"/>
      <c r="Q159" s="636">
        <v>925.57000000000016</v>
      </c>
    </row>
    <row r="160" spans="1:17" ht="14.4" customHeight="1" x14ac:dyDescent="0.3">
      <c r="A160" s="631" t="s">
        <v>512</v>
      </c>
      <c r="B160" s="632" t="s">
        <v>2327</v>
      </c>
      <c r="C160" s="632" t="s">
        <v>2380</v>
      </c>
      <c r="D160" s="632" t="s">
        <v>2388</v>
      </c>
      <c r="E160" s="632" t="s">
        <v>2105</v>
      </c>
      <c r="F160" s="635"/>
      <c r="G160" s="635"/>
      <c r="H160" s="635"/>
      <c r="I160" s="635"/>
      <c r="J160" s="635"/>
      <c r="K160" s="635"/>
      <c r="L160" s="635"/>
      <c r="M160" s="635"/>
      <c r="N160" s="635">
        <v>1</v>
      </c>
      <c r="O160" s="635">
        <v>238.68</v>
      </c>
      <c r="P160" s="657"/>
      <c r="Q160" s="636">
        <v>238.68</v>
      </c>
    </row>
    <row r="161" spans="1:17" ht="14.4" customHeight="1" x14ac:dyDescent="0.3">
      <c r="A161" s="631" t="s">
        <v>512</v>
      </c>
      <c r="B161" s="632" t="s">
        <v>2327</v>
      </c>
      <c r="C161" s="632" t="s">
        <v>2389</v>
      </c>
      <c r="D161" s="632" t="s">
        <v>2390</v>
      </c>
      <c r="E161" s="632" t="s">
        <v>2391</v>
      </c>
      <c r="F161" s="635"/>
      <c r="G161" s="635"/>
      <c r="H161" s="635"/>
      <c r="I161" s="635"/>
      <c r="J161" s="635"/>
      <c r="K161" s="635"/>
      <c r="L161" s="635"/>
      <c r="M161" s="635"/>
      <c r="N161" s="635">
        <v>1</v>
      </c>
      <c r="O161" s="635">
        <v>329.98</v>
      </c>
      <c r="P161" s="657"/>
      <c r="Q161" s="636">
        <v>329.98</v>
      </c>
    </row>
    <row r="162" spans="1:17" ht="14.4" customHeight="1" x14ac:dyDescent="0.3">
      <c r="A162" s="631" t="s">
        <v>512</v>
      </c>
      <c r="B162" s="632" t="s">
        <v>2327</v>
      </c>
      <c r="C162" s="632" t="s">
        <v>2389</v>
      </c>
      <c r="D162" s="632" t="s">
        <v>2392</v>
      </c>
      <c r="E162" s="632" t="s">
        <v>2393</v>
      </c>
      <c r="F162" s="635"/>
      <c r="G162" s="635"/>
      <c r="H162" s="635"/>
      <c r="I162" s="635"/>
      <c r="J162" s="635"/>
      <c r="K162" s="635"/>
      <c r="L162" s="635"/>
      <c r="M162" s="635"/>
      <c r="N162" s="635">
        <v>0.2</v>
      </c>
      <c r="O162" s="635">
        <v>192.55</v>
      </c>
      <c r="P162" s="657"/>
      <c r="Q162" s="636">
        <v>962.75</v>
      </c>
    </row>
    <row r="163" spans="1:17" ht="14.4" customHeight="1" x14ac:dyDescent="0.3">
      <c r="A163" s="631" t="s">
        <v>512</v>
      </c>
      <c r="B163" s="632" t="s">
        <v>2327</v>
      </c>
      <c r="C163" s="632" t="s">
        <v>2389</v>
      </c>
      <c r="D163" s="632" t="s">
        <v>2394</v>
      </c>
      <c r="E163" s="632" t="s">
        <v>2393</v>
      </c>
      <c r="F163" s="635"/>
      <c r="G163" s="635"/>
      <c r="H163" s="635"/>
      <c r="I163" s="635"/>
      <c r="J163" s="635"/>
      <c r="K163" s="635"/>
      <c r="L163" s="635"/>
      <c r="M163" s="635"/>
      <c r="N163" s="635">
        <v>1.4</v>
      </c>
      <c r="O163" s="635">
        <v>881.41</v>
      </c>
      <c r="P163" s="657"/>
      <c r="Q163" s="636">
        <v>629.57857142857142</v>
      </c>
    </row>
    <row r="164" spans="1:17" ht="14.4" customHeight="1" x14ac:dyDescent="0.3">
      <c r="A164" s="631" t="s">
        <v>512</v>
      </c>
      <c r="B164" s="632" t="s">
        <v>2327</v>
      </c>
      <c r="C164" s="632" t="s">
        <v>2389</v>
      </c>
      <c r="D164" s="632" t="s">
        <v>2395</v>
      </c>
      <c r="E164" s="632" t="s">
        <v>2396</v>
      </c>
      <c r="F164" s="635"/>
      <c r="G164" s="635"/>
      <c r="H164" s="635"/>
      <c r="I164" s="635"/>
      <c r="J164" s="635"/>
      <c r="K164" s="635"/>
      <c r="L164" s="635"/>
      <c r="M164" s="635"/>
      <c r="N164" s="635">
        <v>6</v>
      </c>
      <c r="O164" s="635">
        <v>15387</v>
      </c>
      <c r="P164" s="657"/>
      <c r="Q164" s="636">
        <v>2564.5</v>
      </c>
    </row>
    <row r="165" spans="1:17" ht="14.4" customHeight="1" x14ac:dyDescent="0.3">
      <c r="A165" s="631" t="s">
        <v>512</v>
      </c>
      <c r="B165" s="632" t="s">
        <v>2327</v>
      </c>
      <c r="C165" s="632" t="s">
        <v>2389</v>
      </c>
      <c r="D165" s="632" t="s">
        <v>2397</v>
      </c>
      <c r="E165" s="632" t="s">
        <v>2398</v>
      </c>
      <c r="F165" s="635"/>
      <c r="G165" s="635"/>
      <c r="H165" s="635"/>
      <c r="I165" s="635"/>
      <c r="J165" s="635"/>
      <c r="K165" s="635"/>
      <c r="L165" s="635"/>
      <c r="M165" s="635"/>
      <c r="N165" s="635">
        <v>2</v>
      </c>
      <c r="O165" s="635">
        <v>3887.8</v>
      </c>
      <c r="P165" s="657"/>
      <c r="Q165" s="636">
        <v>1943.9</v>
      </c>
    </row>
    <row r="166" spans="1:17" ht="14.4" customHeight="1" x14ac:dyDescent="0.3">
      <c r="A166" s="631" t="s">
        <v>512</v>
      </c>
      <c r="B166" s="632" t="s">
        <v>2327</v>
      </c>
      <c r="C166" s="632" t="s">
        <v>2389</v>
      </c>
      <c r="D166" s="632" t="s">
        <v>2399</v>
      </c>
      <c r="E166" s="632" t="s">
        <v>2400</v>
      </c>
      <c r="F166" s="635"/>
      <c r="G166" s="635"/>
      <c r="H166" s="635"/>
      <c r="I166" s="635"/>
      <c r="J166" s="635"/>
      <c r="K166" s="635"/>
      <c r="L166" s="635"/>
      <c r="M166" s="635"/>
      <c r="N166" s="635">
        <v>2</v>
      </c>
      <c r="O166" s="635">
        <v>3887.8</v>
      </c>
      <c r="P166" s="657"/>
      <c r="Q166" s="636">
        <v>1943.9</v>
      </c>
    </row>
    <row r="167" spans="1:17" ht="14.4" customHeight="1" x14ac:dyDescent="0.3">
      <c r="A167" s="631" t="s">
        <v>512</v>
      </c>
      <c r="B167" s="632" t="s">
        <v>2327</v>
      </c>
      <c r="C167" s="632" t="s">
        <v>2389</v>
      </c>
      <c r="D167" s="632" t="s">
        <v>2401</v>
      </c>
      <c r="E167" s="632" t="s">
        <v>2402</v>
      </c>
      <c r="F167" s="635"/>
      <c r="G167" s="635"/>
      <c r="H167" s="635"/>
      <c r="I167" s="635"/>
      <c r="J167" s="635"/>
      <c r="K167" s="635"/>
      <c r="L167" s="635"/>
      <c r="M167" s="635"/>
      <c r="N167" s="635">
        <v>5</v>
      </c>
      <c r="O167" s="635">
        <v>345.1</v>
      </c>
      <c r="P167" s="657"/>
      <c r="Q167" s="636">
        <v>69.02000000000001</v>
      </c>
    </row>
    <row r="168" spans="1:17" ht="14.4" customHeight="1" x14ac:dyDescent="0.3">
      <c r="A168" s="631" t="s">
        <v>512</v>
      </c>
      <c r="B168" s="632" t="s">
        <v>2327</v>
      </c>
      <c r="C168" s="632" t="s">
        <v>2389</v>
      </c>
      <c r="D168" s="632" t="s">
        <v>2403</v>
      </c>
      <c r="E168" s="632" t="s">
        <v>2404</v>
      </c>
      <c r="F168" s="635"/>
      <c r="G168" s="635"/>
      <c r="H168" s="635"/>
      <c r="I168" s="635"/>
      <c r="J168" s="635"/>
      <c r="K168" s="635"/>
      <c r="L168" s="635"/>
      <c r="M168" s="635"/>
      <c r="N168" s="635">
        <v>1</v>
      </c>
      <c r="O168" s="635">
        <v>5440.91</v>
      </c>
      <c r="P168" s="657"/>
      <c r="Q168" s="636">
        <v>5440.91</v>
      </c>
    </row>
    <row r="169" spans="1:17" ht="14.4" customHeight="1" x14ac:dyDescent="0.3">
      <c r="A169" s="631" t="s">
        <v>512</v>
      </c>
      <c r="B169" s="632" t="s">
        <v>2327</v>
      </c>
      <c r="C169" s="632" t="s">
        <v>2389</v>
      </c>
      <c r="D169" s="632" t="s">
        <v>2405</v>
      </c>
      <c r="E169" s="632" t="s">
        <v>2406</v>
      </c>
      <c r="F169" s="635"/>
      <c r="G169" s="635"/>
      <c r="H169" s="635"/>
      <c r="I169" s="635"/>
      <c r="J169" s="635"/>
      <c r="K169" s="635"/>
      <c r="L169" s="635"/>
      <c r="M169" s="635"/>
      <c r="N169" s="635">
        <v>2</v>
      </c>
      <c r="O169" s="635">
        <v>13665.5</v>
      </c>
      <c r="P169" s="657"/>
      <c r="Q169" s="636">
        <v>6832.75</v>
      </c>
    </row>
    <row r="170" spans="1:17" ht="14.4" customHeight="1" x14ac:dyDescent="0.3">
      <c r="A170" s="631" t="s">
        <v>512</v>
      </c>
      <c r="B170" s="632" t="s">
        <v>2327</v>
      </c>
      <c r="C170" s="632" t="s">
        <v>2389</v>
      </c>
      <c r="D170" s="632" t="s">
        <v>2407</v>
      </c>
      <c r="E170" s="632" t="s">
        <v>2408</v>
      </c>
      <c r="F170" s="635"/>
      <c r="G170" s="635"/>
      <c r="H170" s="635"/>
      <c r="I170" s="635"/>
      <c r="J170" s="635"/>
      <c r="K170" s="635"/>
      <c r="L170" s="635"/>
      <c r="M170" s="635"/>
      <c r="N170" s="635">
        <v>1</v>
      </c>
      <c r="O170" s="635">
        <v>6570.55</v>
      </c>
      <c r="P170" s="657"/>
      <c r="Q170" s="636">
        <v>6570.55</v>
      </c>
    </row>
    <row r="171" spans="1:17" ht="14.4" customHeight="1" x14ac:dyDescent="0.3">
      <c r="A171" s="631" t="s">
        <v>512</v>
      </c>
      <c r="B171" s="632" t="s">
        <v>2327</v>
      </c>
      <c r="C171" s="632" t="s">
        <v>2389</v>
      </c>
      <c r="D171" s="632" t="s">
        <v>2409</v>
      </c>
      <c r="E171" s="632" t="s">
        <v>2402</v>
      </c>
      <c r="F171" s="635"/>
      <c r="G171" s="635"/>
      <c r="H171" s="635"/>
      <c r="I171" s="635"/>
      <c r="J171" s="635"/>
      <c r="K171" s="635"/>
      <c r="L171" s="635"/>
      <c r="M171" s="635"/>
      <c r="N171" s="635">
        <v>2</v>
      </c>
      <c r="O171" s="635">
        <v>242.5</v>
      </c>
      <c r="P171" s="657"/>
      <c r="Q171" s="636">
        <v>121.25</v>
      </c>
    </row>
    <row r="172" spans="1:17" ht="14.4" customHeight="1" x14ac:dyDescent="0.3">
      <c r="A172" s="631" t="s">
        <v>512</v>
      </c>
      <c r="B172" s="632" t="s">
        <v>2327</v>
      </c>
      <c r="C172" s="632" t="s">
        <v>2389</v>
      </c>
      <c r="D172" s="632" t="s">
        <v>2410</v>
      </c>
      <c r="E172" s="632" t="s">
        <v>2411</v>
      </c>
      <c r="F172" s="635"/>
      <c r="G172" s="635"/>
      <c r="H172" s="635"/>
      <c r="I172" s="635"/>
      <c r="J172" s="635"/>
      <c r="K172" s="635"/>
      <c r="L172" s="635"/>
      <c r="M172" s="635"/>
      <c r="N172" s="635">
        <v>3</v>
      </c>
      <c r="O172" s="635">
        <v>2367.87</v>
      </c>
      <c r="P172" s="657"/>
      <c r="Q172" s="636">
        <v>789.29</v>
      </c>
    </row>
    <row r="173" spans="1:17" ht="14.4" customHeight="1" x14ac:dyDescent="0.3">
      <c r="A173" s="631" t="s">
        <v>512</v>
      </c>
      <c r="B173" s="632" t="s">
        <v>2327</v>
      </c>
      <c r="C173" s="632" t="s">
        <v>2389</v>
      </c>
      <c r="D173" s="632" t="s">
        <v>2412</v>
      </c>
      <c r="E173" s="632" t="s">
        <v>2413</v>
      </c>
      <c r="F173" s="635"/>
      <c r="G173" s="635"/>
      <c r="H173" s="635"/>
      <c r="I173" s="635"/>
      <c r="J173" s="635"/>
      <c r="K173" s="635"/>
      <c r="L173" s="635"/>
      <c r="M173" s="635"/>
      <c r="N173" s="635">
        <v>1</v>
      </c>
      <c r="O173" s="635">
        <v>68578</v>
      </c>
      <c r="P173" s="657"/>
      <c r="Q173" s="636">
        <v>68578</v>
      </c>
    </row>
    <row r="174" spans="1:17" ht="14.4" customHeight="1" x14ac:dyDescent="0.3">
      <c r="A174" s="631" t="s">
        <v>512</v>
      </c>
      <c r="B174" s="632" t="s">
        <v>2327</v>
      </c>
      <c r="C174" s="632" t="s">
        <v>2389</v>
      </c>
      <c r="D174" s="632" t="s">
        <v>2414</v>
      </c>
      <c r="E174" s="632" t="s">
        <v>2415</v>
      </c>
      <c r="F174" s="635"/>
      <c r="G174" s="635"/>
      <c r="H174" s="635"/>
      <c r="I174" s="635"/>
      <c r="J174" s="635"/>
      <c r="K174" s="635"/>
      <c r="L174" s="635"/>
      <c r="M174" s="635"/>
      <c r="N174" s="635">
        <v>1</v>
      </c>
      <c r="O174" s="635">
        <v>15998.9</v>
      </c>
      <c r="P174" s="657"/>
      <c r="Q174" s="636">
        <v>15998.9</v>
      </c>
    </row>
    <row r="175" spans="1:17" ht="14.4" customHeight="1" x14ac:dyDescent="0.3">
      <c r="A175" s="631" t="s">
        <v>512</v>
      </c>
      <c r="B175" s="632" t="s">
        <v>2327</v>
      </c>
      <c r="C175" s="632" t="s">
        <v>2389</v>
      </c>
      <c r="D175" s="632" t="s">
        <v>2416</v>
      </c>
      <c r="E175" s="632" t="s">
        <v>2417</v>
      </c>
      <c r="F175" s="635"/>
      <c r="G175" s="635"/>
      <c r="H175" s="635"/>
      <c r="I175" s="635"/>
      <c r="J175" s="635"/>
      <c r="K175" s="635"/>
      <c r="L175" s="635"/>
      <c r="M175" s="635"/>
      <c r="N175" s="635">
        <v>2</v>
      </c>
      <c r="O175" s="635">
        <v>7428.44</v>
      </c>
      <c r="P175" s="657"/>
      <c r="Q175" s="636">
        <v>3714.22</v>
      </c>
    </row>
    <row r="176" spans="1:17" ht="14.4" customHeight="1" x14ac:dyDescent="0.3">
      <c r="A176" s="631" t="s">
        <v>512</v>
      </c>
      <c r="B176" s="632" t="s">
        <v>2327</v>
      </c>
      <c r="C176" s="632" t="s">
        <v>2389</v>
      </c>
      <c r="D176" s="632" t="s">
        <v>2418</v>
      </c>
      <c r="E176" s="632" t="s">
        <v>2419</v>
      </c>
      <c r="F176" s="635"/>
      <c r="G176" s="635"/>
      <c r="H176" s="635"/>
      <c r="I176" s="635"/>
      <c r="J176" s="635"/>
      <c r="K176" s="635"/>
      <c r="L176" s="635"/>
      <c r="M176" s="635"/>
      <c r="N176" s="635">
        <v>1</v>
      </c>
      <c r="O176" s="635">
        <v>10124.24</v>
      </c>
      <c r="P176" s="657"/>
      <c r="Q176" s="636">
        <v>10124.24</v>
      </c>
    </row>
    <row r="177" spans="1:17" ht="14.4" customHeight="1" x14ac:dyDescent="0.3">
      <c r="A177" s="631" t="s">
        <v>512</v>
      </c>
      <c r="B177" s="632" t="s">
        <v>2327</v>
      </c>
      <c r="C177" s="632" t="s">
        <v>2389</v>
      </c>
      <c r="D177" s="632" t="s">
        <v>2420</v>
      </c>
      <c r="E177" s="632" t="s">
        <v>2421</v>
      </c>
      <c r="F177" s="635"/>
      <c r="G177" s="635"/>
      <c r="H177" s="635"/>
      <c r="I177" s="635"/>
      <c r="J177" s="635"/>
      <c r="K177" s="635"/>
      <c r="L177" s="635"/>
      <c r="M177" s="635"/>
      <c r="N177" s="635">
        <v>1</v>
      </c>
      <c r="O177" s="635">
        <v>1796</v>
      </c>
      <c r="P177" s="657"/>
      <c r="Q177" s="636">
        <v>1796</v>
      </c>
    </row>
    <row r="178" spans="1:17" ht="14.4" customHeight="1" x14ac:dyDescent="0.3">
      <c r="A178" s="631" t="s">
        <v>512</v>
      </c>
      <c r="B178" s="632" t="s">
        <v>2327</v>
      </c>
      <c r="C178" s="632" t="s">
        <v>2389</v>
      </c>
      <c r="D178" s="632" t="s">
        <v>2422</v>
      </c>
      <c r="E178" s="632" t="s">
        <v>2423</v>
      </c>
      <c r="F178" s="635"/>
      <c r="G178" s="635"/>
      <c r="H178" s="635"/>
      <c r="I178" s="635"/>
      <c r="J178" s="635"/>
      <c r="K178" s="635"/>
      <c r="L178" s="635"/>
      <c r="M178" s="635"/>
      <c r="N178" s="635">
        <v>1</v>
      </c>
      <c r="O178" s="635">
        <v>1796</v>
      </c>
      <c r="P178" s="657"/>
      <c r="Q178" s="636">
        <v>1796</v>
      </c>
    </row>
    <row r="179" spans="1:17" ht="14.4" customHeight="1" x14ac:dyDescent="0.3">
      <c r="A179" s="631" t="s">
        <v>512</v>
      </c>
      <c r="B179" s="632" t="s">
        <v>2327</v>
      </c>
      <c r="C179" s="632" t="s">
        <v>2389</v>
      </c>
      <c r="D179" s="632" t="s">
        <v>2424</v>
      </c>
      <c r="E179" s="632" t="s">
        <v>2425</v>
      </c>
      <c r="F179" s="635"/>
      <c r="G179" s="635"/>
      <c r="H179" s="635"/>
      <c r="I179" s="635"/>
      <c r="J179" s="635"/>
      <c r="K179" s="635"/>
      <c r="L179" s="635"/>
      <c r="M179" s="635"/>
      <c r="N179" s="635">
        <v>9</v>
      </c>
      <c r="O179" s="635">
        <v>5008.5</v>
      </c>
      <c r="P179" s="657"/>
      <c r="Q179" s="636">
        <v>556.5</v>
      </c>
    </row>
    <row r="180" spans="1:17" ht="14.4" customHeight="1" x14ac:dyDescent="0.3">
      <c r="A180" s="631" t="s">
        <v>512</v>
      </c>
      <c r="B180" s="632" t="s">
        <v>2327</v>
      </c>
      <c r="C180" s="632" t="s">
        <v>2389</v>
      </c>
      <c r="D180" s="632" t="s">
        <v>2426</v>
      </c>
      <c r="E180" s="632" t="s">
        <v>2393</v>
      </c>
      <c r="F180" s="635"/>
      <c r="G180" s="635"/>
      <c r="H180" s="635"/>
      <c r="I180" s="635"/>
      <c r="J180" s="635"/>
      <c r="K180" s="635"/>
      <c r="L180" s="635"/>
      <c r="M180" s="635"/>
      <c r="N180" s="635">
        <v>0.6</v>
      </c>
      <c r="O180" s="635">
        <v>151.21</v>
      </c>
      <c r="P180" s="657"/>
      <c r="Q180" s="636">
        <v>252.01666666666668</v>
      </c>
    </row>
    <row r="181" spans="1:17" ht="14.4" customHeight="1" x14ac:dyDescent="0.3">
      <c r="A181" s="631" t="s">
        <v>512</v>
      </c>
      <c r="B181" s="632" t="s">
        <v>2327</v>
      </c>
      <c r="C181" s="632" t="s">
        <v>2389</v>
      </c>
      <c r="D181" s="632" t="s">
        <v>2427</v>
      </c>
      <c r="E181" s="632" t="s">
        <v>2393</v>
      </c>
      <c r="F181" s="635"/>
      <c r="G181" s="635"/>
      <c r="H181" s="635"/>
      <c r="I181" s="635"/>
      <c r="J181" s="635"/>
      <c r="K181" s="635"/>
      <c r="L181" s="635"/>
      <c r="M181" s="635"/>
      <c r="N181" s="635">
        <v>8</v>
      </c>
      <c r="O181" s="635">
        <v>14790.96</v>
      </c>
      <c r="P181" s="657"/>
      <c r="Q181" s="636">
        <v>1848.87</v>
      </c>
    </row>
    <row r="182" spans="1:17" ht="14.4" customHeight="1" x14ac:dyDescent="0.3">
      <c r="A182" s="631" t="s">
        <v>512</v>
      </c>
      <c r="B182" s="632" t="s">
        <v>2327</v>
      </c>
      <c r="C182" s="632" t="s">
        <v>2389</v>
      </c>
      <c r="D182" s="632" t="s">
        <v>2428</v>
      </c>
      <c r="E182" s="632" t="s">
        <v>2429</v>
      </c>
      <c r="F182" s="635"/>
      <c r="G182" s="635"/>
      <c r="H182" s="635"/>
      <c r="I182" s="635"/>
      <c r="J182" s="635"/>
      <c r="K182" s="635"/>
      <c r="L182" s="635"/>
      <c r="M182" s="635"/>
      <c r="N182" s="635">
        <v>8</v>
      </c>
      <c r="O182" s="635">
        <v>10496</v>
      </c>
      <c r="P182" s="657"/>
      <c r="Q182" s="636">
        <v>1312</v>
      </c>
    </row>
    <row r="183" spans="1:17" ht="14.4" customHeight="1" x14ac:dyDescent="0.3">
      <c r="A183" s="631" t="s">
        <v>512</v>
      </c>
      <c r="B183" s="632" t="s">
        <v>2327</v>
      </c>
      <c r="C183" s="632" t="s">
        <v>2389</v>
      </c>
      <c r="D183" s="632" t="s">
        <v>2430</v>
      </c>
      <c r="E183" s="632" t="s">
        <v>2431</v>
      </c>
      <c r="F183" s="635"/>
      <c r="G183" s="635"/>
      <c r="H183" s="635"/>
      <c r="I183" s="635"/>
      <c r="J183" s="635"/>
      <c r="K183" s="635"/>
      <c r="L183" s="635"/>
      <c r="M183" s="635"/>
      <c r="N183" s="635">
        <v>3</v>
      </c>
      <c r="O183" s="635">
        <v>4680</v>
      </c>
      <c r="P183" s="657"/>
      <c r="Q183" s="636">
        <v>1560</v>
      </c>
    </row>
    <row r="184" spans="1:17" ht="14.4" customHeight="1" x14ac:dyDescent="0.3">
      <c r="A184" s="631" t="s">
        <v>512</v>
      </c>
      <c r="B184" s="632" t="s">
        <v>2327</v>
      </c>
      <c r="C184" s="632" t="s">
        <v>2389</v>
      </c>
      <c r="D184" s="632" t="s">
        <v>2432</v>
      </c>
      <c r="E184" s="632" t="s">
        <v>2433</v>
      </c>
      <c r="F184" s="635"/>
      <c r="G184" s="635"/>
      <c r="H184" s="635"/>
      <c r="I184" s="635"/>
      <c r="J184" s="635"/>
      <c r="K184" s="635"/>
      <c r="L184" s="635"/>
      <c r="M184" s="635"/>
      <c r="N184" s="635">
        <v>1</v>
      </c>
      <c r="O184" s="635">
        <v>3960</v>
      </c>
      <c r="P184" s="657"/>
      <c r="Q184" s="636">
        <v>3960</v>
      </c>
    </row>
    <row r="185" spans="1:17" ht="14.4" customHeight="1" x14ac:dyDescent="0.3">
      <c r="A185" s="631" t="s">
        <v>512</v>
      </c>
      <c r="B185" s="632" t="s">
        <v>2327</v>
      </c>
      <c r="C185" s="632" t="s">
        <v>2389</v>
      </c>
      <c r="D185" s="632" t="s">
        <v>2434</v>
      </c>
      <c r="E185" s="632" t="s">
        <v>2433</v>
      </c>
      <c r="F185" s="635"/>
      <c r="G185" s="635"/>
      <c r="H185" s="635"/>
      <c r="I185" s="635"/>
      <c r="J185" s="635"/>
      <c r="K185" s="635"/>
      <c r="L185" s="635"/>
      <c r="M185" s="635"/>
      <c r="N185" s="635">
        <v>2</v>
      </c>
      <c r="O185" s="635">
        <v>10800</v>
      </c>
      <c r="P185" s="657"/>
      <c r="Q185" s="636">
        <v>5400</v>
      </c>
    </row>
    <row r="186" spans="1:17" ht="14.4" customHeight="1" x14ac:dyDescent="0.3">
      <c r="A186" s="631" t="s">
        <v>512</v>
      </c>
      <c r="B186" s="632" t="s">
        <v>2327</v>
      </c>
      <c r="C186" s="632" t="s">
        <v>2389</v>
      </c>
      <c r="D186" s="632" t="s">
        <v>2435</v>
      </c>
      <c r="E186" s="632" t="s">
        <v>2436</v>
      </c>
      <c r="F186" s="635"/>
      <c r="G186" s="635"/>
      <c r="H186" s="635"/>
      <c r="I186" s="635"/>
      <c r="J186" s="635"/>
      <c r="K186" s="635"/>
      <c r="L186" s="635"/>
      <c r="M186" s="635"/>
      <c r="N186" s="635">
        <v>20</v>
      </c>
      <c r="O186" s="635">
        <v>11006</v>
      </c>
      <c r="P186" s="657"/>
      <c r="Q186" s="636">
        <v>550.29999999999995</v>
      </c>
    </row>
    <row r="187" spans="1:17" ht="14.4" customHeight="1" x14ac:dyDescent="0.3">
      <c r="A187" s="631" t="s">
        <v>512</v>
      </c>
      <c r="B187" s="632" t="s">
        <v>2327</v>
      </c>
      <c r="C187" s="632" t="s">
        <v>2389</v>
      </c>
      <c r="D187" s="632" t="s">
        <v>2437</v>
      </c>
      <c r="E187" s="632" t="s">
        <v>2438</v>
      </c>
      <c r="F187" s="635"/>
      <c r="G187" s="635"/>
      <c r="H187" s="635"/>
      <c r="I187" s="635"/>
      <c r="J187" s="635"/>
      <c r="K187" s="635"/>
      <c r="L187" s="635"/>
      <c r="M187" s="635"/>
      <c r="N187" s="635">
        <v>9</v>
      </c>
      <c r="O187" s="635">
        <v>5436</v>
      </c>
      <c r="P187" s="657"/>
      <c r="Q187" s="636">
        <v>604</v>
      </c>
    </row>
    <row r="188" spans="1:17" ht="14.4" customHeight="1" x14ac:dyDescent="0.3">
      <c r="A188" s="631" t="s">
        <v>512</v>
      </c>
      <c r="B188" s="632" t="s">
        <v>2327</v>
      </c>
      <c r="C188" s="632" t="s">
        <v>2389</v>
      </c>
      <c r="D188" s="632" t="s">
        <v>2439</v>
      </c>
      <c r="E188" s="632" t="s">
        <v>2440</v>
      </c>
      <c r="F188" s="635"/>
      <c r="G188" s="635"/>
      <c r="H188" s="635"/>
      <c r="I188" s="635"/>
      <c r="J188" s="635"/>
      <c r="K188" s="635"/>
      <c r="L188" s="635"/>
      <c r="M188" s="635"/>
      <c r="N188" s="635">
        <v>2</v>
      </c>
      <c r="O188" s="635">
        <v>6810.98</v>
      </c>
      <c r="P188" s="657"/>
      <c r="Q188" s="636">
        <v>3405.49</v>
      </c>
    </row>
    <row r="189" spans="1:17" ht="14.4" customHeight="1" x14ac:dyDescent="0.3">
      <c r="A189" s="631" t="s">
        <v>512</v>
      </c>
      <c r="B189" s="632" t="s">
        <v>2327</v>
      </c>
      <c r="C189" s="632" t="s">
        <v>2389</v>
      </c>
      <c r="D189" s="632" t="s">
        <v>2441</v>
      </c>
      <c r="E189" s="632" t="s">
        <v>2442</v>
      </c>
      <c r="F189" s="635"/>
      <c r="G189" s="635"/>
      <c r="H189" s="635"/>
      <c r="I189" s="635"/>
      <c r="J189" s="635"/>
      <c r="K189" s="635"/>
      <c r="L189" s="635"/>
      <c r="M189" s="635"/>
      <c r="N189" s="635">
        <v>1</v>
      </c>
      <c r="O189" s="635">
        <v>19433.599999999999</v>
      </c>
      <c r="P189" s="657"/>
      <c r="Q189" s="636">
        <v>19433.599999999999</v>
      </c>
    </row>
    <row r="190" spans="1:17" ht="14.4" customHeight="1" x14ac:dyDescent="0.3">
      <c r="A190" s="631" t="s">
        <v>512</v>
      </c>
      <c r="B190" s="632" t="s">
        <v>2327</v>
      </c>
      <c r="C190" s="632" t="s">
        <v>2389</v>
      </c>
      <c r="D190" s="632" t="s">
        <v>2443</v>
      </c>
      <c r="E190" s="632" t="s">
        <v>2444</v>
      </c>
      <c r="F190" s="635"/>
      <c r="G190" s="635"/>
      <c r="H190" s="635"/>
      <c r="I190" s="635"/>
      <c r="J190" s="635"/>
      <c r="K190" s="635"/>
      <c r="L190" s="635"/>
      <c r="M190" s="635"/>
      <c r="N190" s="635">
        <v>0.1</v>
      </c>
      <c r="O190" s="635">
        <v>633.25</v>
      </c>
      <c r="P190" s="657"/>
      <c r="Q190" s="636">
        <v>6332.5</v>
      </c>
    </row>
    <row r="191" spans="1:17" ht="14.4" customHeight="1" x14ac:dyDescent="0.3">
      <c r="A191" s="631" t="s">
        <v>512</v>
      </c>
      <c r="B191" s="632" t="s">
        <v>2327</v>
      </c>
      <c r="C191" s="632" t="s">
        <v>2110</v>
      </c>
      <c r="D191" s="632" t="s">
        <v>2445</v>
      </c>
      <c r="E191" s="632" t="s">
        <v>2446</v>
      </c>
      <c r="F191" s="635"/>
      <c r="G191" s="635"/>
      <c r="H191" s="635"/>
      <c r="I191" s="635"/>
      <c r="J191" s="635"/>
      <c r="K191" s="635"/>
      <c r="L191" s="635"/>
      <c r="M191" s="635"/>
      <c r="N191" s="635">
        <v>1</v>
      </c>
      <c r="O191" s="635">
        <v>31966</v>
      </c>
      <c r="P191" s="657"/>
      <c r="Q191" s="636">
        <v>31966</v>
      </c>
    </row>
    <row r="192" spans="1:17" ht="14.4" customHeight="1" x14ac:dyDescent="0.3">
      <c r="A192" s="631" t="s">
        <v>512</v>
      </c>
      <c r="B192" s="632" t="s">
        <v>2327</v>
      </c>
      <c r="C192" s="632" t="s">
        <v>2110</v>
      </c>
      <c r="D192" s="632" t="s">
        <v>2447</v>
      </c>
      <c r="E192" s="632" t="s">
        <v>2448</v>
      </c>
      <c r="F192" s="635"/>
      <c r="G192" s="635"/>
      <c r="H192" s="635"/>
      <c r="I192" s="635"/>
      <c r="J192" s="635"/>
      <c r="K192" s="635"/>
      <c r="L192" s="635"/>
      <c r="M192" s="635"/>
      <c r="N192" s="635">
        <v>609</v>
      </c>
      <c r="O192" s="635">
        <v>7245273</v>
      </c>
      <c r="P192" s="657"/>
      <c r="Q192" s="636">
        <v>11897</v>
      </c>
    </row>
    <row r="193" spans="1:17" ht="14.4" customHeight="1" x14ac:dyDescent="0.3">
      <c r="A193" s="631" t="s">
        <v>512</v>
      </c>
      <c r="B193" s="632" t="s">
        <v>2327</v>
      </c>
      <c r="C193" s="632" t="s">
        <v>2110</v>
      </c>
      <c r="D193" s="632" t="s">
        <v>2449</v>
      </c>
      <c r="E193" s="632" t="s">
        <v>2450</v>
      </c>
      <c r="F193" s="635"/>
      <c r="G193" s="635"/>
      <c r="H193" s="635"/>
      <c r="I193" s="635"/>
      <c r="J193" s="635"/>
      <c r="K193" s="635"/>
      <c r="L193" s="635"/>
      <c r="M193" s="635"/>
      <c r="N193" s="635">
        <v>13</v>
      </c>
      <c r="O193" s="635">
        <v>5551</v>
      </c>
      <c r="P193" s="657"/>
      <c r="Q193" s="636">
        <v>427</v>
      </c>
    </row>
    <row r="194" spans="1:17" ht="14.4" customHeight="1" x14ac:dyDescent="0.3">
      <c r="A194" s="631" t="s">
        <v>512</v>
      </c>
      <c r="B194" s="632" t="s">
        <v>2327</v>
      </c>
      <c r="C194" s="632" t="s">
        <v>2110</v>
      </c>
      <c r="D194" s="632" t="s">
        <v>2451</v>
      </c>
      <c r="E194" s="632" t="s">
        <v>2452</v>
      </c>
      <c r="F194" s="635"/>
      <c r="G194" s="635"/>
      <c r="H194" s="635"/>
      <c r="I194" s="635"/>
      <c r="J194" s="635"/>
      <c r="K194" s="635"/>
      <c r="L194" s="635"/>
      <c r="M194" s="635"/>
      <c r="N194" s="635">
        <v>332</v>
      </c>
      <c r="O194" s="635">
        <v>126824</v>
      </c>
      <c r="P194" s="657"/>
      <c r="Q194" s="636">
        <v>382</v>
      </c>
    </row>
    <row r="195" spans="1:17" ht="14.4" customHeight="1" x14ac:dyDescent="0.3">
      <c r="A195" s="631" t="s">
        <v>512</v>
      </c>
      <c r="B195" s="632" t="s">
        <v>2327</v>
      </c>
      <c r="C195" s="632" t="s">
        <v>2110</v>
      </c>
      <c r="D195" s="632" t="s">
        <v>2453</v>
      </c>
      <c r="E195" s="632" t="s">
        <v>2454</v>
      </c>
      <c r="F195" s="635"/>
      <c r="G195" s="635"/>
      <c r="H195" s="635"/>
      <c r="I195" s="635"/>
      <c r="J195" s="635"/>
      <c r="K195" s="635"/>
      <c r="L195" s="635"/>
      <c r="M195" s="635"/>
      <c r="N195" s="635">
        <v>313</v>
      </c>
      <c r="O195" s="635">
        <v>72616</v>
      </c>
      <c r="P195" s="657"/>
      <c r="Q195" s="636">
        <v>232</v>
      </c>
    </row>
    <row r="196" spans="1:17" ht="14.4" customHeight="1" x14ac:dyDescent="0.3">
      <c r="A196" s="631" t="s">
        <v>512</v>
      </c>
      <c r="B196" s="632" t="s">
        <v>2327</v>
      </c>
      <c r="C196" s="632" t="s">
        <v>2110</v>
      </c>
      <c r="D196" s="632" t="s">
        <v>2455</v>
      </c>
      <c r="E196" s="632" t="s">
        <v>2456</v>
      </c>
      <c r="F196" s="635"/>
      <c r="G196" s="635"/>
      <c r="H196" s="635"/>
      <c r="I196" s="635"/>
      <c r="J196" s="635"/>
      <c r="K196" s="635"/>
      <c r="L196" s="635"/>
      <c r="M196" s="635"/>
      <c r="N196" s="635">
        <v>0</v>
      </c>
      <c r="O196" s="635">
        <v>0</v>
      </c>
      <c r="P196" s="657"/>
      <c r="Q196" s="636"/>
    </row>
    <row r="197" spans="1:17" ht="14.4" customHeight="1" x14ac:dyDescent="0.3">
      <c r="A197" s="631" t="s">
        <v>512</v>
      </c>
      <c r="B197" s="632" t="s">
        <v>2327</v>
      </c>
      <c r="C197" s="632" t="s">
        <v>2110</v>
      </c>
      <c r="D197" s="632" t="s">
        <v>2457</v>
      </c>
      <c r="E197" s="632" t="s">
        <v>2458</v>
      </c>
      <c r="F197" s="635"/>
      <c r="G197" s="635"/>
      <c r="H197" s="635"/>
      <c r="I197" s="635"/>
      <c r="J197" s="635"/>
      <c r="K197" s="635"/>
      <c r="L197" s="635"/>
      <c r="M197" s="635"/>
      <c r="N197" s="635">
        <v>287</v>
      </c>
      <c r="O197" s="635">
        <v>0</v>
      </c>
      <c r="P197" s="657"/>
      <c r="Q197" s="636">
        <v>0</v>
      </c>
    </row>
    <row r="198" spans="1:17" ht="14.4" customHeight="1" x14ac:dyDescent="0.3">
      <c r="A198" s="631" t="s">
        <v>512</v>
      </c>
      <c r="B198" s="632" t="s">
        <v>2327</v>
      </c>
      <c r="C198" s="632" t="s">
        <v>2110</v>
      </c>
      <c r="D198" s="632" t="s">
        <v>2459</v>
      </c>
      <c r="E198" s="632" t="s">
        <v>2460</v>
      </c>
      <c r="F198" s="635"/>
      <c r="G198" s="635"/>
      <c r="H198" s="635"/>
      <c r="I198" s="635"/>
      <c r="J198" s="635"/>
      <c r="K198" s="635"/>
      <c r="L198" s="635"/>
      <c r="M198" s="635"/>
      <c r="N198" s="635">
        <v>53</v>
      </c>
      <c r="O198" s="635">
        <v>0</v>
      </c>
      <c r="P198" s="657"/>
      <c r="Q198" s="636">
        <v>0</v>
      </c>
    </row>
    <row r="199" spans="1:17" ht="14.4" customHeight="1" x14ac:dyDescent="0.3">
      <c r="A199" s="631" t="s">
        <v>512</v>
      </c>
      <c r="B199" s="632" t="s">
        <v>2327</v>
      </c>
      <c r="C199" s="632" t="s">
        <v>2110</v>
      </c>
      <c r="D199" s="632" t="s">
        <v>2461</v>
      </c>
      <c r="E199" s="632" t="s">
        <v>2462</v>
      </c>
      <c r="F199" s="635"/>
      <c r="G199" s="635"/>
      <c r="H199" s="635"/>
      <c r="I199" s="635"/>
      <c r="J199" s="635"/>
      <c r="K199" s="635"/>
      <c r="L199" s="635"/>
      <c r="M199" s="635"/>
      <c r="N199" s="635">
        <v>15</v>
      </c>
      <c r="O199" s="635">
        <v>0</v>
      </c>
      <c r="P199" s="657"/>
      <c r="Q199" s="636">
        <v>0</v>
      </c>
    </row>
    <row r="200" spans="1:17" ht="14.4" customHeight="1" x14ac:dyDescent="0.3">
      <c r="A200" s="631" t="s">
        <v>512</v>
      </c>
      <c r="B200" s="632" t="s">
        <v>2327</v>
      </c>
      <c r="C200" s="632" t="s">
        <v>2110</v>
      </c>
      <c r="D200" s="632" t="s">
        <v>2463</v>
      </c>
      <c r="E200" s="632" t="s">
        <v>2464</v>
      </c>
      <c r="F200" s="635"/>
      <c r="G200" s="635"/>
      <c r="H200" s="635"/>
      <c r="I200" s="635"/>
      <c r="J200" s="635"/>
      <c r="K200" s="635"/>
      <c r="L200" s="635"/>
      <c r="M200" s="635"/>
      <c r="N200" s="635">
        <v>2</v>
      </c>
      <c r="O200" s="635">
        <v>0</v>
      </c>
      <c r="P200" s="657"/>
      <c r="Q200" s="636">
        <v>0</v>
      </c>
    </row>
    <row r="201" spans="1:17" ht="14.4" customHeight="1" x14ac:dyDescent="0.3">
      <c r="A201" s="631" t="s">
        <v>512</v>
      </c>
      <c r="B201" s="632" t="s">
        <v>2327</v>
      </c>
      <c r="C201" s="632" t="s">
        <v>2110</v>
      </c>
      <c r="D201" s="632" t="s">
        <v>2465</v>
      </c>
      <c r="E201" s="632" t="s">
        <v>2462</v>
      </c>
      <c r="F201" s="635"/>
      <c r="G201" s="635"/>
      <c r="H201" s="635"/>
      <c r="I201" s="635"/>
      <c r="J201" s="635"/>
      <c r="K201" s="635"/>
      <c r="L201" s="635"/>
      <c r="M201" s="635"/>
      <c r="N201" s="635">
        <v>10</v>
      </c>
      <c r="O201" s="635">
        <v>0</v>
      </c>
      <c r="P201" s="657"/>
      <c r="Q201" s="636">
        <v>0</v>
      </c>
    </row>
    <row r="202" spans="1:17" ht="14.4" customHeight="1" x14ac:dyDescent="0.3">
      <c r="A202" s="631" t="s">
        <v>512</v>
      </c>
      <c r="B202" s="632" t="s">
        <v>2327</v>
      </c>
      <c r="C202" s="632" t="s">
        <v>2110</v>
      </c>
      <c r="D202" s="632" t="s">
        <v>2466</v>
      </c>
      <c r="E202" s="632" t="s">
        <v>2467</v>
      </c>
      <c r="F202" s="635"/>
      <c r="G202" s="635"/>
      <c r="H202" s="635"/>
      <c r="I202" s="635"/>
      <c r="J202" s="635"/>
      <c r="K202" s="635"/>
      <c r="L202" s="635"/>
      <c r="M202" s="635"/>
      <c r="N202" s="635">
        <v>10</v>
      </c>
      <c r="O202" s="635">
        <v>54760</v>
      </c>
      <c r="P202" s="657"/>
      <c r="Q202" s="636">
        <v>5476</v>
      </c>
    </row>
    <row r="203" spans="1:17" ht="14.4" customHeight="1" x14ac:dyDescent="0.3">
      <c r="A203" s="631" t="s">
        <v>512</v>
      </c>
      <c r="B203" s="632" t="s">
        <v>2327</v>
      </c>
      <c r="C203" s="632" t="s">
        <v>2110</v>
      </c>
      <c r="D203" s="632" t="s">
        <v>2468</v>
      </c>
      <c r="E203" s="632" t="s">
        <v>2469</v>
      </c>
      <c r="F203" s="635"/>
      <c r="G203" s="635"/>
      <c r="H203" s="635"/>
      <c r="I203" s="635"/>
      <c r="J203" s="635"/>
      <c r="K203" s="635"/>
      <c r="L203" s="635"/>
      <c r="M203" s="635"/>
      <c r="N203" s="635">
        <v>1</v>
      </c>
      <c r="O203" s="635">
        <v>0</v>
      </c>
      <c r="P203" s="657"/>
      <c r="Q203" s="636">
        <v>0</v>
      </c>
    </row>
    <row r="204" spans="1:17" ht="14.4" customHeight="1" x14ac:dyDescent="0.3">
      <c r="A204" s="631" t="s">
        <v>512</v>
      </c>
      <c r="B204" s="632" t="s">
        <v>2327</v>
      </c>
      <c r="C204" s="632" t="s">
        <v>2110</v>
      </c>
      <c r="D204" s="632" t="s">
        <v>2470</v>
      </c>
      <c r="E204" s="632" t="s">
        <v>2471</v>
      </c>
      <c r="F204" s="635"/>
      <c r="G204" s="635"/>
      <c r="H204" s="635"/>
      <c r="I204" s="635"/>
      <c r="J204" s="635"/>
      <c r="K204" s="635"/>
      <c r="L204" s="635"/>
      <c r="M204" s="635"/>
      <c r="N204" s="635">
        <v>50</v>
      </c>
      <c r="O204" s="635">
        <v>1198300</v>
      </c>
      <c r="P204" s="657"/>
      <c r="Q204" s="636">
        <v>23966</v>
      </c>
    </row>
    <row r="205" spans="1:17" ht="14.4" customHeight="1" x14ac:dyDescent="0.3">
      <c r="A205" s="631" t="s">
        <v>512</v>
      </c>
      <c r="B205" s="632" t="s">
        <v>2327</v>
      </c>
      <c r="C205" s="632" t="s">
        <v>2110</v>
      </c>
      <c r="D205" s="632" t="s">
        <v>2472</v>
      </c>
      <c r="E205" s="632" t="s">
        <v>2473</v>
      </c>
      <c r="F205" s="635"/>
      <c r="G205" s="635"/>
      <c r="H205" s="635"/>
      <c r="I205" s="635"/>
      <c r="J205" s="635"/>
      <c r="K205" s="635"/>
      <c r="L205" s="635"/>
      <c r="M205" s="635"/>
      <c r="N205" s="635">
        <v>86</v>
      </c>
      <c r="O205" s="635">
        <v>574136</v>
      </c>
      <c r="P205" s="657"/>
      <c r="Q205" s="636">
        <v>6676</v>
      </c>
    </row>
    <row r="206" spans="1:17" ht="14.4" customHeight="1" x14ac:dyDescent="0.3">
      <c r="A206" s="631" t="s">
        <v>512</v>
      </c>
      <c r="B206" s="632" t="s">
        <v>2327</v>
      </c>
      <c r="C206" s="632" t="s">
        <v>2110</v>
      </c>
      <c r="D206" s="632" t="s">
        <v>2474</v>
      </c>
      <c r="E206" s="632" t="s">
        <v>2462</v>
      </c>
      <c r="F206" s="635"/>
      <c r="G206" s="635"/>
      <c r="H206" s="635"/>
      <c r="I206" s="635"/>
      <c r="J206" s="635"/>
      <c r="K206" s="635"/>
      <c r="L206" s="635"/>
      <c r="M206" s="635"/>
      <c r="N206" s="635">
        <v>4</v>
      </c>
      <c r="O206" s="635">
        <v>0</v>
      </c>
      <c r="P206" s="657"/>
      <c r="Q206" s="636">
        <v>0</v>
      </c>
    </row>
    <row r="207" spans="1:17" ht="14.4" customHeight="1" x14ac:dyDescent="0.3">
      <c r="A207" s="631" t="s">
        <v>512</v>
      </c>
      <c r="B207" s="632" t="s">
        <v>2327</v>
      </c>
      <c r="C207" s="632" t="s">
        <v>2110</v>
      </c>
      <c r="D207" s="632" t="s">
        <v>2475</v>
      </c>
      <c r="E207" s="632" t="s">
        <v>2476</v>
      </c>
      <c r="F207" s="635"/>
      <c r="G207" s="635"/>
      <c r="H207" s="635"/>
      <c r="I207" s="635"/>
      <c r="J207" s="635"/>
      <c r="K207" s="635"/>
      <c r="L207" s="635"/>
      <c r="M207" s="635"/>
      <c r="N207" s="635">
        <v>23</v>
      </c>
      <c r="O207" s="635">
        <v>643218</v>
      </c>
      <c r="P207" s="657"/>
      <c r="Q207" s="636">
        <v>27966</v>
      </c>
    </row>
    <row r="208" spans="1:17" ht="14.4" customHeight="1" x14ac:dyDescent="0.3">
      <c r="A208" s="631" t="s">
        <v>512</v>
      </c>
      <c r="B208" s="632" t="s">
        <v>2327</v>
      </c>
      <c r="C208" s="632" t="s">
        <v>2110</v>
      </c>
      <c r="D208" s="632" t="s">
        <v>2477</v>
      </c>
      <c r="E208" s="632" t="s">
        <v>2478</v>
      </c>
      <c r="F208" s="635"/>
      <c r="G208" s="635"/>
      <c r="H208" s="635"/>
      <c r="I208" s="635"/>
      <c r="J208" s="635"/>
      <c r="K208" s="635"/>
      <c r="L208" s="635"/>
      <c r="M208" s="635"/>
      <c r="N208" s="635">
        <v>138</v>
      </c>
      <c r="O208" s="635">
        <v>47472</v>
      </c>
      <c r="P208" s="657"/>
      <c r="Q208" s="636">
        <v>344</v>
      </c>
    </row>
    <row r="209" spans="1:17" ht="14.4" customHeight="1" x14ac:dyDescent="0.3">
      <c r="A209" s="631" t="s">
        <v>512</v>
      </c>
      <c r="B209" s="632" t="s">
        <v>2327</v>
      </c>
      <c r="C209" s="632" t="s">
        <v>2110</v>
      </c>
      <c r="D209" s="632" t="s">
        <v>2479</v>
      </c>
      <c r="E209" s="632" t="s">
        <v>2480</v>
      </c>
      <c r="F209" s="635"/>
      <c r="G209" s="635"/>
      <c r="H209" s="635"/>
      <c r="I209" s="635"/>
      <c r="J209" s="635"/>
      <c r="K209" s="635"/>
      <c r="L209" s="635"/>
      <c r="M209" s="635"/>
      <c r="N209" s="635">
        <v>30</v>
      </c>
      <c r="O209" s="635">
        <v>33300</v>
      </c>
      <c r="P209" s="657"/>
      <c r="Q209" s="636">
        <v>1110</v>
      </c>
    </row>
    <row r="210" spans="1:17" ht="14.4" customHeight="1" x14ac:dyDescent="0.3">
      <c r="A210" s="631" t="s">
        <v>512</v>
      </c>
      <c r="B210" s="632" t="s">
        <v>2327</v>
      </c>
      <c r="C210" s="632" t="s">
        <v>2110</v>
      </c>
      <c r="D210" s="632" t="s">
        <v>2481</v>
      </c>
      <c r="E210" s="632" t="s">
        <v>2482</v>
      </c>
      <c r="F210" s="635"/>
      <c r="G210" s="635"/>
      <c r="H210" s="635"/>
      <c r="I210" s="635"/>
      <c r="J210" s="635"/>
      <c r="K210" s="635"/>
      <c r="L210" s="635"/>
      <c r="M210" s="635"/>
      <c r="N210" s="635">
        <v>3</v>
      </c>
      <c r="O210" s="635">
        <v>0</v>
      </c>
      <c r="P210" s="657"/>
      <c r="Q210" s="636">
        <v>0</v>
      </c>
    </row>
    <row r="211" spans="1:17" ht="14.4" customHeight="1" x14ac:dyDescent="0.3">
      <c r="A211" s="631" t="s">
        <v>512</v>
      </c>
      <c r="B211" s="632" t="s">
        <v>2483</v>
      </c>
      <c r="C211" s="632" t="s">
        <v>2110</v>
      </c>
      <c r="D211" s="632" t="s">
        <v>2214</v>
      </c>
      <c r="E211" s="632" t="s">
        <v>2215</v>
      </c>
      <c r="F211" s="635"/>
      <c r="G211" s="635"/>
      <c r="H211" s="635"/>
      <c r="I211" s="635"/>
      <c r="J211" s="635"/>
      <c r="K211" s="635"/>
      <c r="L211" s="635"/>
      <c r="M211" s="635"/>
      <c r="N211" s="635">
        <v>1</v>
      </c>
      <c r="O211" s="635">
        <v>668</v>
      </c>
      <c r="P211" s="657"/>
      <c r="Q211" s="636">
        <v>668</v>
      </c>
    </row>
    <row r="212" spans="1:17" ht="14.4" customHeight="1" x14ac:dyDescent="0.3">
      <c r="A212" s="631" t="s">
        <v>512</v>
      </c>
      <c r="B212" s="632" t="s">
        <v>2483</v>
      </c>
      <c r="C212" s="632" t="s">
        <v>2110</v>
      </c>
      <c r="D212" s="632" t="s">
        <v>2484</v>
      </c>
      <c r="E212" s="632" t="s">
        <v>2485</v>
      </c>
      <c r="F212" s="635">
        <v>1</v>
      </c>
      <c r="G212" s="635">
        <v>1040</v>
      </c>
      <c r="H212" s="635">
        <v>1</v>
      </c>
      <c r="I212" s="635">
        <v>1040</v>
      </c>
      <c r="J212" s="635"/>
      <c r="K212" s="635"/>
      <c r="L212" s="635"/>
      <c r="M212" s="635"/>
      <c r="N212" s="635"/>
      <c r="O212" s="635"/>
      <c r="P212" s="657"/>
      <c r="Q212" s="636"/>
    </row>
    <row r="213" spans="1:17" ht="14.4" customHeight="1" x14ac:dyDescent="0.3">
      <c r="A213" s="631" t="s">
        <v>512</v>
      </c>
      <c r="B213" s="632" t="s">
        <v>2483</v>
      </c>
      <c r="C213" s="632" t="s">
        <v>2110</v>
      </c>
      <c r="D213" s="632" t="s">
        <v>2486</v>
      </c>
      <c r="E213" s="632" t="s">
        <v>2487</v>
      </c>
      <c r="F213" s="635">
        <v>1</v>
      </c>
      <c r="G213" s="635">
        <v>1647</v>
      </c>
      <c r="H213" s="635">
        <v>1</v>
      </c>
      <c r="I213" s="635">
        <v>1647</v>
      </c>
      <c r="J213" s="635"/>
      <c r="K213" s="635"/>
      <c r="L213" s="635"/>
      <c r="M213" s="635"/>
      <c r="N213" s="635">
        <v>1</v>
      </c>
      <c r="O213" s="635">
        <v>1653</v>
      </c>
      <c r="P213" s="657">
        <v>1.0036429872495447</v>
      </c>
      <c r="Q213" s="636">
        <v>1653</v>
      </c>
    </row>
    <row r="214" spans="1:17" ht="14.4" customHeight="1" x14ac:dyDescent="0.3">
      <c r="A214" s="631" t="s">
        <v>512</v>
      </c>
      <c r="B214" s="632" t="s">
        <v>2488</v>
      </c>
      <c r="C214" s="632" t="s">
        <v>2110</v>
      </c>
      <c r="D214" s="632" t="s">
        <v>2184</v>
      </c>
      <c r="E214" s="632" t="s">
        <v>2185</v>
      </c>
      <c r="F214" s="635"/>
      <c r="G214" s="635"/>
      <c r="H214" s="635"/>
      <c r="I214" s="635"/>
      <c r="J214" s="635"/>
      <c r="K214" s="635"/>
      <c r="L214" s="635"/>
      <c r="M214" s="635"/>
      <c r="N214" s="635">
        <v>1</v>
      </c>
      <c r="O214" s="635">
        <v>806</v>
      </c>
      <c r="P214" s="657"/>
      <c r="Q214" s="636">
        <v>806</v>
      </c>
    </row>
    <row r="215" spans="1:17" ht="14.4" customHeight="1" x14ac:dyDescent="0.3">
      <c r="A215" s="631" t="s">
        <v>512</v>
      </c>
      <c r="B215" s="632" t="s">
        <v>2488</v>
      </c>
      <c r="C215" s="632" t="s">
        <v>2110</v>
      </c>
      <c r="D215" s="632" t="s">
        <v>2489</v>
      </c>
      <c r="E215" s="632" t="s">
        <v>2490</v>
      </c>
      <c r="F215" s="635"/>
      <c r="G215" s="635"/>
      <c r="H215" s="635"/>
      <c r="I215" s="635"/>
      <c r="J215" s="635"/>
      <c r="K215" s="635"/>
      <c r="L215" s="635"/>
      <c r="M215" s="635"/>
      <c r="N215" s="635">
        <v>1</v>
      </c>
      <c r="O215" s="635">
        <v>2361</v>
      </c>
      <c r="P215" s="657"/>
      <c r="Q215" s="636">
        <v>2361</v>
      </c>
    </row>
    <row r="216" spans="1:17" ht="14.4" customHeight="1" x14ac:dyDescent="0.3">
      <c r="A216" s="631" t="s">
        <v>512</v>
      </c>
      <c r="B216" s="632" t="s">
        <v>2488</v>
      </c>
      <c r="C216" s="632" t="s">
        <v>2110</v>
      </c>
      <c r="D216" s="632" t="s">
        <v>2491</v>
      </c>
      <c r="E216" s="632" t="s">
        <v>2492</v>
      </c>
      <c r="F216" s="635"/>
      <c r="G216" s="635"/>
      <c r="H216" s="635"/>
      <c r="I216" s="635"/>
      <c r="J216" s="635"/>
      <c r="K216" s="635"/>
      <c r="L216" s="635"/>
      <c r="M216" s="635"/>
      <c r="N216" s="635">
        <v>1</v>
      </c>
      <c r="O216" s="635">
        <v>2632</v>
      </c>
      <c r="P216" s="657"/>
      <c r="Q216" s="636">
        <v>2632</v>
      </c>
    </row>
    <row r="217" spans="1:17" ht="14.4" customHeight="1" x14ac:dyDescent="0.3">
      <c r="A217" s="631" t="s">
        <v>512</v>
      </c>
      <c r="B217" s="632" t="s">
        <v>2493</v>
      </c>
      <c r="C217" s="632" t="s">
        <v>2110</v>
      </c>
      <c r="D217" s="632" t="s">
        <v>2494</v>
      </c>
      <c r="E217" s="632" t="s">
        <v>2495</v>
      </c>
      <c r="F217" s="635"/>
      <c r="G217" s="635"/>
      <c r="H217" s="635"/>
      <c r="I217" s="635"/>
      <c r="J217" s="635"/>
      <c r="K217" s="635"/>
      <c r="L217" s="635"/>
      <c r="M217" s="635"/>
      <c r="N217" s="635">
        <v>1</v>
      </c>
      <c r="O217" s="635">
        <v>4985</v>
      </c>
      <c r="P217" s="657"/>
      <c r="Q217" s="636">
        <v>4985</v>
      </c>
    </row>
    <row r="218" spans="1:17" ht="14.4" customHeight="1" x14ac:dyDescent="0.3">
      <c r="A218" s="631" t="s">
        <v>512</v>
      </c>
      <c r="B218" s="632" t="s">
        <v>2493</v>
      </c>
      <c r="C218" s="632" t="s">
        <v>2110</v>
      </c>
      <c r="D218" s="632" t="s">
        <v>2496</v>
      </c>
      <c r="E218" s="632" t="s">
        <v>2497</v>
      </c>
      <c r="F218" s="635"/>
      <c r="G218" s="635"/>
      <c r="H218" s="635"/>
      <c r="I218" s="635"/>
      <c r="J218" s="635"/>
      <c r="K218" s="635"/>
      <c r="L218" s="635"/>
      <c r="M218" s="635"/>
      <c r="N218" s="635">
        <v>1</v>
      </c>
      <c r="O218" s="635">
        <v>5143</v>
      </c>
      <c r="P218" s="657"/>
      <c r="Q218" s="636">
        <v>5143</v>
      </c>
    </row>
    <row r="219" spans="1:17" ht="14.4" customHeight="1" x14ac:dyDescent="0.3">
      <c r="A219" s="631" t="s">
        <v>512</v>
      </c>
      <c r="B219" s="632" t="s">
        <v>2493</v>
      </c>
      <c r="C219" s="632" t="s">
        <v>2110</v>
      </c>
      <c r="D219" s="632" t="s">
        <v>2498</v>
      </c>
      <c r="E219" s="632" t="s">
        <v>2499</v>
      </c>
      <c r="F219" s="635"/>
      <c r="G219" s="635"/>
      <c r="H219" s="635"/>
      <c r="I219" s="635"/>
      <c r="J219" s="635"/>
      <c r="K219" s="635"/>
      <c r="L219" s="635"/>
      <c r="M219" s="635"/>
      <c r="N219" s="635">
        <v>1</v>
      </c>
      <c r="O219" s="635">
        <v>907</v>
      </c>
      <c r="P219" s="657"/>
      <c r="Q219" s="636">
        <v>907</v>
      </c>
    </row>
    <row r="220" spans="1:17" ht="14.4" customHeight="1" x14ac:dyDescent="0.3">
      <c r="A220" s="631" t="s">
        <v>512</v>
      </c>
      <c r="B220" s="632" t="s">
        <v>2493</v>
      </c>
      <c r="C220" s="632" t="s">
        <v>2110</v>
      </c>
      <c r="D220" s="632" t="s">
        <v>2500</v>
      </c>
      <c r="E220" s="632" t="s">
        <v>2501</v>
      </c>
      <c r="F220" s="635"/>
      <c r="G220" s="635"/>
      <c r="H220" s="635"/>
      <c r="I220" s="635"/>
      <c r="J220" s="635"/>
      <c r="K220" s="635"/>
      <c r="L220" s="635"/>
      <c r="M220" s="635"/>
      <c r="N220" s="635">
        <v>1</v>
      </c>
      <c r="O220" s="635">
        <v>109</v>
      </c>
      <c r="P220" s="657"/>
      <c r="Q220" s="636">
        <v>109</v>
      </c>
    </row>
    <row r="221" spans="1:17" ht="14.4" customHeight="1" x14ac:dyDescent="0.3">
      <c r="A221" s="631" t="s">
        <v>512</v>
      </c>
      <c r="B221" s="632" t="s">
        <v>2493</v>
      </c>
      <c r="C221" s="632" t="s">
        <v>2110</v>
      </c>
      <c r="D221" s="632" t="s">
        <v>2247</v>
      </c>
      <c r="E221" s="632" t="s">
        <v>2248</v>
      </c>
      <c r="F221" s="635"/>
      <c r="G221" s="635"/>
      <c r="H221" s="635"/>
      <c r="I221" s="635"/>
      <c r="J221" s="635"/>
      <c r="K221" s="635"/>
      <c r="L221" s="635"/>
      <c r="M221" s="635"/>
      <c r="N221" s="635">
        <v>1</v>
      </c>
      <c r="O221" s="635">
        <v>4340</v>
      </c>
      <c r="P221" s="657"/>
      <c r="Q221" s="636">
        <v>4340</v>
      </c>
    </row>
    <row r="222" spans="1:17" ht="14.4" customHeight="1" x14ac:dyDescent="0.3">
      <c r="A222" s="631" t="s">
        <v>512</v>
      </c>
      <c r="B222" s="632" t="s">
        <v>2502</v>
      </c>
      <c r="C222" s="632" t="s">
        <v>2110</v>
      </c>
      <c r="D222" s="632" t="s">
        <v>2503</v>
      </c>
      <c r="E222" s="632" t="s">
        <v>2504</v>
      </c>
      <c r="F222" s="635">
        <v>1</v>
      </c>
      <c r="G222" s="635">
        <v>245</v>
      </c>
      <c r="H222" s="635">
        <v>1</v>
      </c>
      <c r="I222" s="635">
        <v>245</v>
      </c>
      <c r="J222" s="635">
        <v>1</v>
      </c>
      <c r="K222" s="635">
        <v>248</v>
      </c>
      <c r="L222" s="635">
        <v>1.0122448979591836</v>
      </c>
      <c r="M222" s="635">
        <v>248</v>
      </c>
      <c r="N222" s="635"/>
      <c r="O222" s="635"/>
      <c r="P222" s="657"/>
      <c r="Q222" s="636"/>
    </row>
    <row r="223" spans="1:17" ht="14.4" customHeight="1" x14ac:dyDescent="0.3">
      <c r="A223" s="631" t="s">
        <v>512</v>
      </c>
      <c r="B223" s="632" t="s">
        <v>2502</v>
      </c>
      <c r="C223" s="632" t="s">
        <v>2110</v>
      </c>
      <c r="D223" s="632" t="s">
        <v>2184</v>
      </c>
      <c r="E223" s="632" t="s">
        <v>2185</v>
      </c>
      <c r="F223" s="635"/>
      <c r="G223" s="635"/>
      <c r="H223" s="635"/>
      <c r="I223" s="635"/>
      <c r="J223" s="635">
        <v>2</v>
      </c>
      <c r="K223" s="635">
        <v>1612</v>
      </c>
      <c r="L223" s="635"/>
      <c r="M223" s="635">
        <v>806</v>
      </c>
      <c r="N223" s="635">
        <v>1</v>
      </c>
      <c r="O223" s="635">
        <v>806</v>
      </c>
      <c r="P223" s="657"/>
      <c r="Q223" s="636">
        <v>806</v>
      </c>
    </row>
    <row r="224" spans="1:17" ht="14.4" customHeight="1" x14ac:dyDescent="0.3">
      <c r="A224" s="631" t="s">
        <v>512</v>
      </c>
      <c r="B224" s="632" t="s">
        <v>2502</v>
      </c>
      <c r="C224" s="632" t="s">
        <v>2110</v>
      </c>
      <c r="D224" s="632" t="s">
        <v>2505</v>
      </c>
      <c r="E224" s="632" t="s">
        <v>2506</v>
      </c>
      <c r="F224" s="635">
        <v>1</v>
      </c>
      <c r="G224" s="635">
        <v>1174</v>
      </c>
      <c r="H224" s="635">
        <v>1</v>
      </c>
      <c r="I224" s="635">
        <v>1174</v>
      </c>
      <c r="J224" s="635"/>
      <c r="K224" s="635"/>
      <c r="L224" s="635"/>
      <c r="M224" s="635"/>
      <c r="N224" s="635"/>
      <c r="O224" s="635"/>
      <c r="P224" s="657"/>
      <c r="Q224" s="636"/>
    </row>
    <row r="225" spans="1:17" ht="14.4" customHeight="1" x14ac:dyDescent="0.3">
      <c r="A225" s="631" t="s">
        <v>512</v>
      </c>
      <c r="B225" s="632" t="s">
        <v>2507</v>
      </c>
      <c r="C225" s="632" t="s">
        <v>2110</v>
      </c>
      <c r="D225" s="632" t="s">
        <v>2162</v>
      </c>
      <c r="E225" s="632" t="s">
        <v>2163</v>
      </c>
      <c r="F225" s="635"/>
      <c r="G225" s="635"/>
      <c r="H225" s="635"/>
      <c r="I225" s="635"/>
      <c r="J225" s="635">
        <v>2</v>
      </c>
      <c r="K225" s="635">
        <v>4106</v>
      </c>
      <c r="L225" s="635"/>
      <c r="M225" s="635">
        <v>2053</v>
      </c>
      <c r="N225" s="635"/>
      <c r="O225" s="635"/>
      <c r="P225" s="657"/>
      <c r="Q225" s="636"/>
    </row>
    <row r="226" spans="1:17" ht="14.4" customHeight="1" x14ac:dyDescent="0.3">
      <c r="A226" s="631" t="s">
        <v>512</v>
      </c>
      <c r="B226" s="632" t="s">
        <v>2507</v>
      </c>
      <c r="C226" s="632" t="s">
        <v>2110</v>
      </c>
      <c r="D226" s="632" t="s">
        <v>2508</v>
      </c>
      <c r="E226" s="632" t="s">
        <v>2509</v>
      </c>
      <c r="F226" s="635"/>
      <c r="G226" s="635"/>
      <c r="H226" s="635"/>
      <c r="I226" s="635"/>
      <c r="J226" s="635">
        <v>1</v>
      </c>
      <c r="K226" s="635">
        <v>6363</v>
      </c>
      <c r="L226" s="635"/>
      <c r="M226" s="635">
        <v>6363</v>
      </c>
      <c r="N226" s="635"/>
      <c r="O226" s="635"/>
      <c r="P226" s="657"/>
      <c r="Q226" s="636"/>
    </row>
    <row r="227" spans="1:17" ht="14.4" customHeight="1" x14ac:dyDescent="0.3">
      <c r="A227" s="631" t="s">
        <v>512</v>
      </c>
      <c r="B227" s="632" t="s">
        <v>2507</v>
      </c>
      <c r="C227" s="632" t="s">
        <v>2110</v>
      </c>
      <c r="D227" s="632" t="s">
        <v>2510</v>
      </c>
      <c r="E227" s="632" t="s">
        <v>2511</v>
      </c>
      <c r="F227" s="635"/>
      <c r="G227" s="635"/>
      <c r="H227" s="635"/>
      <c r="I227" s="635"/>
      <c r="J227" s="635">
        <v>1</v>
      </c>
      <c r="K227" s="635">
        <v>303</v>
      </c>
      <c r="L227" s="635"/>
      <c r="M227" s="635">
        <v>303</v>
      </c>
      <c r="N227" s="635"/>
      <c r="O227" s="635"/>
      <c r="P227" s="657"/>
      <c r="Q227" s="636"/>
    </row>
    <row r="228" spans="1:17" ht="14.4" customHeight="1" x14ac:dyDescent="0.3">
      <c r="A228" s="631" t="s">
        <v>512</v>
      </c>
      <c r="B228" s="632" t="s">
        <v>2507</v>
      </c>
      <c r="C228" s="632" t="s">
        <v>2110</v>
      </c>
      <c r="D228" s="632" t="s">
        <v>2512</v>
      </c>
      <c r="E228" s="632" t="s">
        <v>2513</v>
      </c>
      <c r="F228" s="635"/>
      <c r="G228" s="635"/>
      <c r="H228" s="635"/>
      <c r="I228" s="635"/>
      <c r="J228" s="635">
        <v>1</v>
      </c>
      <c r="K228" s="635">
        <v>3002</v>
      </c>
      <c r="L228" s="635"/>
      <c r="M228" s="635">
        <v>3002</v>
      </c>
      <c r="N228" s="635"/>
      <c r="O228" s="635"/>
      <c r="P228" s="657"/>
      <c r="Q228" s="636"/>
    </row>
    <row r="229" spans="1:17" ht="14.4" customHeight="1" x14ac:dyDescent="0.3">
      <c r="A229" s="631" t="s">
        <v>512</v>
      </c>
      <c r="B229" s="632" t="s">
        <v>2514</v>
      </c>
      <c r="C229" s="632" t="s">
        <v>2328</v>
      </c>
      <c r="D229" s="632" t="s">
        <v>2331</v>
      </c>
      <c r="E229" s="632" t="s">
        <v>2332</v>
      </c>
      <c r="F229" s="635">
        <v>20</v>
      </c>
      <c r="G229" s="635">
        <v>2936.88</v>
      </c>
      <c r="H229" s="635">
        <v>1</v>
      </c>
      <c r="I229" s="635">
        <v>146.84399999999999</v>
      </c>
      <c r="J229" s="635">
        <v>14</v>
      </c>
      <c r="K229" s="635">
        <v>1166.2</v>
      </c>
      <c r="L229" s="635">
        <v>0.39708806624717385</v>
      </c>
      <c r="M229" s="635">
        <v>83.3</v>
      </c>
      <c r="N229" s="635"/>
      <c r="O229" s="635"/>
      <c r="P229" s="657"/>
      <c r="Q229" s="636"/>
    </row>
    <row r="230" spans="1:17" ht="14.4" customHeight="1" x14ac:dyDescent="0.3">
      <c r="A230" s="631" t="s">
        <v>512</v>
      </c>
      <c r="B230" s="632" t="s">
        <v>2514</v>
      </c>
      <c r="C230" s="632" t="s">
        <v>2328</v>
      </c>
      <c r="D230" s="632" t="s">
        <v>2515</v>
      </c>
      <c r="E230" s="632" t="s">
        <v>2516</v>
      </c>
      <c r="F230" s="635">
        <v>2</v>
      </c>
      <c r="G230" s="635">
        <v>3364.86</v>
      </c>
      <c r="H230" s="635">
        <v>1</v>
      </c>
      <c r="I230" s="635">
        <v>1682.43</v>
      </c>
      <c r="J230" s="635"/>
      <c r="K230" s="635"/>
      <c r="L230" s="635"/>
      <c r="M230" s="635"/>
      <c r="N230" s="635"/>
      <c r="O230" s="635"/>
      <c r="P230" s="657"/>
      <c r="Q230" s="636"/>
    </row>
    <row r="231" spans="1:17" ht="14.4" customHeight="1" x14ac:dyDescent="0.3">
      <c r="A231" s="631" t="s">
        <v>512</v>
      </c>
      <c r="B231" s="632" t="s">
        <v>2514</v>
      </c>
      <c r="C231" s="632" t="s">
        <v>2328</v>
      </c>
      <c r="D231" s="632" t="s">
        <v>2334</v>
      </c>
      <c r="E231" s="632" t="s">
        <v>2335</v>
      </c>
      <c r="F231" s="635"/>
      <c r="G231" s="635"/>
      <c r="H231" s="635"/>
      <c r="I231" s="635"/>
      <c r="J231" s="635">
        <v>6</v>
      </c>
      <c r="K231" s="635">
        <v>31288.92</v>
      </c>
      <c r="L231" s="635"/>
      <c r="M231" s="635">
        <v>5214.82</v>
      </c>
      <c r="N231" s="635"/>
      <c r="O231" s="635"/>
      <c r="P231" s="657"/>
      <c r="Q231" s="636"/>
    </row>
    <row r="232" spans="1:17" ht="14.4" customHeight="1" x14ac:dyDescent="0.3">
      <c r="A232" s="631" t="s">
        <v>512</v>
      </c>
      <c r="B232" s="632" t="s">
        <v>2514</v>
      </c>
      <c r="C232" s="632" t="s">
        <v>2328</v>
      </c>
      <c r="D232" s="632" t="s">
        <v>2336</v>
      </c>
      <c r="E232" s="632" t="s">
        <v>1407</v>
      </c>
      <c r="F232" s="635">
        <v>28</v>
      </c>
      <c r="G232" s="635">
        <v>3867.09</v>
      </c>
      <c r="H232" s="635">
        <v>1</v>
      </c>
      <c r="I232" s="635">
        <v>138.11035714285714</v>
      </c>
      <c r="J232" s="635">
        <v>51</v>
      </c>
      <c r="K232" s="635">
        <v>7033.08</v>
      </c>
      <c r="L232" s="635">
        <v>1.8187008836101564</v>
      </c>
      <c r="M232" s="635">
        <v>137.90352941176471</v>
      </c>
      <c r="N232" s="635"/>
      <c r="O232" s="635"/>
      <c r="P232" s="657"/>
      <c r="Q232" s="636"/>
    </row>
    <row r="233" spans="1:17" ht="14.4" customHeight="1" x14ac:dyDescent="0.3">
      <c r="A233" s="631" t="s">
        <v>512</v>
      </c>
      <c r="B233" s="632" t="s">
        <v>2514</v>
      </c>
      <c r="C233" s="632" t="s">
        <v>2328</v>
      </c>
      <c r="D233" s="632" t="s">
        <v>2337</v>
      </c>
      <c r="E233" s="632" t="s">
        <v>1407</v>
      </c>
      <c r="F233" s="635"/>
      <c r="G233" s="635"/>
      <c r="H233" s="635"/>
      <c r="I233" s="635"/>
      <c r="J233" s="635">
        <v>39</v>
      </c>
      <c r="K233" s="635">
        <v>5166.21</v>
      </c>
      <c r="L233" s="635"/>
      <c r="M233" s="635">
        <v>132.46692307692308</v>
      </c>
      <c r="N233" s="635"/>
      <c r="O233" s="635"/>
      <c r="P233" s="657"/>
      <c r="Q233" s="636"/>
    </row>
    <row r="234" spans="1:17" ht="14.4" customHeight="1" x14ac:dyDescent="0.3">
      <c r="A234" s="631" t="s">
        <v>512</v>
      </c>
      <c r="B234" s="632" t="s">
        <v>2514</v>
      </c>
      <c r="C234" s="632" t="s">
        <v>2328</v>
      </c>
      <c r="D234" s="632" t="s">
        <v>2338</v>
      </c>
      <c r="E234" s="632" t="s">
        <v>2339</v>
      </c>
      <c r="F234" s="635"/>
      <c r="G234" s="635"/>
      <c r="H234" s="635"/>
      <c r="I234" s="635"/>
      <c r="J234" s="635">
        <v>25.2</v>
      </c>
      <c r="K234" s="635">
        <v>15586.2</v>
      </c>
      <c r="L234" s="635"/>
      <c r="M234" s="635">
        <v>618.5</v>
      </c>
      <c r="N234" s="635"/>
      <c r="O234" s="635"/>
      <c r="P234" s="657"/>
      <c r="Q234" s="636"/>
    </row>
    <row r="235" spans="1:17" ht="14.4" customHeight="1" x14ac:dyDescent="0.3">
      <c r="A235" s="631" t="s">
        <v>512</v>
      </c>
      <c r="B235" s="632" t="s">
        <v>2514</v>
      </c>
      <c r="C235" s="632" t="s">
        <v>2328</v>
      </c>
      <c r="D235" s="632" t="s">
        <v>2517</v>
      </c>
      <c r="E235" s="632" t="s">
        <v>2105</v>
      </c>
      <c r="F235" s="635">
        <v>14</v>
      </c>
      <c r="G235" s="635">
        <v>8070.4299999999994</v>
      </c>
      <c r="H235" s="635">
        <v>1</v>
      </c>
      <c r="I235" s="635">
        <v>576.45928571428567</v>
      </c>
      <c r="J235" s="635"/>
      <c r="K235" s="635"/>
      <c r="L235" s="635"/>
      <c r="M235" s="635"/>
      <c r="N235" s="635"/>
      <c r="O235" s="635"/>
      <c r="P235" s="657"/>
      <c r="Q235" s="636"/>
    </row>
    <row r="236" spans="1:17" ht="14.4" customHeight="1" x14ac:dyDescent="0.3">
      <c r="A236" s="631" t="s">
        <v>512</v>
      </c>
      <c r="B236" s="632" t="s">
        <v>2514</v>
      </c>
      <c r="C236" s="632" t="s">
        <v>2328</v>
      </c>
      <c r="D236" s="632" t="s">
        <v>2340</v>
      </c>
      <c r="E236" s="632" t="s">
        <v>2341</v>
      </c>
      <c r="F236" s="635">
        <v>22</v>
      </c>
      <c r="G236" s="635">
        <v>6642.2400000000007</v>
      </c>
      <c r="H236" s="635">
        <v>1</v>
      </c>
      <c r="I236" s="635">
        <v>301.92</v>
      </c>
      <c r="J236" s="635">
        <v>51.5</v>
      </c>
      <c r="K236" s="635">
        <v>4330.12</v>
      </c>
      <c r="L236" s="635">
        <v>0.65190658573011506</v>
      </c>
      <c r="M236" s="635">
        <v>84.08</v>
      </c>
      <c r="N236" s="635"/>
      <c r="O236" s="635"/>
      <c r="P236" s="657"/>
      <c r="Q236" s="636"/>
    </row>
    <row r="237" spans="1:17" ht="14.4" customHeight="1" x14ac:dyDescent="0.3">
      <c r="A237" s="631" t="s">
        <v>512</v>
      </c>
      <c r="B237" s="632" t="s">
        <v>2514</v>
      </c>
      <c r="C237" s="632" t="s">
        <v>2328</v>
      </c>
      <c r="D237" s="632" t="s">
        <v>2518</v>
      </c>
      <c r="E237" s="632" t="s">
        <v>2519</v>
      </c>
      <c r="F237" s="635">
        <v>18</v>
      </c>
      <c r="G237" s="635">
        <v>19459.79</v>
      </c>
      <c r="H237" s="635">
        <v>1</v>
      </c>
      <c r="I237" s="635">
        <v>1081.0994444444445</v>
      </c>
      <c r="J237" s="635">
        <v>27.2</v>
      </c>
      <c r="K237" s="635">
        <v>29357.35</v>
      </c>
      <c r="L237" s="635">
        <v>1.5086159717037027</v>
      </c>
      <c r="M237" s="635">
        <v>1079.3143382352941</v>
      </c>
      <c r="N237" s="635"/>
      <c r="O237" s="635"/>
      <c r="P237" s="657"/>
      <c r="Q237" s="636"/>
    </row>
    <row r="238" spans="1:17" ht="14.4" customHeight="1" x14ac:dyDescent="0.3">
      <c r="A238" s="631" t="s">
        <v>512</v>
      </c>
      <c r="B238" s="632" t="s">
        <v>2514</v>
      </c>
      <c r="C238" s="632" t="s">
        <v>2328</v>
      </c>
      <c r="D238" s="632" t="s">
        <v>2342</v>
      </c>
      <c r="E238" s="632" t="s">
        <v>1374</v>
      </c>
      <c r="F238" s="635">
        <v>231</v>
      </c>
      <c r="G238" s="635">
        <v>21209.77</v>
      </c>
      <c r="H238" s="635">
        <v>1</v>
      </c>
      <c r="I238" s="635">
        <v>91.817186147186149</v>
      </c>
      <c r="J238" s="635">
        <v>104</v>
      </c>
      <c r="K238" s="635">
        <v>6921.16</v>
      </c>
      <c r="L238" s="635">
        <v>0.32631942732052255</v>
      </c>
      <c r="M238" s="635">
        <v>66.549615384615379</v>
      </c>
      <c r="N238" s="635"/>
      <c r="O238" s="635"/>
      <c r="P238" s="657"/>
      <c r="Q238" s="636"/>
    </row>
    <row r="239" spans="1:17" ht="14.4" customHeight="1" x14ac:dyDescent="0.3">
      <c r="A239" s="631" t="s">
        <v>512</v>
      </c>
      <c r="B239" s="632" t="s">
        <v>2514</v>
      </c>
      <c r="C239" s="632" t="s">
        <v>2328</v>
      </c>
      <c r="D239" s="632" t="s">
        <v>2520</v>
      </c>
      <c r="E239" s="632" t="s">
        <v>2105</v>
      </c>
      <c r="F239" s="635">
        <v>16.889999999999997</v>
      </c>
      <c r="G239" s="635">
        <v>69536.489999999991</v>
      </c>
      <c r="H239" s="635">
        <v>1</v>
      </c>
      <c r="I239" s="635">
        <v>4117.0213143872115</v>
      </c>
      <c r="J239" s="635"/>
      <c r="K239" s="635"/>
      <c r="L239" s="635"/>
      <c r="M239" s="635"/>
      <c r="N239" s="635"/>
      <c r="O239" s="635"/>
      <c r="P239" s="657"/>
      <c r="Q239" s="636"/>
    </row>
    <row r="240" spans="1:17" ht="14.4" customHeight="1" x14ac:dyDescent="0.3">
      <c r="A240" s="631" t="s">
        <v>512</v>
      </c>
      <c r="B240" s="632" t="s">
        <v>2514</v>
      </c>
      <c r="C240" s="632" t="s">
        <v>2328</v>
      </c>
      <c r="D240" s="632" t="s">
        <v>2343</v>
      </c>
      <c r="E240" s="632" t="s">
        <v>1315</v>
      </c>
      <c r="F240" s="635">
        <v>9</v>
      </c>
      <c r="G240" s="635">
        <v>10491.300000000001</v>
      </c>
      <c r="H240" s="635">
        <v>1</v>
      </c>
      <c r="I240" s="635">
        <v>1165.7</v>
      </c>
      <c r="J240" s="635">
        <v>18.399999999999999</v>
      </c>
      <c r="K240" s="635">
        <v>14896.640000000001</v>
      </c>
      <c r="L240" s="635">
        <v>1.4199041110253257</v>
      </c>
      <c r="M240" s="635">
        <v>809.60000000000014</v>
      </c>
      <c r="N240" s="635"/>
      <c r="O240" s="635"/>
      <c r="P240" s="657"/>
      <c r="Q240" s="636"/>
    </row>
    <row r="241" spans="1:17" ht="14.4" customHeight="1" x14ac:dyDescent="0.3">
      <c r="A241" s="631" t="s">
        <v>512</v>
      </c>
      <c r="B241" s="632" t="s">
        <v>2514</v>
      </c>
      <c r="C241" s="632" t="s">
        <v>2328</v>
      </c>
      <c r="D241" s="632" t="s">
        <v>2521</v>
      </c>
      <c r="E241" s="632" t="s">
        <v>2522</v>
      </c>
      <c r="F241" s="635"/>
      <c r="G241" s="635"/>
      <c r="H241" s="635"/>
      <c r="I241" s="635"/>
      <c r="J241" s="635">
        <v>4</v>
      </c>
      <c r="K241" s="635">
        <v>25880.080000000002</v>
      </c>
      <c r="L241" s="635"/>
      <c r="M241" s="635">
        <v>6470.02</v>
      </c>
      <c r="N241" s="635"/>
      <c r="O241" s="635"/>
      <c r="P241" s="657"/>
      <c r="Q241" s="636"/>
    </row>
    <row r="242" spans="1:17" ht="14.4" customHeight="1" x14ac:dyDescent="0.3">
      <c r="A242" s="631" t="s">
        <v>512</v>
      </c>
      <c r="B242" s="632" t="s">
        <v>2514</v>
      </c>
      <c r="C242" s="632" t="s">
        <v>2328</v>
      </c>
      <c r="D242" s="632" t="s">
        <v>2344</v>
      </c>
      <c r="E242" s="632" t="s">
        <v>1411</v>
      </c>
      <c r="F242" s="635">
        <v>5.2</v>
      </c>
      <c r="G242" s="635">
        <v>72319.01999999999</v>
      </c>
      <c r="H242" s="635">
        <v>1</v>
      </c>
      <c r="I242" s="635">
        <v>13907.503846153844</v>
      </c>
      <c r="J242" s="635">
        <v>3.1</v>
      </c>
      <c r="K242" s="635">
        <v>42156.28</v>
      </c>
      <c r="L242" s="635">
        <v>0.58292106281307465</v>
      </c>
      <c r="M242" s="635">
        <v>13598.8</v>
      </c>
      <c r="N242" s="635"/>
      <c r="O242" s="635"/>
      <c r="P242" s="657"/>
      <c r="Q242" s="636"/>
    </row>
    <row r="243" spans="1:17" ht="14.4" customHeight="1" x14ac:dyDescent="0.3">
      <c r="A243" s="631" t="s">
        <v>512</v>
      </c>
      <c r="B243" s="632" t="s">
        <v>2514</v>
      </c>
      <c r="C243" s="632" t="s">
        <v>2328</v>
      </c>
      <c r="D243" s="632" t="s">
        <v>2523</v>
      </c>
      <c r="E243" s="632" t="s">
        <v>2524</v>
      </c>
      <c r="F243" s="635">
        <v>0.1</v>
      </c>
      <c r="G243" s="635">
        <v>526.45000000000005</v>
      </c>
      <c r="H243" s="635">
        <v>1</v>
      </c>
      <c r="I243" s="635">
        <v>5264.5</v>
      </c>
      <c r="J243" s="635"/>
      <c r="K243" s="635"/>
      <c r="L243" s="635"/>
      <c r="M243" s="635"/>
      <c r="N243" s="635"/>
      <c r="O243" s="635"/>
      <c r="P243" s="657"/>
      <c r="Q243" s="636"/>
    </row>
    <row r="244" spans="1:17" ht="14.4" customHeight="1" x14ac:dyDescent="0.3">
      <c r="A244" s="631" t="s">
        <v>512</v>
      </c>
      <c r="B244" s="632" t="s">
        <v>2514</v>
      </c>
      <c r="C244" s="632" t="s">
        <v>2328</v>
      </c>
      <c r="D244" s="632" t="s">
        <v>2346</v>
      </c>
      <c r="E244" s="632" t="s">
        <v>1555</v>
      </c>
      <c r="F244" s="635">
        <v>126</v>
      </c>
      <c r="G244" s="635">
        <v>9433.5399999999991</v>
      </c>
      <c r="H244" s="635">
        <v>1</v>
      </c>
      <c r="I244" s="635">
        <v>74.869365079365068</v>
      </c>
      <c r="J244" s="635">
        <v>108</v>
      </c>
      <c r="K244" s="635">
        <v>6265.08</v>
      </c>
      <c r="L244" s="635">
        <v>0.66412820637851755</v>
      </c>
      <c r="M244" s="635">
        <v>58.01</v>
      </c>
      <c r="N244" s="635"/>
      <c r="O244" s="635"/>
      <c r="P244" s="657"/>
      <c r="Q244" s="636"/>
    </row>
    <row r="245" spans="1:17" ht="14.4" customHeight="1" x14ac:dyDescent="0.3">
      <c r="A245" s="631" t="s">
        <v>512</v>
      </c>
      <c r="B245" s="632" t="s">
        <v>2514</v>
      </c>
      <c r="C245" s="632" t="s">
        <v>2328</v>
      </c>
      <c r="D245" s="632" t="s">
        <v>2347</v>
      </c>
      <c r="E245" s="632" t="s">
        <v>1386</v>
      </c>
      <c r="F245" s="635">
        <v>3.5</v>
      </c>
      <c r="G245" s="635">
        <v>1317.66</v>
      </c>
      <c r="H245" s="635">
        <v>1</v>
      </c>
      <c r="I245" s="635">
        <v>376.47428571428571</v>
      </c>
      <c r="J245" s="635">
        <v>7.5</v>
      </c>
      <c r="K245" s="635">
        <v>3029.4</v>
      </c>
      <c r="L245" s="635">
        <v>2.2990756340785938</v>
      </c>
      <c r="M245" s="635">
        <v>403.92</v>
      </c>
      <c r="N245" s="635"/>
      <c r="O245" s="635"/>
      <c r="P245" s="657"/>
      <c r="Q245" s="636"/>
    </row>
    <row r="246" spans="1:17" ht="14.4" customHeight="1" x14ac:dyDescent="0.3">
      <c r="A246" s="631" t="s">
        <v>512</v>
      </c>
      <c r="B246" s="632" t="s">
        <v>2514</v>
      </c>
      <c r="C246" s="632" t="s">
        <v>2328</v>
      </c>
      <c r="D246" s="632" t="s">
        <v>1454</v>
      </c>
      <c r="E246" s="632" t="s">
        <v>2348</v>
      </c>
      <c r="F246" s="635">
        <v>2</v>
      </c>
      <c r="G246" s="635">
        <v>13190</v>
      </c>
      <c r="H246" s="635">
        <v>1</v>
      </c>
      <c r="I246" s="635">
        <v>6595</v>
      </c>
      <c r="J246" s="635">
        <v>1</v>
      </c>
      <c r="K246" s="635">
        <v>6896.5</v>
      </c>
      <c r="L246" s="635">
        <v>0.52285822592873388</v>
      </c>
      <c r="M246" s="635">
        <v>6896.5</v>
      </c>
      <c r="N246" s="635"/>
      <c r="O246" s="635"/>
      <c r="P246" s="657"/>
      <c r="Q246" s="636"/>
    </row>
    <row r="247" spans="1:17" ht="14.4" customHeight="1" x14ac:dyDescent="0.3">
      <c r="A247" s="631" t="s">
        <v>512</v>
      </c>
      <c r="B247" s="632" t="s">
        <v>2514</v>
      </c>
      <c r="C247" s="632" t="s">
        <v>2328</v>
      </c>
      <c r="D247" s="632" t="s">
        <v>2349</v>
      </c>
      <c r="E247" s="632" t="s">
        <v>1561</v>
      </c>
      <c r="F247" s="635">
        <v>177</v>
      </c>
      <c r="G247" s="635">
        <v>29904.16</v>
      </c>
      <c r="H247" s="635">
        <v>1</v>
      </c>
      <c r="I247" s="635">
        <v>168.95005649717515</v>
      </c>
      <c r="J247" s="635">
        <v>352</v>
      </c>
      <c r="K247" s="635">
        <v>16720</v>
      </c>
      <c r="L247" s="635">
        <v>0.55911953387087276</v>
      </c>
      <c r="M247" s="635">
        <v>47.5</v>
      </c>
      <c r="N247" s="635"/>
      <c r="O247" s="635"/>
      <c r="P247" s="657"/>
      <c r="Q247" s="636"/>
    </row>
    <row r="248" spans="1:17" ht="14.4" customHeight="1" x14ac:dyDescent="0.3">
      <c r="A248" s="631" t="s">
        <v>512</v>
      </c>
      <c r="B248" s="632" t="s">
        <v>2514</v>
      </c>
      <c r="C248" s="632" t="s">
        <v>2328</v>
      </c>
      <c r="D248" s="632" t="s">
        <v>2350</v>
      </c>
      <c r="E248" s="632" t="s">
        <v>1401</v>
      </c>
      <c r="F248" s="635"/>
      <c r="G248" s="635"/>
      <c r="H248" s="635"/>
      <c r="I248" s="635"/>
      <c r="J248" s="635">
        <v>45</v>
      </c>
      <c r="K248" s="635">
        <v>5220</v>
      </c>
      <c r="L248" s="635"/>
      <c r="M248" s="635">
        <v>116</v>
      </c>
      <c r="N248" s="635"/>
      <c r="O248" s="635"/>
      <c r="P248" s="657"/>
      <c r="Q248" s="636"/>
    </row>
    <row r="249" spans="1:17" ht="14.4" customHeight="1" x14ac:dyDescent="0.3">
      <c r="A249" s="631" t="s">
        <v>512</v>
      </c>
      <c r="B249" s="632" t="s">
        <v>2514</v>
      </c>
      <c r="C249" s="632" t="s">
        <v>2328</v>
      </c>
      <c r="D249" s="632" t="s">
        <v>2351</v>
      </c>
      <c r="E249" s="632" t="s">
        <v>1537</v>
      </c>
      <c r="F249" s="635">
        <v>103.8</v>
      </c>
      <c r="G249" s="635">
        <v>61674.159999999996</v>
      </c>
      <c r="H249" s="635">
        <v>1</v>
      </c>
      <c r="I249" s="635">
        <v>594.16339113680147</v>
      </c>
      <c r="J249" s="635">
        <v>107.60000000000001</v>
      </c>
      <c r="K249" s="635">
        <v>40853.18</v>
      </c>
      <c r="L249" s="635">
        <v>0.66240350902225509</v>
      </c>
      <c r="M249" s="635">
        <v>379.6763940520446</v>
      </c>
      <c r="N249" s="635"/>
      <c r="O249" s="635"/>
      <c r="P249" s="657"/>
      <c r="Q249" s="636"/>
    </row>
    <row r="250" spans="1:17" ht="14.4" customHeight="1" x14ac:dyDescent="0.3">
      <c r="A250" s="631" t="s">
        <v>512</v>
      </c>
      <c r="B250" s="632" t="s">
        <v>2514</v>
      </c>
      <c r="C250" s="632" t="s">
        <v>2328</v>
      </c>
      <c r="D250" s="632" t="s">
        <v>2525</v>
      </c>
      <c r="E250" s="632" t="s">
        <v>2526</v>
      </c>
      <c r="F250" s="635">
        <v>37</v>
      </c>
      <c r="G250" s="635">
        <v>7861.83</v>
      </c>
      <c r="H250" s="635">
        <v>1</v>
      </c>
      <c r="I250" s="635">
        <v>212.48189189189188</v>
      </c>
      <c r="J250" s="635">
        <v>18</v>
      </c>
      <c r="K250" s="635">
        <v>1128.78</v>
      </c>
      <c r="L250" s="635">
        <v>0.1435772587298377</v>
      </c>
      <c r="M250" s="635">
        <v>62.71</v>
      </c>
      <c r="N250" s="635"/>
      <c r="O250" s="635"/>
      <c r="P250" s="657"/>
      <c r="Q250" s="636"/>
    </row>
    <row r="251" spans="1:17" ht="14.4" customHeight="1" x14ac:dyDescent="0.3">
      <c r="A251" s="631" t="s">
        <v>512</v>
      </c>
      <c r="B251" s="632" t="s">
        <v>2514</v>
      </c>
      <c r="C251" s="632" t="s">
        <v>2328</v>
      </c>
      <c r="D251" s="632" t="s">
        <v>2527</v>
      </c>
      <c r="E251" s="632" t="s">
        <v>2528</v>
      </c>
      <c r="F251" s="635">
        <v>4</v>
      </c>
      <c r="G251" s="635">
        <v>2072.12</v>
      </c>
      <c r="H251" s="635">
        <v>1</v>
      </c>
      <c r="I251" s="635">
        <v>518.03</v>
      </c>
      <c r="J251" s="635">
        <v>51</v>
      </c>
      <c r="K251" s="635">
        <v>6901.7099999999991</v>
      </c>
      <c r="L251" s="635">
        <v>3.3307482192151032</v>
      </c>
      <c r="M251" s="635">
        <v>135.32764705882352</v>
      </c>
      <c r="N251" s="635"/>
      <c r="O251" s="635"/>
      <c r="P251" s="657"/>
      <c r="Q251" s="636"/>
    </row>
    <row r="252" spans="1:17" ht="14.4" customHeight="1" x14ac:dyDescent="0.3">
      <c r="A252" s="631" t="s">
        <v>512</v>
      </c>
      <c r="B252" s="632" t="s">
        <v>2514</v>
      </c>
      <c r="C252" s="632" t="s">
        <v>2328</v>
      </c>
      <c r="D252" s="632" t="s">
        <v>2352</v>
      </c>
      <c r="E252" s="632" t="s">
        <v>1544</v>
      </c>
      <c r="F252" s="635">
        <v>36</v>
      </c>
      <c r="G252" s="635">
        <v>1665.9899999999998</v>
      </c>
      <c r="H252" s="635">
        <v>1</v>
      </c>
      <c r="I252" s="635">
        <v>46.277499999999996</v>
      </c>
      <c r="J252" s="635">
        <v>53</v>
      </c>
      <c r="K252" s="635">
        <v>2170.35</v>
      </c>
      <c r="L252" s="635">
        <v>1.3027389119982715</v>
      </c>
      <c r="M252" s="635">
        <v>40.949999999999996</v>
      </c>
      <c r="N252" s="635"/>
      <c r="O252" s="635"/>
      <c r="P252" s="657"/>
      <c r="Q252" s="636"/>
    </row>
    <row r="253" spans="1:17" ht="14.4" customHeight="1" x14ac:dyDescent="0.3">
      <c r="A253" s="631" t="s">
        <v>512</v>
      </c>
      <c r="B253" s="632" t="s">
        <v>2514</v>
      </c>
      <c r="C253" s="632" t="s">
        <v>2328</v>
      </c>
      <c r="D253" s="632" t="s">
        <v>2529</v>
      </c>
      <c r="E253" s="632" t="s">
        <v>2530</v>
      </c>
      <c r="F253" s="635">
        <v>1</v>
      </c>
      <c r="G253" s="635">
        <v>52.44</v>
      </c>
      <c r="H253" s="635">
        <v>1</v>
      </c>
      <c r="I253" s="635">
        <v>52.44</v>
      </c>
      <c r="J253" s="635">
        <v>2</v>
      </c>
      <c r="K253" s="635">
        <v>40.96</v>
      </c>
      <c r="L253" s="635">
        <v>0.78108314263920675</v>
      </c>
      <c r="M253" s="635">
        <v>20.48</v>
      </c>
      <c r="N253" s="635"/>
      <c r="O253" s="635"/>
      <c r="P253" s="657"/>
      <c r="Q253" s="636"/>
    </row>
    <row r="254" spans="1:17" ht="14.4" customHeight="1" x14ac:dyDescent="0.3">
      <c r="A254" s="631" t="s">
        <v>512</v>
      </c>
      <c r="B254" s="632" t="s">
        <v>2514</v>
      </c>
      <c r="C254" s="632" t="s">
        <v>2328</v>
      </c>
      <c r="D254" s="632" t="s">
        <v>2354</v>
      </c>
      <c r="E254" s="632" t="s">
        <v>2355</v>
      </c>
      <c r="F254" s="635">
        <v>11.3</v>
      </c>
      <c r="G254" s="635">
        <v>76388.5</v>
      </c>
      <c r="H254" s="635">
        <v>1</v>
      </c>
      <c r="I254" s="635">
        <v>6760.0442477876104</v>
      </c>
      <c r="J254" s="635">
        <v>7.1</v>
      </c>
      <c r="K254" s="635">
        <v>27873.890000000003</v>
      </c>
      <c r="L254" s="635">
        <v>0.36489641765448994</v>
      </c>
      <c r="M254" s="635">
        <v>3925.9000000000005</v>
      </c>
      <c r="N254" s="635"/>
      <c r="O254" s="635"/>
      <c r="P254" s="657"/>
      <c r="Q254" s="636"/>
    </row>
    <row r="255" spans="1:17" ht="14.4" customHeight="1" x14ac:dyDescent="0.3">
      <c r="A255" s="631" t="s">
        <v>512</v>
      </c>
      <c r="B255" s="632" t="s">
        <v>2514</v>
      </c>
      <c r="C255" s="632" t="s">
        <v>2328</v>
      </c>
      <c r="D255" s="632" t="s">
        <v>2531</v>
      </c>
      <c r="E255" s="632" t="s">
        <v>2532</v>
      </c>
      <c r="F255" s="635"/>
      <c r="G255" s="635"/>
      <c r="H255" s="635"/>
      <c r="I255" s="635"/>
      <c r="J255" s="635">
        <v>8</v>
      </c>
      <c r="K255" s="635">
        <v>103520.32000000001</v>
      </c>
      <c r="L255" s="635"/>
      <c r="M255" s="635">
        <v>12940.04</v>
      </c>
      <c r="N255" s="635"/>
      <c r="O255" s="635"/>
      <c r="P255" s="657"/>
      <c r="Q255" s="636"/>
    </row>
    <row r="256" spans="1:17" ht="14.4" customHeight="1" x14ac:dyDescent="0.3">
      <c r="A256" s="631" t="s">
        <v>512</v>
      </c>
      <c r="B256" s="632" t="s">
        <v>2514</v>
      </c>
      <c r="C256" s="632" t="s">
        <v>2328</v>
      </c>
      <c r="D256" s="632" t="s">
        <v>2358</v>
      </c>
      <c r="E256" s="632" t="s">
        <v>1557</v>
      </c>
      <c r="F256" s="635">
        <v>4</v>
      </c>
      <c r="G256" s="635">
        <v>1254.72</v>
      </c>
      <c r="H256" s="635">
        <v>1</v>
      </c>
      <c r="I256" s="635">
        <v>313.68</v>
      </c>
      <c r="J256" s="635"/>
      <c r="K256" s="635"/>
      <c r="L256" s="635"/>
      <c r="M256" s="635"/>
      <c r="N256" s="635"/>
      <c r="O256" s="635"/>
      <c r="P256" s="657"/>
      <c r="Q256" s="636"/>
    </row>
    <row r="257" spans="1:17" ht="14.4" customHeight="1" x14ac:dyDescent="0.3">
      <c r="A257" s="631" t="s">
        <v>512</v>
      </c>
      <c r="B257" s="632" t="s">
        <v>2514</v>
      </c>
      <c r="C257" s="632" t="s">
        <v>2328</v>
      </c>
      <c r="D257" s="632" t="s">
        <v>2359</v>
      </c>
      <c r="E257" s="632" t="s">
        <v>1559</v>
      </c>
      <c r="F257" s="635">
        <v>10</v>
      </c>
      <c r="G257" s="635">
        <v>6273.7</v>
      </c>
      <c r="H257" s="635">
        <v>1</v>
      </c>
      <c r="I257" s="635">
        <v>627.37</v>
      </c>
      <c r="J257" s="635">
        <v>52</v>
      </c>
      <c r="K257" s="635">
        <v>11916.32</v>
      </c>
      <c r="L257" s="635">
        <v>1.8994086424279133</v>
      </c>
      <c r="M257" s="635">
        <v>229.16</v>
      </c>
      <c r="N257" s="635"/>
      <c r="O257" s="635"/>
      <c r="P257" s="657"/>
      <c r="Q257" s="636"/>
    </row>
    <row r="258" spans="1:17" ht="14.4" customHeight="1" x14ac:dyDescent="0.3">
      <c r="A258" s="631" t="s">
        <v>512</v>
      </c>
      <c r="B258" s="632" t="s">
        <v>2514</v>
      </c>
      <c r="C258" s="632" t="s">
        <v>2328</v>
      </c>
      <c r="D258" s="632" t="s">
        <v>2360</v>
      </c>
      <c r="E258" s="632" t="s">
        <v>2361</v>
      </c>
      <c r="F258" s="635">
        <v>5</v>
      </c>
      <c r="G258" s="635">
        <v>2362.3200000000002</v>
      </c>
      <c r="H258" s="635">
        <v>1</v>
      </c>
      <c r="I258" s="635">
        <v>472.46400000000006</v>
      </c>
      <c r="J258" s="635">
        <v>3.1999999999999997</v>
      </c>
      <c r="K258" s="635">
        <v>694.02</v>
      </c>
      <c r="L258" s="635">
        <v>0.29378746317179721</v>
      </c>
      <c r="M258" s="635">
        <v>216.88125000000002</v>
      </c>
      <c r="N258" s="635"/>
      <c r="O258" s="635"/>
      <c r="P258" s="657"/>
      <c r="Q258" s="636"/>
    </row>
    <row r="259" spans="1:17" ht="14.4" customHeight="1" x14ac:dyDescent="0.3">
      <c r="A259" s="631" t="s">
        <v>512</v>
      </c>
      <c r="B259" s="632" t="s">
        <v>2514</v>
      </c>
      <c r="C259" s="632" t="s">
        <v>2328</v>
      </c>
      <c r="D259" s="632" t="s">
        <v>2364</v>
      </c>
      <c r="E259" s="632" t="s">
        <v>1292</v>
      </c>
      <c r="F259" s="635">
        <v>30.8</v>
      </c>
      <c r="G259" s="635">
        <v>2740.11</v>
      </c>
      <c r="H259" s="635">
        <v>1</v>
      </c>
      <c r="I259" s="635">
        <v>88.964610389610385</v>
      </c>
      <c r="J259" s="635">
        <v>0.5</v>
      </c>
      <c r="K259" s="635">
        <v>48.47</v>
      </c>
      <c r="L259" s="635">
        <v>1.7689070876716628E-2</v>
      </c>
      <c r="M259" s="635">
        <v>96.94</v>
      </c>
      <c r="N259" s="635"/>
      <c r="O259" s="635"/>
      <c r="P259" s="657"/>
      <c r="Q259" s="636"/>
    </row>
    <row r="260" spans="1:17" ht="14.4" customHeight="1" x14ac:dyDescent="0.3">
      <c r="A260" s="631" t="s">
        <v>512</v>
      </c>
      <c r="B260" s="632" t="s">
        <v>2514</v>
      </c>
      <c r="C260" s="632" t="s">
        <v>2328</v>
      </c>
      <c r="D260" s="632" t="s">
        <v>2365</v>
      </c>
      <c r="E260" s="632" t="s">
        <v>2366</v>
      </c>
      <c r="F260" s="635">
        <v>1</v>
      </c>
      <c r="G260" s="635">
        <v>1301.17</v>
      </c>
      <c r="H260" s="635">
        <v>1</v>
      </c>
      <c r="I260" s="635">
        <v>1301.17</v>
      </c>
      <c r="J260" s="635">
        <v>37</v>
      </c>
      <c r="K260" s="635">
        <v>49797.56</v>
      </c>
      <c r="L260" s="635">
        <v>38.27137115057986</v>
      </c>
      <c r="M260" s="635">
        <v>1345.8799999999999</v>
      </c>
      <c r="N260" s="635"/>
      <c r="O260" s="635"/>
      <c r="P260" s="657"/>
      <c r="Q260" s="636"/>
    </row>
    <row r="261" spans="1:17" ht="14.4" customHeight="1" x14ac:dyDescent="0.3">
      <c r="A261" s="631" t="s">
        <v>512</v>
      </c>
      <c r="B261" s="632" t="s">
        <v>2514</v>
      </c>
      <c r="C261" s="632" t="s">
        <v>2328</v>
      </c>
      <c r="D261" s="632" t="s">
        <v>2533</v>
      </c>
      <c r="E261" s="632" t="s">
        <v>1407</v>
      </c>
      <c r="F261" s="635">
        <v>7.34</v>
      </c>
      <c r="G261" s="635">
        <v>4605.97</v>
      </c>
      <c r="H261" s="635">
        <v>1</v>
      </c>
      <c r="I261" s="635">
        <v>627.51634877384197</v>
      </c>
      <c r="J261" s="635"/>
      <c r="K261" s="635"/>
      <c r="L261" s="635"/>
      <c r="M261" s="635"/>
      <c r="N261" s="635"/>
      <c r="O261" s="635"/>
      <c r="P261" s="657"/>
      <c r="Q261" s="636"/>
    </row>
    <row r="262" spans="1:17" ht="14.4" customHeight="1" x14ac:dyDescent="0.3">
      <c r="A262" s="631" t="s">
        <v>512</v>
      </c>
      <c r="B262" s="632" t="s">
        <v>2514</v>
      </c>
      <c r="C262" s="632" t="s">
        <v>2328</v>
      </c>
      <c r="D262" s="632" t="s">
        <v>2367</v>
      </c>
      <c r="E262" s="632" t="s">
        <v>2368</v>
      </c>
      <c r="F262" s="635"/>
      <c r="G262" s="635"/>
      <c r="H262" s="635"/>
      <c r="I262" s="635"/>
      <c r="J262" s="635">
        <v>4.1499999999999995</v>
      </c>
      <c r="K262" s="635">
        <v>3320</v>
      </c>
      <c r="L262" s="635"/>
      <c r="M262" s="635">
        <v>800.00000000000011</v>
      </c>
      <c r="N262" s="635"/>
      <c r="O262" s="635"/>
      <c r="P262" s="657"/>
      <c r="Q262" s="636"/>
    </row>
    <row r="263" spans="1:17" ht="14.4" customHeight="1" x14ac:dyDescent="0.3">
      <c r="A263" s="631" t="s">
        <v>512</v>
      </c>
      <c r="B263" s="632" t="s">
        <v>2514</v>
      </c>
      <c r="C263" s="632" t="s">
        <v>2328</v>
      </c>
      <c r="D263" s="632" t="s">
        <v>2369</v>
      </c>
      <c r="E263" s="632" t="s">
        <v>1414</v>
      </c>
      <c r="F263" s="635"/>
      <c r="G263" s="635"/>
      <c r="H263" s="635"/>
      <c r="I263" s="635"/>
      <c r="J263" s="635">
        <v>13.100000000000001</v>
      </c>
      <c r="K263" s="635">
        <v>28278.02</v>
      </c>
      <c r="L263" s="635"/>
      <c r="M263" s="635">
        <v>2158.6274809160304</v>
      </c>
      <c r="N263" s="635"/>
      <c r="O263" s="635"/>
      <c r="P263" s="657"/>
      <c r="Q263" s="636"/>
    </row>
    <row r="264" spans="1:17" ht="14.4" customHeight="1" x14ac:dyDescent="0.3">
      <c r="A264" s="631" t="s">
        <v>512</v>
      </c>
      <c r="B264" s="632" t="s">
        <v>2514</v>
      </c>
      <c r="C264" s="632" t="s">
        <v>2328</v>
      </c>
      <c r="D264" s="632" t="s">
        <v>2534</v>
      </c>
      <c r="E264" s="632" t="s">
        <v>2535</v>
      </c>
      <c r="F264" s="635"/>
      <c r="G264" s="635"/>
      <c r="H264" s="635"/>
      <c r="I264" s="635"/>
      <c r="J264" s="635">
        <v>0.3</v>
      </c>
      <c r="K264" s="635">
        <v>181.53</v>
      </c>
      <c r="L264" s="635"/>
      <c r="M264" s="635">
        <v>605.1</v>
      </c>
      <c r="N264" s="635"/>
      <c r="O264" s="635"/>
      <c r="P264" s="657"/>
      <c r="Q264" s="636"/>
    </row>
    <row r="265" spans="1:17" ht="14.4" customHeight="1" x14ac:dyDescent="0.3">
      <c r="A265" s="631" t="s">
        <v>512</v>
      </c>
      <c r="B265" s="632" t="s">
        <v>2514</v>
      </c>
      <c r="C265" s="632" t="s">
        <v>2328</v>
      </c>
      <c r="D265" s="632" t="s">
        <v>2370</v>
      </c>
      <c r="E265" s="632" t="s">
        <v>1346</v>
      </c>
      <c r="F265" s="635"/>
      <c r="G265" s="635"/>
      <c r="H265" s="635"/>
      <c r="I265" s="635"/>
      <c r="J265" s="635">
        <v>6.9</v>
      </c>
      <c r="K265" s="635">
        <v>5640.17</v>
      </c>
      <c r="L265" s="635"/>
      <c r="M265" s="635">
        <v>817.41594202898546</v>
      </c>
      <c r="N265" s="635"/>
      <c r="O265" s="635"/>
      <c r="P265" s="657"/>
      <c r="Q265" s="636"/>
    </row>
    <row r="266" spans="1:17" ht="14.4" customHeight="1" x14ac:dyDescent="0.3">
      <c r="A266" s="631" t="s">
        <v>512</v>
      </c>
      <c r="B266" s="632" t="s">
        <v>2514</v>
      </c>
      <c r="C266" s="632" t="s">
        <v>2328</v>
      </c>
      <c r="D266" s="632" t="s">
        <v>2536</v>
      </c>
      <c r="E266" s="632" t="s">
        <v>2537</v>
      </c>
      <c r="F266" s="635">
        <v>2</v>
      </c>
      <c r="G266" s="635">
        <v>6760.92</v>
      </c>
      <c r="H266" s="635">
        <v>1</v>
      </c>
      <c r="I266" s="635">
        <v>3380.46</v>
      </c>
      <c r="J266" s="635"/>
      <c r="K266" s="635"/>
      <c r="L266" s="635"/>
      <c r="M266" s="635"/>
      <c r="N266" s="635"/>
      <c r="O266" s="635"/>
      <c r="P266" s="657"/>
      <c r="Q266" s="636"/>
    </row>
    <row r="267" spans="1:17" ht="14.4" customHeight="1" x14ac:dyDescent="0.3">
      <c r="A267" s="631" t="s">
        <v>512</v>
      </c>
      <c r="B267" s="632" t="s">
        <v>2514</v>
      </c>
      <c r="C267" s="632" t="s">
        <v>2328</v>
      </c>
      <c r="D267" s="632" t="s">
        <v>2371</v>
      </c>
      <c r="E267" s="632" t="s">
        <v>2372</v>
      </c>
      <c r="F267" s="635"/>
      <c r="G267" s="635"/>
      <c r="H267" s="635"/>
      <c r="I267" s="635"/>
      <c r="J267" s="635">
        <v>2.1</v>
      </c>
      <c r="K267" s="635">
        <v>2414.86</v>
      </c>
      <c r="L267" s="635"/>
      <c r="M267" s="635">
        <v>1149.9333333333334</v>
      </c>
      <c r="N267" s="635"/>
      <c r="O267" s="635"/>
      <c r="P267" s="657"/>
      <c r="Q267" s="636"/>
    </row>
    <row r="268" spans="1:17" ht="14.4" customHeight="1" x14ac:dyDescent="0.3">
      <c r="A268" s="631" t="s">
        <v>512</v>
      </c>
      <c r="B268" s="632" t="s">
        <v>2514</v>
      </c>
      <c r="C268" s="632" t="s">
        <v>2328</v>
      </c>
      <c r="D268" s="632" t="s">
        <v>2373</v>
      </c>
      <c r="E268" s="632" t="s">
        <v>2374</v>
      </c>
      <c r="F268" s="635"/>
      <c r="G268" s="635"/>
      <c r="H268" s="635"/>
      <c r="I268" s="635"/>
      <c r="J268" s="635">
        <v>31.049999999999997</v>
      </c>
      <c r="K268" s="635">
        <v>112371.01</v>
      </c>
      <c r="L268" s="635"/>
      <c r="M268" s="635">
        <v>3619.0341384863127</v>
      </c>
      <c r="N268" s="635"/>
      <c r="O268" s="635"/>
      <c r="P268" s="657"/>
      <c r="Q268" s="636"/>
    </row>
    <row r="269" spans="1:17" ht="14.4" customHeight="1" x14ac:dyDescent="0.3">
      <c r="A269" s="631" t="s">
        <v>512</v>
      </c>
      <c r="B269" s="632" t="s">
        <v>2514</v>
      </c>
      <c r="C269" s="632" t="s">
        <v>2328</v>
      </c>
      <c r="D269" s="632" t="s">
        <v>2538</v>
      </c>
      <c r="E269" s="632" t="s">
        <v>2537</v>
      </c>
      <c r="F269" s="635"/>
      <c r="G269" s="635"/>
      <c r="H269" s="635"/>
      <c r="I269" s="635"/>
      <c r="J269" s="635">
        <v>1</v>
      </c>
      <c r="K269" s="635">
        <v>7071.68</v>
      </c>
      <c r="L269" s="635"/>
      <c r="M269" s="635">
        <v>7071.68</v>
      </c>
      <c r="N269" s="635"/>
      <c r="O269" s="635"/>
      <c r="P269" s="657"/>
      <c r="Q269" s="636"/>
    </row>
    <row r="270" spans="1:17" ht="14.4" customHeight="1" x14ac:dyDescent="0.3">
      <c r="A270" s="631" t="s">
        <v>512</v>
      </c>
      <c r="B270" s="632" t="s">
        <v>2514</v>
      </c>
      <c r="C270" s="632" t="s">
        <v>2380</v>
      </c>
      <c r="D270" s="632" t="s">
        <v>2539</v>
      </c>
      <c r="E270" s="632" t="s">
        <v>2105</v>
      </c>
      <c r="F270" s="635"/>
      <c r="G270" s="635"/>
      <c r="H270" s="635"/>
      <c r="I270" s="635"/>
      <c r="J270" s="635">
        <v>1</v>
      </c>
      <c r="K270" s="635">
        <v>1176.6600000000001</v>
      </c>
      <c r="L270" s="635"/>
      <c r="M270" s="635">
        <v>1176.6600000000001</v>
      </c>
      <c r="N270" s="635"/>
      <c r="O270" s="635"/>
      <c r="P270" s="657"/>
      <c r="Q270" s="636"/>
    </row>
    <row r="271" spans="1:17" ht="14.4" customHeight="1" x14ac:dyDescent="0.3">
      <c r="A271" s="631" t="s">
        <v>512</v>
      </c>
      <c r="B271" s="632" t="s">
        <v>2514</v>
      </c>
      <c r="C271" s="632" t="s">
        <v>2380</v>
      </c>
      <c r="D271" s="632" t="s">
        <v>2381</v>
      </c>
      <c r="E271" s="632" t="s">
        <v>2105</v>
      </c>
      <c r="F271" s="635">
        <v>198</v>
      </c>
      <c r="G271" s="635">
        <v>352867.68</v>
      </c>
      <c r="H271" s="635">
        <v>1</v>
      </c>
      <c r="I271" s="635">
        <v>1782.1599999999999</v>
      </c>
      <c r="J271" s="635">
        <v>271</v>
      </c>
      <c r="K271" s="635">
        <v>501246.42</v>
      </c>
      <c r="L271" s="635">
        <v>1.4204939936692416</v>
      </c>
      <c r="M271" s="635">
        <v>1849.6177859778597</v>
      </c>
      <c r="N271" s="635"/>
      <c r="O271" s="635"/>
      <c r="P271" s="657"/>
      <c r="Q271" s="636"/>
    </row>
    <row r="272" spans="1:17" ht="14.4" customHeight="1" x14ac:dyDescent="0.3">
      <c r="A272" s="631" t="s">
        <v>512</v>
      </c>
      <c r="B272" s="632" t="s">
        <v>2514</v>
      </c>
      <c r="C272" s="632" t="s">
        <v>2380</v>
      </c>
      <c r="D272" s="632" t="s">
        <v>2382</v>
      </c>
      <c r="E272" s="632" t="s">
        <v>2105</v>
      </c>
      <c r="F272" s="635">
        <v>5</v>
      </c>
      <c r="G272" s="635">
        <v>12899.100000000002</v>
      </c>
      <c r="H272" s="635">
        <v>1</v>
      </c>
      <c r="I272" s="635">
        <v>2579.8200000000006</v>
      </c>
      <c r="J272" s="635">
        <v>20</v>
      </c>
      <c r="K272" s="635">
        <v>54093.75</v>
      </c>
      <c r="L272" s="635">
        <v>4.1936065306881867</v>
      </c>
      <c r="M272" s="635">
        <v>2704.6875</v>
      </c>
      <c r="N272" s="635"/>
      <c r="O272" s="635"/>
      <c r="P272" s="657"/>
      <c r="Q272" s="636"/>
    </row>
    <row r="273" spans="1:17" ht="14.4" customHeight="1" x14ac:dyDescent="0.3">
      <c r="A273" s="631" t="s">
        <v>512</v>
      </c>
      <c r="B273" s="632" t="s">
        <v>2514</v>
      </c>
      <c r="C273" s="632" t="s">
        <v>2380</v>
      </c>
      <c r="D273" s="632" t="s">
        <v>2540</v>
      </c>
      <c r="E273" s="632" t="s">
        <v>2105</v>
      </c>
      <c r="F273" s="635">
        <v>1</v>
      </c>
      <c r="G273" s="635">
        <v>1546.24</v>
      </c>
      <c r="H273" s="635">
        <v>1</v>
      </c>
      <c r="I273" s="635">
        <v>1546.24</v>
      </c>
      <c r="J273" s="635"/>
      <c r="K273" s="635"/>
      <c r="L273" s="635"/>
      <c r="M273" s="635"/>
      <c r="N273" s="635"/>
      <c r="O273" s="635"/>
      <c r="P273" s="657"/>
      <c r="Q273" s="636"/>
    </row>
    <row r="274" spans="1:17" ht="14.4" customHeight="1" x14ac:dyDescent="0.3">
      <c r="A274" s="631" t="s">
        <v>512</v>
      </c>
      <c r="B274" s="632" t="s">
        <v>2514</v>
      </c>
      <c r="C274" s="632" t="s">
        <v>2380</v>
      </c>
      <c r="D274" s="632" t="s">
        <v>2383</v>
      </c>
      <c r="E274" s="632" t="s">
        <v>2105</v>
      </c>
      <c r="F274" s="635">
        <v>9</v>
      </c>
      <c r="G274" s="635">
        <v>16039.44</v>
      </c>
      <c r="H274" s="635">
        <v>1</v>
      </c>
      <c r="I274" s="635">
        <v>1782.16</v>
      </c>
      <c r="J274" s="635">
        <v>3</v>
      </c>
      <c r="K274" s="635">
        <v>5596.74</v>
      </c>
      <c r="L274" s="635">
        <v>0.34893612245814065</v>
      </c>
      <c r="M274" s="635">
        <v>1865.58</v>
      </c>
      <c r="N274" s="635"/>
      <c r="O274" s="635"/>
      <c r="P274" s="657"/>
      <c r="Q274" s="636"/>
    </row>
    <row r="275" spans="1:17" ht="14.4" customHeight="1" x14ac:dyDescent="0.3">
      <c r="A275" s="631" t="s">
        <v>512</v>
      </c>
      <c r="B275" s="632" t="s">
        <v>2514</v>
      </c>
      <c r="C275" s="632" t="s">
        <v>2380</v>
      </c>
      <c r="D275" s="632" t="s">
        <v>2385</v>
      </c>
      <c r="E275" s="632" t="s">
        <v>2105</v>
      </c>
      <c r="F275" s="635">
        <v>2</v>
      </c>
      <c r="G275" s="635">
        <v>15445.5</v>
      </c>
      <c r="H275" s="635">
        <v>1</v>
      </c>
      <c r="I275" s="635">
        <v>7722.75</v>
      </c>
      <c r="J275" s="635">
        <v>1</v>
      </c>
      <c r="K275" s="635">
        <v>7778.18</v>
      </c>
      <c r="L275" s="635">
        <v>0.50358874753164351</v>
      </c>
      <c r="M275" s="635">
        <v>7778.18</v>
      </c>
      <c r="N275" s="635"/>
      <c r="O275" s="635"/>
      <c r="P275" s="657"/>
      <c r="Q275" s="636"/>
    </row>
    <row r="276" spans="1:17" ht="14.4" customHeight="1" x14ac:dyDescent="0.3">
      <c r="A276" s="631" t="s">
        <v>512</v>
      </c>
      <c r="B276" s="632" t="s">
        <v>2514</v>
      </c>
      <c r="C276" s="632" t="s">
        <v>2380</v>
      </c>
      <c r="D276" s="632" t="s">
        <v>2386</v>
      </c>
      <c r="E276" s="632" t="s">
        <v>2105</v>
      </c>
      <c r="F276" s="635">
        <v>6</v>
      </c>
      <c r="G276" s="635">
        <v>54234.060000000005</v>
      </c>
      <c r="H276" s="635">
        <v>1</v>
      </c>
      <c r="I276" s="635">
        <v>9039.01</v>
      </c>
      <c r="J276" s="635">
        <v>12</v>
      </c>
      <c r="K276" s="635">
        <v>113652.66</v>
      </c>
      <c r="L276" s="635">
        <v>2.0955956459833542</v>
      </c>
      <c r="M276" s="635">
        <v>9471.0550000000003</v>
      </c>
      <c r="N276" s="635"/>
      <c r="O276" s="635"/>
      <c r="P276" s="657"/>
      <c r="Q276" s="636"/>
    </row>
    <row r="277" spans="1:17" ht="14.4" customHeight="1" x14ac:dyDescent="0.3">
      <c r="A277" s="631" t="s">
        <v>512</v>
      </c>
      <c r="B277" s="632" t="s">
        <v>2514</v>
      </c>
      <c r="C277" s="632" t="s">
        <v>2380</v>
      </c>
      <c r="D277" s="632" t="s">
        <v>2387</v>
      </c>
      <c r="E277" s="632" t="s">
        <v>2105</v>
      </c>
      <c r="F277" s="635">
        <v>68</v>
      </c>
      <c r="G277" s="635">
        <v>58460.959999999999</v>
      </c>
      <c r="H277" s="635">
        <v>1</v>
      </c>
      <c r="I277" s="635">
        <v>859.72</v>
      </c>
      <c r="J277" s="635">
        <v>133</v>
      </c>
      <c r="K277" s="635">
        <v>121634.40999999999</v>
      </c>
      <c r="L277" s="635">
        <v>2.0806091791855623</v>
      </c>
      <c r="M277" s="635">
        <v>914.54443609022553</v>
      </c>
      <c r="N277" s="635"/>
      <c r="O277" s="635"/>
      <c r="P277" s="657"/>
      <c r="Q277" s="636"/>
    </row>
    <row r="278" spans="1:17" ht="14.4" customHeight="1" x14ac:dyDescent="0.3">
      <c r="A278" s="631" t="s">
        <v>512</v>
      </c>
      <c r="B278" s="632" t="s">
        <v>2514</v>
      </c>
      <c r="C278" s="632" t="s">
        <v>2380</v>
      </c>
      <c r="D278" s="632" t="s">
        <v>2388</v>
      </c>
      <c r="E278" s="632" t="s">
        <v>2105</v>
      </c>
      <c r="F278" s="635">
        <v>2</v>
      </c>
      <c r="G278" s="635">
        <v>378.88</v>
      </c>
      <c r="H278" s="635">
        <v>1</v>
      </c>
      <c r="I278" s="635">
        <v>189.44</v>
      </c>
      <c r="J278" s="635">
        <v>25</v>
      </c>
      <c r="K278" s="635">
        <v>5939.079999999999</v>
      </c>
      <c r="L278" s="635">
        <v>15.6753589527027</v>
      </c>
      <c r="M278" s="635">
        <v>237.56319999999997</v>
      </c>
      <c r="N278" s="635"/>
      <c r="O278" s="635"/>
      <c r="P278" s="657"/>
      <c r="Q278" s="636"/>
    </row>
    <row r="279" spans="1:17" ht="14.4" customHeight="1" x14ac:dyDescent="0.3">
      <c r="A279" s="631" t="s">
        <v>512</v>
      </c>
      <c r="B279" s="632" t="s">
        <v>2514</v>
      </c>
      <c r="C279" s="632" t="s">
        <v>2389</v>
      </c>
      <c r="D279" s="632" t="s">
        <v>2390</v>
      </c>
      <c r="E279" s="632" t="s">
        <v>2391</v>
      </c>
      <c r="F279" s="635"/>
      <c r="G279" s="635"/>
      <c r="H279" s="635"/>
      <c r="I279" s="635"/>
      <c r="J279" s="635">
        <v>6</v>
      </c>
      <c r="K279" s="635">
        <v>1979.88</v>
      </c>
      <c r="L279" s="635"/>
      <c r="M279" s="635">
        <v>329.98</v>
      </c>
      <c r="N279" s="635"/>
      <c r="O279" s="635"/>
      <c r="P279" s="657"/>
      <c r="Q279" s="636"/>
    </row>
    <row r="280" spans="1:17" ht="14.4" customHeight="1" x14ac:dyDescent="0.3">
      <c r="A280" s="631" t="s">
        <v>512</v>
      </c>
      <c r="B280" s="632" t="s">
        <v>2514</v>
      </c>
      <c r="C280" s="632" t="s">
        <v>2389</v>
      </c>
      <c r="D280" s="632" t="s">
        <v>2541</v>
      </c>
      <c r="E280" s="632" t="s">
        <v>2542</v>
      </c>
      <c r="F280" s="635"/>
      <c r="G280" s="635"/>
      <c r="H280" s="635"/>
      <c r="I280" s="635"/>
      <c r="J280" s="635">
        <v>1</v>
      </c>
      <c r="K280" s="635">
        <v>1435.36</v>
      </c>
      <c r="L280" s="635"/>
      <c r="M280" s="635">
        <v>1435.36</v>
      </c>
      <c r="N280" s="635"/>
      <c r="O280" s="635"/>
      <c r="P280" s="657"/>
      <c r="Q280" s="636"/>
    </row>
    <row r="281" spans="1:17" ht="14.4" customHeight="1" x14ac:dyDescent="0.3">
      <c r="A281" s="631" t="s">
        <v>512</v>
      </c>
      <c r="B281" s="632" t="s">
        <v>2514</v>
      </c>
      <c r="C281" s="632" t="s">
        <v>2389</v>
      </c>
      <c r="D281" s="632" t="s">
        <v>2543</v>
      </c>
      <c r="E281" s="632" t="s">
        <v>2544</v>
      </c>
      <c r="F281" s="635">
        <v>1</v>
      </c>
      <c r="G281" s="635">
        <v>687</v>
      </c>
      <c r="H281" s="635">
        <v>1</v>
      </c>
      <c r="I281" s="635">
        <v>687</v>
      </c>
      <c r="J281" s="635"/>
      <c r="K281" s="635"/>
      <c r="L281" s="635"/>
      <c r="M281" s="635"/>
      <c r="N281" s="635"/>
      <c r="O281" s="635"/>
      <c r="P281" s="657"/>
      <c r="Q281" s="636"/>
    </row>
    <row r="282" spans="1:17" ht="14.4" customHeight="1" x14ac:dyDescent="0.3">
      <c r="A282" s="631" t="s">
        <v>512</v>
      </c>
      <c r="B282" s="632" t="s">
        <v>2514</v>
      </c>
      <c r="C282" s="632" t="s">
        <v>2389</v>
      </c>
      <c r="D282" s="632" t="s">
        <v>2545</v>
      </c>
      <c r="E282" s="632" t="s">
        <v>2546</v>
      </c>
      <c r="F282" s="635">
        <v>16</v>
      </c>
      <c r="G282" s="635">
        <v>3671.68</v>
      </c>
      <c r="H282" s="635">
        <v>1</v>
      </c>
      <c r="I282" s="635">
        <v>229.48</v>
      </c>
      <c r="J282" s="635"/>
      <c r="K282" s="635"/>
      <c r="L282" s="635"/>
      <c r="M282" s="635"/>
      <c r="N282" s="635"/>
      <c r="O282" s="635"/>
      <c r="P282" s="657"/>
      <c r="Q282" s="636"/>
    </row>
    <row r="283" spans="1:17" ht="14.4" customHeight="1" x14ac:dyDescent="0.3">
      <c r="A283" s="631" t="s">
        <v>512</v>
      </c>
      <c r="B283" s="632" t="s">
        <v>2514</v>
      </c>
      <c r="C283" s="632" t="s">
        <v>2389</v>
      </c>
      <c r="D283" s="632" t="s">
        <v>2547</v>
      </c>
      <c r="E283" s="632" t="s">
        <v>2546</v>
      </c>
      <c r="F283" s="635">
        <v>0.73</v>
      </c>
      <c r="G283" s="635">
        <v>845.85</v>
      </c>
      <c r="H283" s="635">
        <v>1</v>
      </c>
      <c r="I283" s="635">
        <v>1158.6986301369864</v>
      </c>
      <c r="J283" s="635"/>
      <c r="K283" s="635"/>
      <c r="L283" s="635"/>
      <c r="M283" s="635"/>
      <c r="N283" s="635"/>
      <c r="O283" s="635"/>
      <c r="P283" s="657"/>
      <c r="Q283" s="636"/>
    </row>
    <row r="284" spans="1:17" ht="14.4" customHeight="1" x14ac:dyDescent="0.3">
      <c r="A284" s="631" t="s">
        <v>512</v>
      </c>
      <c r="B284" s="632" t="s">
        <v>2514</v>
      </c>
      <c r="C284" s="632" t="s">
        <v>2389</v>
      </c>
      <c r="D284" s="632" t="s">
        <v>2405</v>
      </c>
      <c r="E284" s="632" t="s">
        <v>2406</v>
      </c>
      <c r="F284" s="635"/>
      <c r="G284" s="635"/>
      <c r="H284" s="635"/>
      <c r="I284" s="635"/>
      <c r="J284" s="635">
        <v>1</v>
      </c>
      <c r="K284" s="635">
        <v>6832.75</v>
      </c>
      <c r="L284" s="635"/>
      <c r="M284" s="635">
        <v>6832.75</v>
      </c>
      <c r="N284" s="635"/>
      <c r="O284" s="635"/>
      <c r="P284" s="657"/>
      <c r="Q284" s="636"/>
    </row>
    <row r="285" spans="1:17" ht="14.4" customHeight="1" x14ac:dyDescent="0.3">
      <c r="A285" s="631" t="s">
        <v>512</v>
      </c>
      <c r="B285" s="632" t="s">
        <v>2514</v>
      </c>
      <c r="C285" s="632" t="s">
        <v>2389</v>
      </c>
      <c r="D285" s="632" t="s">
        <v>2548</v>
      </c>
      <c r="E285" s="632" t="s">
        <v>2549</v>
      </c>
      <c r="F285" s="635">
        <v>1</v>
      </c>
      <c r="G285" s="635">
        <v>91.2</v>
      </c>
      <c r="H285" s="635">
        <v>1</v>
      </c>
      <c r="I285" s="635">
        <v>91.2</v>
      </c>
      <c r="J285" s="635"/>
      <c r="K285" s="635"/>
      <c r="L285" s="635"/>
      <c r="M285" s="635"/>
      <c r="N285" s="635"/>
      <c r="O285" s="635"/>
      <c r="P285" s="657"/>
      <c r="Q285" s="636"/>
    </row>
    <row r="286" spans="1:17" ht="14.4" customHeight="1" x14ac:dyDescent="0.3">
      <c r="A286" s="631" t="s">
        <v>512</v>
      </c>
      <c r="B286" s="632" t="s">
        <v>2514</v>
      </c>
      <c r="C286" s="632" t="s">
        <v>2389</v>
      </c>
      <c r="D286" s="632" t="s">
        <v>2409</v>
      </c>
      <c r="E286" s="632" t="s">
        <v>2402</v>
      </c>
      <c r="F286" s="635">
        <v>2</v>
      </c>
      <c r="G286" s="635">
        <v>242.5</v>
      </c>
      <c r="H286" s="635">
        <v>1</v>
      </c>
      <c r="I286" s="635">
        <v>121.25</v>
      </c>
      <c r="J286" s="635">
        <v>2</v>
      </c>
      <c r="K286" s="635">
        <v>242.5</v>
      </c>
      <c r="L286" s="635">
        <v>1</v>
      </c>
      <c r="M286" s="635">
        <v>121.25</v>
      </c>
      <c r="N286" s="635"/>
      <c r="O286" s="635"/>
      <c r="P286" s="657"/>
      <c r="Q286" s="636"/>
    </row>
    <row r="287" spans="1:17" ht="14.4" customHeight="1" x14ac:dyDescent="0.3">
      <c r="A287" s="631" t="s">
        <v>512</v>
      </c>
      <c r="B287" s="632" t="s">
        <v>2514</v>
      </c>
      <c r="C287" s="632" t="s">
        <v>2389</v>
      </c>
      <c r="D287" s="632" t="s">
        <v>2550</v>
      </c>
      <c r="E287" s="632" t="s">
        <v>2551</v>
      </c>
      <c r="F287" s="635">
        <v>1</v>
      </c>
      <c r="G287" s="635">
        <v>28950</v>
      </c>
      <c r="H287" s="635">
        <v>1</v>
      </c>
      <c r="I287" s="635">
        <v>28950</v>
      </c>
      <c r="J287" s="635"/>
      <c r="K287" s="635"/>
      <c r="L287" s="635"/>
      <c r="M287" s="635"/>
      <c r="N287" s="635"/>
      <c r="O287" s="635"/>
      <c r="P287" s="657"/>
      <c r="Q287" s="636"/>
    </row>
    <row r="288" spans="1:17" ht="14.4" customHeight="1" x14ac:dyDescent="0.3">
      <c r="A288" s="631" t="s">
        <v>512</v>
      </c>
      <c r="B288" s="632" t="s">
        <v>2514</v>
      </c>
      <c r="C288" s="632" t="s">
        <v>2389</v>
      </c>
      <c r="D288" s="632" t="s">
        <v>2552</v>
      </c>
      <c r="E288" s="632" t="s">
        <v>2553</v>
      </c>
      <c r="F288" s="635">
        <v>1</v>
      </c>
      <c r="G288" s="635">
        <v>23608.2</v>
      </c>
      <c r="H288" s="635">
        <v>1</v>
      </c>
      <c r="I288" s="635">
        <v>23608.2</v>
      </c>
      <c r="J288" s="635">
        <v>1</v>
      </c>
      <c r="K288" s="635">
        <v>23608.2</v>
      </c>
      <c r="L288" s="635">
        <v>1</v>
      </c>
      <c r="M288" s="635">
        <v>23608.2</v>
      </c>
      <c r="N288" s="635"/>
      <c r="O288" s="635"/>
      <c r="P288" s="657"/>
      <c r="Q288" s="636"/>
    </row>
    <row r="289" spans="1:17" ht="14.4" customHeight="1" x14ac:dyDescent="0.3">
      <c r="A289" s="631" t="s">
        <v>512</v>
      </c>
      <c r="B289" s="632" t="s">
        <v>2514</v>
      </c>
      <c r="C289" s="632" t="s">
        <v>2389</v>
      </c>
      <c r="D289" s="632" t="s">
        <v>2554</v>
      </c>
      <c r="E289" s="632" t="s">
        <v>2555</v>
      </c>
      <c r="F289" s="635">
        <v>1</v>
      </c>
      <c r="G289" s="635">
        <v>223.85</v>
      </c>
      <c r="H289" s="635">
        <v>1</v>
      </c>
      <c r="I289" s="635">
        <v>223.85</v>
      </c>
      <c r="J289" s="635"/>
      <c r="K289" s="635"/>
      <c r="L289" s="635"/>
      <c r="M289" s="635"/>
      <c r="N289" s="635"/>
      <c r="O289" s="635"/>
      <c r="P289" s="657"/>
      <c r="Q289" s="636"/>
    </row>
    <row r="290" spans="1:17" ht="14.4" customHeight="1" x14ac:dyDescent="0.3">
      <c r="A290" s="631" t="s">
        <v>512</v>
      </c>
      <c r="B290" s="632" t="s">
        <v>2514</v>
      </c>
      <c r="C290" s="632" t="s">
        <v>2389</v>
      </c>
      <c r="D290" s="632" t="s">
        <v>2556</v>
      </c>
      <c r="E290" s="632" t="s">
        <v>2557</v>
      </c>
      <c r="F290" s="635">
        <v>1</v>
      </c>
      <c r="G290" s="635">
        <v>1796</v>
      </c>
      <c r="H290" s="635">
        <v>1</v>
      </c>
      <c r="I290" s="635">
        <v>1796</v>
      </c>
      <c r="J290" s="635">
        <v>2</v>
      </c>
      <c r="K290" s="635">
        <v>3592</v>
      </c>
      <c r="L290" s="635">
        <v>2</v>
      </c>
      <c r="M290" s="635">
        <v>1796</v>
      </c>
      <c r="N290" s="635"/>
      <c r="O290" s="635"/>
      <c r="P290" s="657"/>
      <c r="Q290" s="636"/>
    </row>
    <row r="291" spans="1:17" ht="14.4" customHeight="1" x14ac:dyDescent="0.3">
      <c r="A291" s="631" t="s">
        <v>512</v>
      </c>
      <c r="B291" s="632" t="s">
        <v>2514</v>
      </c>
      <c r="C291" s="632" t="s">
        <v>2389</v>
      </c>
      <c r="D291" s="632" t="s">
        <v>2420</v>
      </c>
      <c r="E291" s="632" t="s">
        <v>2421</v>
      </c>
      <c r="F291" s="635">
        <v>1</v>
      </c>
      <c r="G291" s="635">
        <v>1796</v>
      </c>
      <c r="H291" s="635">
        <v>1</v>
      </c>
      <c r="I291" s="635">
        <v>1796</v>
      </c>
      <c r="J291" s="635">
        <v>2</v>
      </c>
      <c r="K291" s="635">
        <v>3592</v>
      </c>
      <c r="L291" s="635">
        <v>2</v>
      </c>
      <c r="M291" s="635">
        <v>1796</v>
      </c>
      <c r="N291" s="635"/>
      <c r="O291" s="635"/>
      <c r="P291" s="657"/>
      <c r="Q291" s="636"/>
    </row>
    <row r="292" spans="1:17" ht="14.4" customHeight="1" x14ac:dyDescent="0.3">
      <c r="A292" s="631" t="s">
        <v>512</v>
      </c>
      <c r="B292" s="632" t="s">
        <v>2514</v>
      </c>
      <c r="C292" s="632" t="s">
        <v>2389</v>
      </c>
      <c r="D292" s="632" t="s">
        <v>2422</v>
      </c>
      <c r="E292" s="632" t="s">
        <v>2423</v>
      </c>
      <c r="F292" s="635">
        <v>2</v>
      </c>
      <c r="G292" s="635">
        <v>3592</v>
      </c>
      <c r="H292" s="635">
        <v>1</v>
      </c>
      <c r="I292" s="635">
        <v>1796</v>
      </c>
      <c r="J292" s="635">
        <v>1</v>
      </c>
      <c r="K292" s="635">
        <v>1796</v>
      </c>
      <c r="L292" s="635">
        <v>0.5</v>
      </c>
      <c r="M292" s="635">
        <v>1796</v>
      </c>
      <c r="N292" s="635"/>
      <c r="O292" s="635"/>
      <c r="P292" s="657"/>
      <c r="Q292" s="636"/>
    </row>
    <row r="293" spans="1:17" ht="14.4" customHeight="1" x14ac:dyDescent="0.3">
      <c r="A293" s="631" t="s">
        <v>512</v>
      </c>
      <c r="B293" s="632" t="s">
        <v>2514</v>
      </c>
      <c r="C293" s="632" t="s">
        <v>2389</v>
      </c>
      <c r="D293" s="632" t="s">
        <v>2558</v>
      </c>
      <c r="E293" s="632" t="s">
        <v>2559</v>
      </c>
      <c r="F293" s="635"/>
      <c r="G293" s="635"/>
      <c r="H293" s="635"/>
      <c r="I293" s="635"/>
      <c r="J293" s="635">
        <v>1</v>
      </c>
      <c r="K293" s="635">
        <v>530.62</v>
      </c>
      <c r="L293" s="635"/>
      <c r="M293" s="635">
        <v>530.62</v>
      </c>
      <c r="N293" s="635"/>
      <c r="O293" s="635"/>
      <c r="P293" s="657"/>
      <c r="Q293" s="636"/>
    </row>
    <row r="294" spans="1:17" ht="14.4" customHeight="1" x14ac:dyDescent="0.3">
      <c r="A294" s="631" t="s">
        <v>512</v>
      </c>
      <c r="B294" s="632" t="s">
        <v>2514</v>
      </c>
      <c r="C294" s="632" t="s">
        <v>2389</v>
      </c>
      <c r="D294" s="632" t="s">
        <v>2424</v>
      </c>
      <c r="E294" s="632" t="s">
        <v>2425</v>
      </c>
      <c r="F294" s="635">
        <v>3</v>
      </c>
      <c r="G294" s="635">
        <v>1669.5</v>
      </c>
      <c r="H294" s="635">
        <v>1</v>
      </c>
      <c r="I294" s="635">
        <v>556.5</v>
      </c>
      <c r="J294" s="635">
        <v>9</v>
      </c>
      <c r="K294" s="635">
        <v>5008.5</v>
      </c>
      <c r="L294" s="635">
        <v>3</v>
      </c>
      <c r="M294" s="635">
        <v>556.5</v>
      </c>
      <c r="N294" s="635"/>
      <c r="O294" s="635"/>
      <c r="P294" s="657"/>
      <c r="Q294" s="636"/>
    </row>
    <row r="295" spans="1:17" ht="14.4" customHeight="1" x14ac:dyDescent="0.3">
      <c r="A295" s="631" t="s">
        <v>512</v>
      </c>
      <c r="B295" s="632" t="s">
        <v>2514</v>
      </c>
      <c r="C295" s="632" t="s">
        <v>2389</v>
      </c>
      <c r="D295" s="632" t="s">
        <v>2560</v>
      </c>
      <c r="E295" s="632" t="s">
        <v>2561</v>
      </c>
      <c r="F295" s="635">
        <v>1</v>
      </c>
      <c r="G295" s="635">
        <v>1380</v>
      </c>
      <c r="H295" s="635">
        <v>1</v>
      </c>
      <c r="I295" s="635">
        <v>1380</v>
      </c>
      <c r="J295" s="635"/>
      <c r="K295" s="635"/>
      <c r="L295" s="635"/>
      <c r="M295" s="635"/>
      <c r="N295" s="635"/>
      <c r="O295" s="635"/>
      <c r="P295" s="657"/>
      <c r="Q295" s="636"/>
    </row>
    <row r="296" spans="1:17" ht="14.4" customHeight="1" x14ac:dyDescent="0.3">
      <c r="A296" s="631" t="s">
        <v>512</v>
      </c>
      <c r="B296" s="632" t="s">
        <v>2514</v>
      </c>
      <c r="C296" s="632" t="s">
        <v>2389</v>
      </c>
      <c r="D296" s="632" t="s">
        <v>2428</v>
      </c>
      <c r="E296" s="632" t="s">
        <v>2429</v>
      </c>
      <c r="F296" s="635">
        <v>1</v>
      </c>
      <c r="G296" s="635">
        <v>1312</v>
      </c>
      <c r="H296" s="635">
        <v>1</v>
      </c>
      <c r="I296" s="635">
        <v>1312</v>
      </c>
      <c r="J296" s="635"/>
      <c r="K296" s="635"/>
      <c r="L296" s="635"/>
      <c r="M296" s="635"/>
      <c r="N296" s="635"/>
      <c r="O296" s="635"/>
      <c r="P296" s="657"/>
      <c r="Q296" s="636"/>
    </row>
    <row r="297" spans="1:17" ht="14.4" customHeight="1" x14ac:dyDescent="0.3">
      <c r="A297" s="631" t="s">
        <v>512</v>
      </c>
      <c r="B297" s="632" t="s">
        <v>2514</v>
      </c>
      <c r="C297" s="632" t="s">
        <v>2389</v>
      </c>
      <c r="D297" s="632" t="s">
        <v>2562</v>
      </c>
      <c r="E297" s="632" t="s">
        <v>2563</v>
      </c>
      <c r="F297" s="635"/>
      <c r="G297" s="635"/>
      <c r="H297" s="635"/>
      <c r="I297" s="635"/>
      <c r="J297" s="635">
        <v>8</v>
      </c>
      <c r="K297" s="635">
        <v>772.8</v>
      </c>
      <c r="L297" s="635"/>
      <c r="M297" s="635">
        <v>96.6</v>
      </c>
      <c r="N297" s="635"/>
      <c r="O297" s="635"/>
      <c r="P297" s="657"/>
      <c r="Q297" s="636"/>
    </row>
    <row r="298" spans="1:17" ht="14.4" customHeight="1" x14ac:dyDescent="0.3">
      <c r="A298" s="631" t="s">
        <v>512</v>
      </c>
      <c r="B298" s="632" t="s">
        <v>2514</v>
      </c>
      <c r="C298" s="632" t="s">
        <v>2389</v>
      </c>
      <c r="D298" s="632" t="s">
        <v>2564</v>
      </c>
      <c r="E298" s="632" t="s">
        <v>2105</v>
      </c>
      <c r="F298" s="635"/>
      <c r="G298" s="635"/>
      <c r="H298" s="635"/>
      <c r="I298" s="635"/>
      <c r="J298" s="635">
        <v>1</v>
      </c>
      <c r="K298" s="635">
        <v>70</v>
      </c>
      <c r="L298" s="635"/>
      <c r="M298" s="635">
        <v>70</v>
      </c>
      <c r="N298" s="635"/>
      <c r="O298" s="635"/>
      <c r="P298" s="657"/>
      <c r="Q298" s="636"/>
    </row>
    <row r="299" spans="1:17" ht="14.4" customHeight="1" x14ac:dyDescent="0.3">
      <c r="A299" s="631" t="s">
        <v>512</v>
      </c>
      <c r="B299" s="632" t="s">
        <v>2514</v>
      </c>
      <c r="C299" s="632" t="s">
        <v>2389</v>
      </c>
      <c r="D299" s="632" t="s">
        <v>2565</v>
      </c>
      <c r="E299" s="632" t="s">
        <v>2105</v>
      </c>
      <c r="F299" s="635">
        <v>2</v>
      </c>
      <c r="G299" s="635">
        <v>294</v>
      </c>
      <c r="H299" s="635">
        <v>1</v>
      </c>
      <c r="I299" s="635">
        <v>147</v>
      </c>
      <c r="J299" s="635">
        <v>2</v>
      </c>
      <c r="K299" s="635">
        <v>294</v>
      </c>
      <c r="L299" s="635">
        <v>1</v>
      </c>
      <c r="M299" s="635">
        <v>147</v>
      </c>
      <c r="N299" s="635"/>
      <c r="O299" s="635"/>
      <c r="P299" s="657"/>
      <c r="Q299" s="636"/>
    </row>
    <row r="300" spans="1:17" ht="14.4" customHeight="1" x14ac:dyDescent="0.3">
      <c r="A300" s="631" t="s">
        <v>512</v>
      </c>
      <c r="B300" s="632" t="s">
        <v>2514</v>
      </c>
      <c r="C300" s="632" t="s">
        <v>2389</v>
      </c>
      <c r="D300" s="632" t="s">
        <v>2432</v>
      </c>
      <c r="E300" s="632" t="s">
        <v>2433</v>
      </c>
      <c r="F300" s="635"/>
      <c r="G300" s="635"/>
      <c r="H300" s="635"/>
      <c r="I300" s="635"/>
      <c r="J300" s="635">
        <v>1</v>
      </c>
      <c r="K300" s="635">
        <v>3960</v>
      </c>
      <c r="L300" s="635"/>
      <c r="M300" s="635">
        <v>3960</v>
      </c>
      <c r="N300" s="635"/>
      <c r="O300" s="635"/>
      <c r="P300" s="657"/>
      <c r="Q300" s="636"/>
    </row>
    <row r="301" spans="1:17" ht="14.4" customHeight="1" x14ac:dyDescent="0.3">
      <c r="A301" s="631" t="s">
        <v>512</v>
      </c>
      <c r="B301" s="632" t="s">
        <v>2514</v>
      </c>
      <c r="C301" s="632" t="s">
        <v>2389</v>
      </c>
      <c r="D301" s="632" t="s">
        <v>2435</v>
      </c>
      <c r="E301" s="632" t="s">
        <v>2436</v>
      </c>
      <c r="F301" s="635"/>
      <c r="G301" s="635"/>
      <c r="H301" s="635"/>
      <c r="I301" s="635"/>
      <c r="J301" s="635">
        <v>4</v>
      </c>
      <c r="K301" s="635">
        <v>2201.1999999999998</v>
      </c>
      <c r="L301" s="635"/>
      <c r="M301" s="635">
        <v>550.29999999999995</v>
      </c>
      <c r="N301" s="635"/>
      <c r="O301" s="635"/>
      <c r="P301" s="657"/>
      <c r="Q301" s="636"/>
    </row>
    <row r="302" spans="1:17" ht="14.4" customHeight="1" x14ac:dyDescent="0.3">
      <c r="A302" s="631" t="s">
        <v>512</v>
      </c>
      <c r="B302" s="632" t="s">
        <v>2514</v>
      </c>
      <c r="C302" s="632" t="s">
        <v>2389</v>
      </c>
      <c r="D302" s="632" t="s">
        <v>2437</v>
      </c>
      <c r="E302" s="632" t="s">
        <v>2438</v>
      </c>
      <c r="F302" s="635"/>
      <c r="G302" s="635"/>
      <c r="H302" s="635"/>
      <c r="I302" s="635"/>
      <c r="J302" s="635">
        <v>6</v>
      </c>
      <c r="K302" s="635">
        <v>3624</v>
      </c>
      <c r="L302" s="635"/>
      <c r="M302" s="635">
        <v>604</v>
      </c>
      <c r="N302" s="635"/>
      <c r="O302" s="635"/>
      <c r="P302" s="657"/>
      <c r="Q302" s="636"/>
    </row>
    <row r="303" spans="1:17" ht="14.4" customHeight="1" x14ac:dyDescent="0.3">
      <c r="A303" s="631" t="s">
        <v>512</v>
      </c>
      <c r="B303" s="632" t="s">
        <v>2514</v>
      </c>
      <c r="C303" s="632" t="s">
        <v>2389</v>
      </c>
      <c r="D303" s="632" t="s">
        <v>2566</v>
      </c>
      <c r="E303" s="632" t="s">
        <v>2567</v>
      </c>
      <c r="F303" s="635"/>
      <c r="G303" s="635"/>
      <c r="H303" s="635"/>
      <c r="I303" s="635"/>
      <c r="J303" s="635">
        <v>1</v>
      </c>
      <c r="K303" s="635">
        <v>76433</v>
      </c>
      <c r="L303" s="635"/>
      <c r="M303" s="635">
        <v>76433</v>
      </c>
      <c r="N303" s="635"/>
      <c r="O303" s="635"/>
      <c r="P303" s="657"/>
      <c r="Q303" s="636"/>
    </row>
    <row r="304" spans="1:17" ht="14.4" customHeight="1" x14ac:dyDescent="0.3">
      <c r="A304" s="631" t="s">
        <v>512</v>
      </c>
      <c r="B304" s="632" t="s">
        <v>2514</v>
      </c>
      <c r="C304" s="632" t="s">
        <v>2110</v>
      </c>
      <c r="D304" s="632" t="s">
        <v>2445</v>
      </c>
      <c r="E304" s="632" t="s">
        <v>2446</v>
      </c>
      <c r="F304" s="635">
        <v>3</v>
      </c>
      <c r="G304" s="635">
        <v>95868</v>
      </c>
      <c r="H304" s="635">
        <v>1</v>
      </c>
      <c r="I304" s="635">
        <v>31956</v>
      </c>
      <c r="J304" s="635">
        <v>3</v>
      </c>
      <c r="K304" s="635">
        <v>95898</v>
      </c>
      <c r="L304" s="635">
        <v>1.0003129302791338</v>
      </c>
      <c r="M304" s="635">
        <v>31966</v>
      </c>
      <c r="N304" s="635"/>
      <c r="O304" s="635"/>
      <c r="P304" s="657"/>
      <c r="Q304" s="636"/>
    </row>
    <row r="305" spans="1:17" ht="14.4" customHeight="1" x14ac:dyDescent="0.3">
      <c r="A305" s="631" t="s">
        <v>512</v>
      </c>
      <c r="B305" s="632" t="s">
        <v>2514</v>
      </c>
      <c r="C305" s="632" t="s">
        <v>2110</v>
      </c>
      <c r="D305" s="632" t="s">
        <v>2447</v>
      </c>
      <c r="E305" s="632" t="s">
        <v>2448</v>
      </c>
      <c r="F305" s="635">
        <v>558</v>
      </c>
      <c r="G305" s="635">
        <v>6632946</v>
      </c>
      <c r="H305" s="635">
        <v>1</v>
      </c>
      <c r="I305" s="635">
        <v>11887</v>
      </c>
      <c r="J305" s="635">
        <v>662</v>
      </c>
      <c r="K305" s="635">
        <v>7875410</v>
      </c>
      <c r="L305" s="635">
        <v>1.1873170684639978</v>
      </c>
      <c r="M305" s="635">
        <v>11896.389728096678</v>
      </c>
      <c r="N305" s="635"/>
      <c r="O305" s="635"/>
      <c r="P305" s="657"/>
      <c r="Q305" s="636"/>
    </row>
    <row r="306" spans="1:17" ht="14.4" customHeight="1" x14ac:dyDescent="0.3">
      <c r="A306" s="631" t="s">
        <v>512</v>
      </c>
      <c r="B306" s="632" t="s">
        <v>2514</v>
      </c>
      <c r="C306" s="632" t="s">
        <v>2110</v>
      </c>
      <c r="D306" s="632" t="s">
        <v>2449</v>
      </c>
      <c r="E306" s="632" t="s">
        <v>2450</v>
      </c>
      <c r="F306" s="635">
        <v>8</v>
      </c>
      <c r="G306" s="635">
        <v>3408</v>
      </c>
      <c r="H306" s="635">
        <v>1</v>
      </c>
      <c r="I306" s="635">
        <v>426</v>
      </c>
      <c r="J306" s="635">
        <v>4</v>
      </c>
      <c r="K306" s="635">
        <v>1708</v>
      </c>
      <c r="L306" s="635">
        <v>0.50117370892018775</v>
      </c>
      <c r="M306" s="635">
        <v>427</v>
      </c>
      <c r="N306" s="635"/>
      <c r="O306" s="635"/>
      <c r="P306" s="657"/>
      <c r="Q306" s="636"/>
    </row>
    <row r="307" spans="1:17" ht="14.4" customHeight="1" x14ac:dyDescent="0.3">
      <c r="A307" s="631" t="s">
        <v>512</v>
      </c>
      <c r="B307" s="632" t="s">
        <v>2514</v>
      </c>
      <c r="C307" s="632" t="s">
        <v>2110</v>
      </c>
      <c r="D307" s="632" t="s">
        <v>2451</v>
      </c>
      <c r="E307" s="632" t="s">
        <v>2452</v>
      </c>
      <c r="F307" s="635">
        <v>172</v>
      </c>
      <c r="G307" s="635">
        <v>65532</v>
      </c>
      <c r="H307" s="635">
        <v>1</v>
      </c>
      <c r="I307" s="635">
        <v>381</v>
      </c>
      <c r="J307" s="635">
        <v>232</v>
      </c>
      <c r="K307" s="635">
        <v>88624</v>
      </c>
      <c r="L307" s="635">
        <v>1.3523774644448514</v>
      </c>
      <c r="M307" s="635">
        <v>382</v>
      </c>
      <c r="N307" s="635"/>
      <c r="O307" s="635"/>
      <c r="P307" s="657"/>
      <c r="Q307" s="636"/>
    </row>
    <row r="308" spans="1:17" ht="14.4" customHeight="1" x14ac:dyDescent="0.3">
      <c r="A308" s="631" t="s">
        <v>512</v>
      </c>
      <c r="B308" s="632" t="s">
        <v>2514</v>
      </c>
      <c r="C308" s="632" t="s">
        <v>2110</v>
      </c>
      <c r="D308" s="632" t="s">
        <v>2115</v>
      </c>
      <c r="E308" s="632" t="s">
        <v>2116</v>
      </c>
      <c r="F308" s="635">
        <v>280</v>
      </c>
      <c r="G308" s="635">
        <v>64680</v>
      </c>
      <c r="H308" s="635">
        <v>1</v>
      </c>
      <c r="I308" s="635">
        <v>231</v>
      </c>
      <c r="J308" s="635">
        <v>289</v>
      </c>
      <c r="K308" s="635">
        <v>67048</v>
      </c>
      <c r="L308" s="635">
        <v>1.0366110080395794</v>
      </c>
      <c r="M308" s="635">
        <v>232</v>
      </c>
      <c r="N308" s="635"/>
      <c r="O308" s="635"/>
      <c r="P308" s="657"/>
      <c r="Q308" s="636"/>
    </row>
    <row r="309" spans="1:17" ht="14.4" customHeight="1" x14ac:dyDescent="0.3">
      <c r="A309" s="631" t="s">
        <v>512</v>
      </c>
      <c r="B309" s="632" t="s">
        <v>2514</v>
      </c>
      <c r="C309" s="632" t="s">
        <v>2110</v>
      </c>
      <c r="D309" s="632" t="s">
        <v>2455</v>
      </c>
      <c r="E309" s="632" t="s">
        <v>2456</v>
      </c>
      <c r="F309" s="635">
        <v>0</v>
      </c>
      <c r="G309" s="635">
        <v>0</v>
      </c>
      <c r="H309" s="635"/>
      <c r="I309" s="635"/>
      <c r="J309" s="635">
        <v>0</v>
      </c>
      <c r="K309" s="635">
        <v>0</v>
      </c>
      <c r="L309" s="635"/>
      <c r="M309" s="635"/>
      <c r="N309" s="635"/>
      <c r="O309" s="635"/>
      <c r="P309" s="657"/>
      <c r="Q309" s="636"/>
    </row>
    <row r="310" spans="1:17" ht="14.4" customHeight="1" x14ac:dyDescent="0.3">
      <c r="A310" s="631" t="s">
        <v>512</v>
      </c>
      <c r="B310" s="632" t="s">
        <v>2514</v>
      </c>
      <c r="C310" s="632" t="s">
        <v>2110</v>
      </c>
      <c r="D310" s="632" t="s">
        <v>2457</v>
      </c>
      <c r="E310" s="632" t="s">
        <v>2458</v>
      </c>
      <c r="F310" s="635">
        <v>63</v>
      </c>
      <c r="G310" s="635">
        <v>0</v>
      </c>
      <c r="H310" s="635"/>
      <c r="I310" s="635">
        <v>0</v>
      </c>
      <c r="J310" s="635">
        <v>203</v>
      </c>
      <c r="K310" s="635">
        <v>0</v>
      </c>
      <c r="L310" s="635"/>
      <c r="M310" s="635">
        <v>0</v>
      </c>
      <c r="N310" s="635"/>
      <c r="O310" s="635"/>
      <c r="P310" s="657"/>
      <c r="Q310" s="636"/>
    </row>
    <row r="311" spans="1:17" ht="14.4" customHeight="1" x14ac:dyDescent="0.3">
      <c r="A311" s="631" t="s">
        <v>512</v>
      </c>
      <c r="B311" s="632" t="s">
        <v>2514</v>
      </c>
      <c r="C311" s="632" t="s">
        <v>2110</v>
      </c>
      <c r="D311" s="632" t="s">
        <v>2568</v>
      </c>
      <c r="E311" s="632" t="s">
        <v>2569</v>
      </c>
      <c r="F311" s="635">
        <v>11</v>
      </c>
      <c r="G311" s="635">
        <v>0</v>
      </c>
      <c r="H311" s="635"/>
      <c r="I311" s="635">
        <v>0</v>
      </c>
      <c r="J311" s="635">
        <v>11</v>
      </c>
      <c r="K311" s="635">
        <v>0</v>
      </c>
      <c r="L311" s="635"/>
      <c r="M311" s="635">
        <v>0</v>
      </c>
      <c r="N311" s="635"/>
      <c r="O311" s="635"/>
      <c r="P311" s="657"/>
      <c r="Q311" s="636"/>
    </row>
    <row r="312" spans="1:17" ht="14.4" customHeight="1" x14ac:dyDescent="0.3">
      <c r="A312" s="631" t="s">
        <v>512</v>
      </c>
      <c r="B312" s="632" t="s">
        <v>2514</v>
      </c>
      <c r="C312" s="632" t="s">
        <v>2110</v>
      </c>
      <c r="D312" s="632" t="s">
        <v>2459</v>
      </c>
      <c r="E312" s="632" t="s">
        <v>2460</v>
      </c>
      <c r="F312" s="635">
        <v>45</v>
      </c>
      <c r="G312" s="635">
        <v>0</v>
      </c>
      <c r="H312" s="635"/>
      <c r="I312" s="635">
        <v>0</v>
      </c>
      <c r="J312" s="635">
        <v>23</v>
      </c>
      <c r="K312" s="635">
        <v>0</v>
      </c>
      <c r="L312" s="635"/>
      <c r="M312" s="635">
        <v>0</v>
      </c>
      <c r="N312" s="635"/>
      <c r="O312" s="635"/>
      <c r="P312" s="657"/>
      <c r="Q312" s="636"/>
    </row>
    <row r="313" spans="1:17" ht="14.4" customHeight="1" x14ac:dyDescent="0.3">
      <c r="A313" s="631" t="s">
        <v>512</v>
      </c>
      <c r="B313" s="632" t="s">
        <v>2514</v>
      </c>
      <c r="C313" s="632" t="s">
        <v>2110</v>
      </c>
      <c r="D313" s="632" t="s">
        <v>2461</v>
      </c>
      <c r="E313" s="632" t="s">
        <v>2462</v>
      </c>
      <c r="F313" s="635">
        <v>27</v>
      </c>
      <c r="G313" s="635">
        <v>0</v>
      </c>
      <c r="H313" s="635"/>
      <c r="I313" s="635">
        <v>0</v>
      </c>
      <c r="J313" s="635">
        <v>20</v>
      </c>
      <c r="K313" s="635">
        <v>0</v>
      </c>
      <c r="L313" s="635"/>
      <c r="M313" s="635">
        <v>0</v>
      </c>
      <c r="N313" s="635"/>
      <c r="O313" s="635"/>
      <c r="P313" s="657"/>
      <c r="Q313" s="636"/>
    </row>
    <row r="314" spans="1:17" ht="14.4" customHeight="1" x14ac:dyDescent="0.3">
      <c r="A314" s="631" t="s">
        <v>512</v>
      </c>
      <c r="B314" s="632" t="s">
        <v>2514</v>
      </c>
      <c r="C314" s="632" t="s">
        <v>2110</v>
      </c>
      <c r="D314" s="632" t="s">
        <v>2463</v>
      </c>
      <c r="E314" s="632" t="s">
        <v>2464</v>
      </c>
      <c r="F314" s="635">
        <v>4</v>
      </c>
      <c r="G314" s="635">
        <v>0</v>
      </c>
      <c r="H314" s="635"/>
      <c r="I314" s="635">
        <v>0</v>
      </c>
      <c r="J314" s="635">
        <v>2</v>
      </c>
      <c r="K314" s="635">
        <v>0</v>
      </c>
      <c r="L314" s="635"/>
      <c r="M314" s="635">
        <v>0</v>
      </c>
      <c r="N314" s="635"/>
      <c r="O314" s="635"/>
      <c r="P314" s="657"/>
      <c r="Q314" s="636"/>
    </row>
    <row r="315" spans="1:17" ht="14.4" customHeight="1" x14ac:dyDescent="0.3">
      <c r="A315" s="631" t="s">
        <v>512</v>
      </c>
      <c r="B315" s="632" t="s">
        <v>2514</v>
      </c>
      <c r="C315" s="632" t="s">
        <v>2110</v>
      </c>
      <c r="D315" s="632" t="s">
        <v>2570</v>
      </c>
      <c r="E315" s="632" t="s">
        <v>2571</v>
      </c>
      <c r="F315" s="635">
        <v>433</v>
      </c>
      <c r="G315" s="635">
        <v>0</v>
      </c>
      <c r="H315" s="635"/>
      <c r="I315" s="635">
        <v>0</v>
      </c>
      <c r="J315" s="635">
        <v>761</v>
      </c>
      <c r="K315" s="635">
        <v>0</v>
      </c>
      <c r="L315" s="635"/>
      <c r="M315" s="635">
        <v>0</v>
      </c>
      <c r="N315" s="635"/>
      <c r="O315" s="635"/>
      <c r="P315" s="657"/>
      <c r="Q315" s="636"/>
    </row>
    <row r="316" spans="1:17" ht="14.4" customHeight="1" x14ac:dyDescent="0.3">
      <c r="A316" s="631" t="s">
        <v>512</v>
      </c>
      <c r="B316" s="632" t="s">
        <v>2514</v>
      </c>
      <c r="C316" s="632" t="s">
        <v>2110</v>
      </c>
      <c r="D316" s="632" t="s">
        <v>2465</v>
      </c>
      <c r="E316" s="632" t="s">
        <v>2462</v>
      </c>
      <c r="F316" s="635">
        <v>8</v>
      </c>
      <c r="G316" s="635">
        <v>0</v>
      </c>
      <c r="H316" s="635"/>
      <c r="I316" s="635">
        <v>0</v>
      </c>
      <c r="J316" s="635">
        <v>10</v>
      </c>
      <c r="K316" s="635">
        <v>0</v>
      </c>
      <c r="L316" s="635"/>
      <c r="M316" s="635">
        <v>0</v>
      </c>
      <c r="N316" s="635"/>
      <c r="O316" s="635"/>
      <c r="P316" s="657"/>
      <c r="Q316" s="636"/>
    </row>
    <row r="317" spans="1:17" ht="14.4" customHeight="1" x14ac:dyDescent="0.3">
      <c r="A317" s="631" t="s">
        <v>512</v>
      </c>
      <c r="B317" s="632" t="s">
        <v>2514</v>
      </c>
      <c r="C317" s="632" t="s">
        <v>2110</v>
      </c>
      <c r="D317" s="632" t="s">
        <v>2466</v>
      </c>
      <c r="E317" s="632" t="s">
        <v>2467</v>
      </c>
      <c r="F317" s="635">
        <v>11</v>
      </c>
      <c r="G317" s="635">
        <v>60126</v>
      </c>
      <c r="H317" s="635">
        <v>1</v>
      </c>
      <c r="I317" s="635">
        <v>5466</v>
      </c>
      <c r="J317" s="635">
        <v>8</v>
      </c>
      <c r="K317" s="635">
        <v>43806</v>
      </c>
      <c r="L317" s="635">
        <v>0.72857000299371322</v>
      </c>
      <c r="M317" s="635">
        <v>5475.75</v>
      </c>
      <c r="N317" s="635"/>
      <c r="O317" s="635"/>
      <c r="P317" s="657"/>
      <c r="Q317" s="636"/>
    </row>
    <row r="318" spans="1:17" ht="14.4" customHeight="1" x14ac:dyDescent="0.3">
      <c r="A318" s="631" t="s">
        <v>512</v>
      </c>
      <c r="B318" s="632" t="s">
        <v>2514</v>
      </c>
      <c r="C318" s="632" t="s">
        <v>2110</v>
      </c>
      <c r="D318" s="632" t="s">
        <v>2470</v>
      </c>
      <c r="E318" s="632" t="s">
        <v>2471</v>
      </c>
      <c r="F318" s="635">
        <v>66</v>
      </c>
      <c r="G318" s="635">
        <v>1581096</v>
      </c>
      <c r="H318" s="635">
        <v>1</v>
      </c>
      <c r="I318" s="635">
        <v>23956</v>
      </c>
      <c r="J318" s="635">
        <v>35</v>
      </c>
      <c r="K318" s="635">
        <v>838804</v>
      </c>
      <c r="L318" s="635">
        <v>0.53052060089962916</v>
      </c>
      <c r="M318" s="635">
        <v>23965.82857142857</v>
      </c>
      <c r="N318" s="635"/>
      <c r="O318" s="635"/>
      <c r="P318" s="657"/>
      <c r="Q318" s="636"/>
    </row>
    <row r="319" spans="1:17" ht="14.4" customHeight="1" x14ac:dyDescent="0.3">
      <c r="A319" s="631" t="s">
        <v>512</v>
      </c>
      <c r="B319" s="632" t="s">
        <v>2514</v>
      </c>
      <c r="C319" s="632" t="s">
        <v>2110</v>
      </c>
      <c r="D319" s="632" t="s">
        <v>2472</v>
      </c>
      <c r="E319" s="632" t="s">
        <v>2473</v>
      </c>
      <c r="F319" s="635">
        <v>73</v>
      </c>
      <c r="G319" s="635">
        <v>486618</v>
      </c>
      <c r="H319" s="635">
        <v>1</v>
      </c>
      <c r="I319" s="635">
        <v>6666</v>
      </c>
      <c r="J319" s="635">
        <v>110</v>
      </c>
      <c r="K319" s="635">
        <v>734288</v>
      </c>
      <c r="L319" s="635">
        <v>1.5089618550896184</v>
      </c>
      <c r="M319" s="635">
        <v>6675.3454545454542</v>
      </c>
      <c r="N319" s="635"/>
      <c r="O319" s="635"/>
      <c r="P319" s="657"/>
      <c r="Q319" s="636"/>
    </row>
    <row r="320" spans="1:17" ht="14.4" customHeight="1" x14ac:dyDescent="0.3">
      <c r="A320" s="631" t="s">
        <v>512</v>
      </c>
      <c r="B320" s="632" t="s">
        <v>2514</v>
      </c>
      <c r="C320" s="632" t="s">
        <v>2110</v>
      </c>
      <c r="D320" s="632" t="s">
        <v>2474</v>
      </c>
      <c r="E320" s="632" t="s">
        <v>2462</v>
      </c>
      <c r="F320" s="635">
        <v>2</v>
      </c>
      <c r="G320" s="635">
        <v>0</v>
      </c>
      <c r="H320" s="635"/>
      <c r="I320" s="635">
        <v>0</v>
      </c>
      <c r="J320" s="635">
        <v>4</v>
      </c>
      <c r="K320" s="635">
        <v>0</v>
      </c>
      <c r="L320" s="635"/>
      <c r="M320" s="635">
        <v>0</v>
      </c>
      <c r="N320" s="635"/>
      <c r="O320" s="635"/>
      <c r="P320" s="657"/>
      <c r="Q320" s="636"/>
    </row>
    <row r="321" spans="1:17" ht="14.4" customHeight="1" x14ac:dyDescent="0.3">
      <c r="A321" s="631" t="s">
        <v>512</v>
      </c>
      <c r="B321" s="632" t="s">
        <v>2514</v>
      </c>
      <c r="C321" s="632" t="s">
        <v>2110</v>
      </c>
      <c r="D321" s="632" t="s">
        <v>2475</v>
      </c>
      <c r="E321" s="632" t="s">
        <v>2476</v>
      </c>
      <c r="F321" s="635">
        <v>31</v>
      </c>
      <c r="G321" s="635">
        <v>866636</v>
      </c>
      <c r="H321" s="635">
        <v>1</v>
      </c>
      <c r="I321" s="635">
        <v>27956</v>
      </c>
      <c r="J321" s="635">
        <v>21</v>
      </c>
      <c r="K321" s="635">
        <v>587286</v>
      </c>
      <c r="L321" s="635">
        <v>0.6776616711052853</v>
      </c>
      <c r="M321" s="635">
        <v>27966</v>
      </c>
      <c r="N321" s="635"/>
      <c r="O321" s="635"/>
      <c r="P321" s="657"/>
      <c r="Q321" s="636"/>
    </row>
    <row r="322" spans="1:17" ht="14.4" customHeight="1" x14ac:dyDescent="0.3">
      <c r="A322" s="631" t="s">
        <v>512</v>
      </c>
      <c r="B322" s="632" t="s">
        <v>2514</v>
      </c>
      <c r="C322" s="632" t="s">
        <v>2110</v>
      </c>
      <c r="D322" s="632" t="s">
        <v>2479</v>
      </c>
      <c r="E322" s="632" t="s">
        <v>2480</v>
      </c>
      <c r="F322" s="635">
        <v>13</v>
      </c>
      <c r="G322" s="635">
        <v>12077</v>
      </c>
      <c r="H322" s="635">
        <v>1</v>
      </c>
      <c r="I322" s="635">
        <v>929</v>
      </c>
      <c r="J322" s="635"/>
      <c r="K322" s="635"/>
      <c r="L322" s="635"/>
      <c r="M322" s="635"/>
      <c r="N322" s="635"/>
      <c r="O322" s="635"/>
      <c r="P322" s="657"/>
      <c r="Q322" s="636"/>
    </row>
    <row r="323" spans="1:17" ht="14.4" customHeight="1" x14ac:dyDescent="0.3">
      <c r="A323" s="631" t="s">
        <v>512</v>
      </c>
      <c r="B323" s="632" t="s">
        <v>2514</v>
      </c>
      <c r="C323" s="632" t="s">
        <v>2110</v>
      </c>
      <c r="D323" s="632" t="s">
        <v>2481</v>
      </c>
      <c r="E323" s="632" t="s">
        <v>2482</v>
      </c>
      <c r="F323" s="635">
        <v>2</v>
      </c>
      <c r="G323" s="635">
        <v>0</v>
      </c>
      <c r="H323" s="635"/>
      <c r="I323" s="635">
        <v>0</v>
      </c>
      <c r="J323" s="635">
        <v>4</v>
      </c>
      <c r="K323" s="635">
        <v>0</v>
      </c>
      <c r="L323" s="635"/>
      <c r="M323" s="635">
        <v>0</v>
      </c>
      <c r="N323" s="635"/>
      <c r="O323" s="635"/>
      <c r="P323" s="657"/>
      <c r="Q323" s="636"/>
    </row>
    <row r="324" spans="1:17" ht="14.4" customHeight="1" x14ac:dyDescent="0.3">
      <c r="A324" s="631" t="s">
        <v>512</v>
      </c>
      <c r="B324" s="632" t="s">
        <v>2514</v>
      </c>
      <c r="C324" s="632" t="s">
        <v>2110</v>
      </c>
      <c r="D324" s="632" t="s">
        <v>2572</v>
      </c>
      <c r="E324" s="632" t="s">
        <v>2573</v>
      </c>
      <c r="F324" s="635">
        <v>242</v>
      </c>
      <c r="G324" s="635">
        <v>82764</v>
      </c>
      <c r="H324" s="635">
        <v>1</v>
      </c>
      <c r="I324" s="635">
        <v>342</v>
      </c>
      <c r="J324" s="635">
        <v>268</v>
      </c>
      <c r="K324" s="635">
        <v>92192</v>
      </c>
      <c r="L324" s="635">
        <v>1.1139142622396212</v>
      </c>
      <c r="M324" s="635">
        <v>344</v>
      </c>
      <c r="N324" s="635"/>
      <c r="O324" s="635"/>
      <c r="P324" s="657"/>
      <c r="Q324" s="636"/>
    </row>
    <row r="325" spans="1:17" ht="14.4" customHeight="1" x14ac:dyDescent="0.3">
      <c r="A325" s="631" t="s">
        <v>512</v>
      </c>
      <c r="B325" s="632" t="s">
        <v>2514</v>
      </c>
      <c r="C325" s="632" t="s">
        <v>2110</v>
      </c>
      <c r="D325" s="632" t="s">
        <v>2574</v>
      </c>
      <c r="E325" s="632" t="s">
        <v>2575</v>
      </c>
      <c r="F325" s="635">
        <v>2</v>
      </c>
      <c r="G325" s="635">
        <v>1208</v>
      </c>
      <c r="H325" s="635">
        <v>1</v>
      </c>
      <c r="I325" s="635">
        <v>604</v>
      </c>
      <c r="J325" s="635"/>
      <c r="K325" s="635"/>
      <c r="L325" s="635"/>
      <c r="M325" s="635"/>
      <c r="N325" s="635"/>
      <c r="O325" s="635"/>
      <c r="P325" s="657"/>
      <c r="Q325" s="636"/>
    </row>
    <row r="326" spans="1:17" ht="14.4" customHeight="1" thickBot="1" x14ac:dyDescent="0.35">
      <c r="A326" s="637" t="s">
        <v>512</v>
      </c>
      <c r="B326" s="638" t="s">
        <v>2514</v>
      </c>
      <c r="C326" s="638" t="s">
        <v>2110</v>
      </c>
      <c r="D326" s="638" t="s">
        <v>2576</v>
      </c>
      <c r="E326" s="638" t="s">
        <v>2462</v>
      </c>
      <c r="F326" s="641"/>
      <c r="G326" s="641"/>
      <c r="H326" s="641"/>
      <c r="I326" s="641"/>
      <c r="J326" s="641">
        <v>1</v>
      </c>
      <c r="K326" s="641">
        <v>0</v>
      </c>
      <c r="L326" s="641"/>
      <c r="M326" s="641">
        <v>0</v>
      </c>
      <c r="N326" s="641"/>
      <c r="O326" s="641"/>
      <c r="P326" s="649"/>
      <c r="Q326" s="642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4" customWidth="1"/>
    <col min="2" max="4" width="7.88671875" style="364" customWidth="1"/>
    <col min="5" max="5" width="7.88671875" style="373" customWidth="1"/>
    <col min="6" max="8" width="7.88671875" style="364" customWidth="1"/>
    <col min="9" max="9" width="7.88671875" style="374" customWidth="1"/>
    <col min="10" max="13" width="7.88671875" style="364" customWidth="1"/>
    <col min="14" max="16384" width="9.33203125" style="364"/>
  </cols>
  <sheetData>
    <row r="1" spans="1:13" ht="18.600000000000001" customHeight="1" thickBot="1" x14ac:dyDescent="0.4">
      <c r="A1" s="559" t="s">
        <v>136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</row>
    <row r="2" spans="1:13" ht="14.4" customHeight="1" thickBot="1" x14ac:dyDescent="0.35">
      <c r="A2" s="386" t="s">
        <v>321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</row>
    <row r="3" spans="1:13" ht="14.4" customHeight="1" thickBot="1" x14ac:dyDescent="0.35">
      <c r="A3" s="560" t="s">
        <v>70</v>
      </c>
      <c r="B3" s="527" t="s">
        <v>71</v>
      </c>
      <c r="C3" s="528"/>
      <c r="D3" s="528"/>
      <c r="E3" s="529"/>
      <c r="F3" s="527" t="s">
        <v>315</v>
      </c>
      <c r="G3" s="528"/>
      <c r="H3" s="528"/>
      <c r="I3" s="529"/>
      <c r="J3" s="123"/>
      <c r="K3" s="124"/>
      <c r="L3" s="123"/>
      <c r="M3" s="125"/>
    </row>
    <row r="4" spans="1:13" ht="14.4" customHeight="1" thickBot="1" x14ac:dyDescent="0.35">
      <c r="A4" s="561"/>
      <c r="B4" s="126">
        <v>2012</v>
      </c>
      <c r="C4" s="127">
        <v>2013</v>
      </c>
      <c r="D4" s="127">
        <v>2014</v>
      </c>
      <c r="E4" s="128" t="s">
        <v>2</v>
      </c>
      <c r="F4" s="127">
        <v>2012</v>
      </c>
      <c r="G4" s="127">
        <v>2013</v>
      </c>
      <c r="H4" s="127">
        <v>2014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169</v>
      </c>
      <c r="B5" s="121">
        <v>66.225999999999999</v>
      </c>
      <c r="C5" s="114">
        <v>61.392000000000003</v>
      </c>
      <c r="D5" s="114">
        <v>100.578</v>
      </c>
      <c r="E5" s="131">
        <v>1.5187086642708303</v>
      </c>
      <c r="F5" s="132">
        <v>8</v>
      </c>
      <c r="G5" s="114">
        <v>4</v>
      </c>
      <c r="H5" s="114">
        <v>15</v>
      </c>
      <c r="I5" s="133">
        <v>1.875</v>
      </c>
      <c r="J5" s="123"/>
      <c r="K5" s="123"/>
      <c r="L5" s="7">
        <f>D5-B5</f>
        <v>34.352000000000004</v>
      </c>
      <c r="M5" s="8">
        <f>H5-F5</f>
        <v>7</v>
      </c>
    </row>
    <row r="6" spans="1:13" ht="14.4" hidden="1" customHeight="1" outlineLevel="1" x14ac:dyDescent="0.3">
      <c r="A6" s="119" t="s">
        <v>170</v>
      </c>
      <c r="B6" s="122">
        <v>2.6379999999999999</v>
      </c>
      <c r="C6" s="113">
        <v>10.734999999999999</v>
      </c>
      <c r="D6" s="113">
        <v>0</v>
      </c>
      <c r="E6" s="134" t="s">
        <v>514</v>
      </c>
      <c r="F6" s="135">
        <v>2</v>
      </c>
      <c r="G6" s="113">
        <v>2</v>
      </c>
      <c r="H6" s="113">
        <v>0</v>
      </c>
      <c r="I6" s="136" t="s">
        <v>514</v>
      </c>
      <c r="J6" s="123"/>
      <c r="K6" s="123"/>
      <c r="L6" s="5">
        <f t="shared" ref="L6:L11" si="0">D6-B6</f>
        <v>-2.6379999999999999</v>
      </c>
      <c r="M6" s="6">
        <f t="shared" ref="M6:M13" si="1">H6-F6</f>
        <v>-2</v>
      </c>
    </row>
    <row r="7" spans="1:13" ht="14.4" hidden="1" customHeight="1" outlineLevel="1" x14ac:dyDescent="0.3">
      <c r="A7" s="119" t="s">
        <v>171</v>
      </c>
      <c r="B7" s="122">
        <v>24.425999999999998</v>
      </c>
      <c r="C7" s="113">
        <v>7.0839999999999996</v>
      </c>
      <c r="D7" s="113">
        <v>7.1420000000000003</v>
      </c>
      <c r="E7" s="134">
        <v>0.29239335134692546</v>
      </c>
      <c r="F7" s="135">
        <v>7</v>
      </c>
      <c r="G7" s="113">
        <v>1</v>
      </c>
      <c r="H7" s="113">
        <v>3</v>
      </c>
      <c r="I7" s="136">
        <v>0.42857142857142855</v>
      </c>
      <c r="J7" s="123"/>
      <c r="K7" s="123"/>
      <c r="L7" s="5">
        <f t="shared" si="0"/>
        <v>-17.283999999999999</v>
      </c>
      <c r="M7" s="6">
        <f t="shared" si="1"/>
        <v>-4</v>
      </c>
    </row>
    <row r="8" spans="1:13" ht="14.4" hidden="1" customHeight="1" outlineLevel="1" x14ac:dyDescent="0.3">
      <c r="A8" s="119" t="s">
        <v>172</v>
      </c>
      <c r="B8" s="122">
        <v>0</v>
      </c>
      <c r="C8" s="113">
        <v>0</v>
      </c>
      <c r="D8" s="113">
        <v>1.3089999999999999</v>
      </c>
      <c r="E8" s="134" t="s">
        <v>514</v>
      </c>
      <c r="F8" s="135">
        <v>0</v>
      </c>
      <c r="G8" s="113">
        <v>0</v>
      </c>
      <c r="H8" s="113">
        <v>1</v>
      </c>
      <c r="I8" s="136" t="s">
        <v>514</v>
      </c>
      <c r="J8" s="123"/>
      <c r="K8" s="123"/>
      <c r="L8" s="5">
        <f t="shared" si="0"/>
        <v>1.3089999999999999</v>
      </c>
      <c r="M8" s="6">
        <f t="shared" si="1"/>
        <v>1</v>
      </c>
    </row>
    <row r="9" spans="1:13" ht="14.4" hidden="1" customHeight="1" outlineLevel="1" x14ac:dyDescent="0.3">
      <c r="A9" s="119" t="s">
        <v>173</v>
      </c>
      <c r="B9" s="122">
        <v>0</v>
      </c>
      <c r="C9" s="113">
        <v>0</v>
      </c>
      <c r="D9" s="113">
        <v>0</v>
      </c>
      <c r="E9" s="134" t="s">
        <v>514</v>
      </c>
      <c r="F9" s="135">
        <v>0</v>
      </c>
      <c r="G9" s="113">
        <v>0</v>
      </c>
      <c r="H9" s="113">
        <v>0</v>
      </c>
      <c r="I9" s="136" t="s">
        <v>514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174</v>
      </c>
      <c r="B10" s="122">
        <v>5.8630000000000004</v>
      </c>
      <c r="C10" s="113">
        <v>14.593</v>
      </c>
      <c r="D10" s="113">
        <v>19.324999999999999</v>
      </c>
      <c r="E10" s="134">
        <v>3.2960941497526859</v>
      </c>
      <c r="F10" s="135">
        <v>1</v>
      </c>
      <c r="G10" s="113">
        <v>2</v>
      </c>
      <c r="H10" s="113">
        <v>4</v>
      </c>
      <c r="I10" s="136">
        <v>4</v>
      </c>
      <c r="J10" s="123"/>
      <c r="K10" s="123"/>
      <c r="L10" s="5">
        <f t="shared" si="0"/>
        <v>13.462</v>
      </c>
      <c r="M10" s="6">
        <f t="shared" si="1"/>
        <v>3</v>
      </c>
    </row>
    <row r="11" spans="1:13" ht="14.4" hidden="1" customHeight="1" outlineLevel="1" x14ac:dyDescent="0.3">
      <c r="A11" s="119" t="s">
        <v>175</v>
      </c>
      <c r="B11" s="122">
        <v>11.837999999999999</v>
      </c>
      <c r="C11" s="113">
        <v>1.9370000000000001</v>
      </c>
      <c r="D11" s="113">
        <v>39.862000000000002</v>
      </c>
      <c r="E11" s="134">
        <v>3.3672917722588278</v>
      </c>
      <c r="F11" s="135">
        <v>1</v>
      </c>
      <c r="G11" s="113">
        <v>1</v>
      </c>
      <c r="H11" s="113">
        <v>3</v>
      </c>
      <c r="I11" s="136">
        <v>3</v>
      </c>
      <c r="J11" s="123"/>
      <c r="K11" s="123"/>
      <c r="L11" s="5">
        <f t="shared" si="0"/>
        <v>28.024000000000001</v>
      </c>
      <c r="M11" s="6">
        <f t="shared" si="1"/>
        <v>2</v>
      </c>
    </row>
    <row r="12" spans="1:13" ht="14.4" hidden="1" customHeight="1" outlineLevel="1" thickBot="1" x14ac:dyDescent="0.35">
      <c r="A12" s="247" t="s">
        <v>234</v>
      </c>
      <c r="B12" s="248">
        <v>0</v>
      </c>
      <c r="C12" s="249">
        <v>0</v>
      </c>
      <c r="D12" s="249">
        <v>0</v>
      </c>
      <c r="E12" s="250"/>
      <c r="F12" s="251">
        <v>0</v>
      </c>
      <c r="G12" s="249">
        <v>0</v>
      </c>
      <c r="H12" s="249">
        <v>0</v>
      </c>
      <c r="I12" s="252"/>
      <c r="J12" s="123"/>
      <c r="K12" s="123"/>
      <c r="L12" s="253">
        <f>D12-B12</f>
        <v>0</v>
      </c>
      <c r="M12" s="254">
        <f>H12-F12</f>
        <v>0</v>
      </c>
    </row>
    <row r="13" spans="1:13" ht="14.4" customHeight="1" collapsed="1" thickBot="1" x14ac:dyDescent="0.35">
      <c r="A13" s="120" t="s">
        <v>3</v>
      </c>
      <c r="B13" s="115">
        <f>SUM(B5:B12)</f>
        <v>110.991</v>
      </c>
      <c r="C13" s="116">
        <f>SUM(C5:C12)</f>
        <v>95.741000000000014</v>
      </c>
      <c r="D13" s="116">
        <f>SUM(D5:D12)</f>
        <v>168.21599999999998</v>
      </c>
      <c r="E13" s="137">
        <f>IF(OR(D13=0,B13=0),0,D13/B13)</f>
        <v>1.5155823445144199</v>
      </c>
      <c r="F13" s="138">
        <f>SUM(F5:F12)</f>
        <v>19</v>
      </c>
      <c r="G13" s="116">
        <f>SUM(G5:G12)</f>
        <v>10</v>
      </c>
      <c r="H13" s="116">
        <f>SUM(H5:H12)</f>
        <v>26</v>
      </c>
      <c r="I13" s="139">
        <f>IF(OR(H13=0,F13=0),0,H13/F13)</f>
        <v>1.368421052631579</v>
      </c>
      <c r="J13" s="123"/>
      <c r="K13" s="123"/>
      <c r="L13" s="129">
        <f>D13-B13</f>
        <v>57.22499999999998</v>
      </c>
      <c r="M13" s="140">
        <f t="shared" si="1"/>
        <v>7</v>
      </c>
    </row>
    <row r="14" spans="1:13" ht="14.4" customHeight="1" x14ac:dyDescent="0.3">
      <c r="A14" s="141"/>
      <c r="B14" s="553"/>
      <c r="C14" s="553"/>
      <c r="D14" s="553"/>
      <c r="E14" s="553"/>
      <c r="F14" s="553"/>
      <c r="G14" s="553"/>
      <c r="H14" s="553"/>
      <c r="I14" s="553"/>
      <c r="J14" s="123"/>
      <c r="K14" s="123"/>
      <c r="L14" s="123"/>
      <c r="M14" s="125"/>
    </row>
    <row r="15" spans="1:13" ht="14.4" customHeight="1" thickBot="1" x14ac:dyDescent="0.35">
      <c r="A15" s="141"/>
      <c r="B15" s="366"/>
      <c r="C15" s="367"/>
      <c r="D15" s="367"/>
      <c r="E15" s="367"/>
      <c r="F15" s="366"/>
      <c r="G15" s="367"/>
      <c r="H15" s="367"/>
      <c r="I15" s="367"/>
      <c r="J15" s="123"/>
      <c r="K15" s="123"/>
      <c r="L15" s="123"/>
      <c r="M15" s="125"/>
    </row>
    <row r="16" spans="1:13" ht="14.4" customHeight="1" thickBot="1" x14ac:dyDescent="0.35">
      <c r="A16" s="548" t="s">
        <v>230</v>
      </c>
      <c r="B16" s="550" t="s">
        <v>71</v>
      </c>
      <c r="C16" s="551"/>
      <c r="D16" s="551"/>
      <c r="E16" s="552"/>
      <c r="F16" s="550" t="s">
        <v>315</v>
      </c>
      <c r="G16" s="551"/>
      <c r="H16" s="551"/>
      <c r="I16" s="552"/>
      <c r="J16" s="555" t="s">
        <v>180</v>
      </c>
      <c r="K16" s="556"/>
      <c r="L16" s="158"/>
      <c r="M16" s="158"/>
    </row>
    <row r="17" spans="1:13" ht="14.4" customHeight="1" thickBot="1" x14ac:dyDescent="0.35">
      <c r="A17" s="549"/>
      <c r="B17" s="142">
        <v>2012</v>
      </c>
      <c r="C17" s="143">
        <v>2013</v>
      </c>
      <c r="D17" s="143">
        <v>2014</v>
      </c>
      <c r="E17" s="144" t="s">
        <v>2</v>
      </c>
      <c r="F17" s="142">
        <v>2012</v>
      </c>
      <c r="G17" s="143">
        <v>2013</v>
      </c>
      <c r="H17" s="143">
        <v>2014</v>
      </c>
      <c r="I17" s="144" t="s">
        <v>2</v>
      </c>
      <c r="J17" s="557" t="s">
        <v>181</v>
      </c>
      <c r="K17" s="558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169</v>
      </c>
      <c r="B18" s="121">
        <v>66.225999999999999</v>
      </c>
      <c r="C18" s="114">
        <v>61.392000000000003</v>
      </c>
      <c r="D18" s="114">
        <v>100.578</v>
      </c>
      <c r="E18" s="131">
        <v>1.5187086642708303</v>
      </c>
      <c r="F18" s="121">
        <v>8</v>
      </c>
      <c r="G18" s="114">
        <v>4</v>
      </c>
      <c r="H18" s="114">
        <v>15</v>
      </c>
      <c r="I18" s="133">
        <v>1.875</v>
      </c>
      <c r="J18" s="541">
        <f>0.97*0.976</f>
        <v>0.94672000000000001</v>
      </c>
      <c r="K18" s="542"/>
      <c r="L18" s="147">
        <f>D18-B18</f>
        <v>34.352000000000004</v>
      </c>
      <c r="M18" s="148">
        <f>H18-F18</f>
        <v>7</v>
      </c>
    </row>
    <row r="19" spans="1:13" ht="14.4" hidden="1" customHeight="1" outlineLevel="1" x14ac:dyDescent="0.3">
      <c r="A19" s="119" t="s">
        <v>170</v>
      </c>
      <c r="B19" s="122">
        <v>2.6379999999999999</v>
      </c>
      <c r="C19" s="113">
        <v>10.734999999999999</v>
      </c>
      <c r="D19" s="113">
        <v>0</v>
      </c>
      <c r="E19" s="134" t="s">
        <v>514</v>
      </c>
      <c r="F19" s="122">
        <v>2</v>
      </c>
      <c r="G19" s="113">
        <v>2</v>
      </c>
      <c r="H19" s="113">
        <v>0</v>
      </c>
      <c r="I19" s="136" t="s">
        <v>514</v>
      </c>
      <c r="J19" s="541">
        <f>0.97*1.096</f>
        <v>1.0631200000000001</v>
      </c>
      <c r="K19" s="542"/>
      <c r="L19" s="149">
        <f t="shared" ref="L19:L26" si="2">D19-B19</f>
        <v>-2.6379999999999999</v>
      </c>
      <c r="M19" s="150">
        <f t="shared" ref="M19:M26" si="3">H19-F19</f>
        <v>-2</v>
      </c>
    </row>
    <row r="20" spans="1:13" ht="14.4" hidden="1" customHeight="1" outlineLevel="1" x14ac:dyDescent="0.3">
      <c r="A20" s="119" t="s">
        <v>171</v>
      </c>
      <c r="B20" s="122">
        <v>24.425999999999998</v>
      </c>
      <c r="C20" s="113">
        <v>7.0839999999999996</v>
      </c>
      <c r="D20" s="113">
        <v>7.1420000000000003</v>
      </c>
      <c r="E20" s="134">
        <v>0.29239335134692546</v>
      </c>
      <c r="F20" s="122">
        <v>7</v>
      </c>
      <c r="G20" s="113">
        <v>1</v>
      </c>
      <c r="H20" s="113">
        <v>3</v>
      </c>
      <c r="I20" s="136">
        <v>0.42857142857142855</v>
      </c>
      <c r="J20" s="541">
        <f>0.97*1.047</f>
        <v>1.01559</v>
      </c>
      <c r="K20" s="542"/>
      <c r="L20" s="149">
        <f t="shared" si="2"/>
        <v>-17.283999999999999</v>
      </c>
      <c r="M20" s="150">
        <f t="shared" si="3"/>
        <v>-4</v>
      </c>
    </row>
    <row r="21" spans="1:13" ht="14.4" hidden="1" customHeight="1" outlineLevel="1" x14ac:dyDescent="0.3">
      <c r="A21" s="119" t="s">
        <v>172</v>
      </c>
      <c r="B21" s="122">
        <v>0</v>
      </c>
      <c r="C21" s="113">
        <v>0</v>
      </c>
      <c r="D21" s="113">
        <v>1.3089999999999999</v>
      </c>
      <c r="E21" s="134" t="s">
        <v>514</v>
      </c>
      <c r="F21" s="122">
        <v>0</v>
      </c>
      <c r="G21" s="113">
        <v>0</v>
      </c>
      <c r="H21" s="113">
        <v>1</v>
      </c>
      <c r="I21" s="136" t="s">
        <v>514</v>
      </c>
      <c r="J21" s="541">
        <f>0.97*1.091</f>
        <v>1.05827</v>
      </c>
      <c r="K21" s="542"/>
      <c r="L21" s="149">
        <f t="shared" si="2"/>
        <v>1.3089999999999999</v>
      </c>
      <c r="M21" s="150">
        <f t="shared" si="3"/>
        <v>1</v>
      </c>
    </row>
    <row r="22" spans="1:13" ht="14.4" hidden="1" customHeight="1" outlineLevel="1" x14ac:dyDescent="0.3">
      <c r="A22" s="119" t="s">
        <v>173</v>
      </c>
      <c r="B22" s="122">
        <v>0</v>
      </c>
      <c r="C22" s="113">
        <v>0</v>
      </c>
      <c r="D22" s="113">
        <v>0</v>
      </c>
      <c r="E22" s="134" t="s">
        <v>514</v>
      </c>
      <c r="F22" s="122">
        <v>0</v>
      </c>
      <c r="G22" s="113">
        <v>0</v>
      </c>
      <c r="H22" s="113">
        <v>0</v>
      </c>
      <c r="I22" s="136" t="s">
        <v>514</v>
      </c>
      <c r="J22" s="541">
        <f>0.97*1</f>
        <v>0.97</v>
      </c>
      <c r="K22" s="542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174</v>
      </c>
      <c r="B23" s="122">
        <v>5.8630000000000004</v>
      </c>
      <c r="C23" s="113">
        <v>14.593</v>
      </c>
      <c r="D23" s="113">
        <v>19.324999999999999</v>
      </c>
      <c r="E23" s="134">
        <v>3.2960941497526859</v>
      </c>
      <c r="F23" s="122">
        <v>1</v>
      </c>
      <c r="G23" s="113">
        <v>2</v>
      </c>
      <c r="H23" s="113">
        <v>4</v>
      </c>
      <c r="I23" s="136">
        <v>4</v>
      </c>
      <c r="J23" s="541">
        <f>0.97*1.096</f>
        <v>1.0631200000000001</v>
      </c>
      <c r="K23" s="542"/>
      <c r="L23" s="149">
        <f t="shared" si="2"/>
        <v>13.462</v>
      </c>
      <c r="M23" s="150">
        <f t="shared" si="3"/>
        <v>3</v>
      </c>
    </row>
    <row r="24" spans="1:13" ht="14.4" hidden="1" customHeight="1" outlineLevel="1" x14ac:dyDescent="0.3">
      <c r="A24" s="119" t="s">
        <v>175</v>
      </c>
      <c r="B24" s="122">
        <v>11.837999999999999</v>
      </c>
      <c r="C24" s="113">
        <v>1.9370000000000001</v>
      </c>
      <c r="D24" s="113">
        <v>39.862000000000002</v>
      </c>
      <c r="E24" s="134">
        <v>3.3672917722588278</v>
      </c>
      <c r="F24" s="122">
        <v>1</v>
      </c>
      <c r="G24" s="113">
        <v>1</v>
      </c>
      <c r="H24" s="113">
        <v>3</v>
      </c>
      <c r="I24" s="136">
        <v>3</v>
      </c>
      <c r="J24" s="541">
        <f>0.97*0.989</f>
        <v>0.95933000000000002</v>
      </c>
      <c r="K24" s="542"/>
      <c r="L24" s="149">
        <f t="shared" si="2"/>
        <v>28.024000000000001</v>
      </c>
      <c r="M24" s="150">
        <f t="shared" si="3"/>
        <v>2</v>
      </c>
    </row>
    <row r="25" spans="1:13" ht="14.4" hidden="1" customHeight="1" outlineLevel="1" thickBot="1" x14ac:dyDescent="0.35">
      <c r="A25" s="247" t="s">
        <v>234</v>
      </c>
      <c r="B25" s="248">
        <v>0</v>
      </c>
      <c r="C25" s="249">
        <v>0</v>
      </c>
      <c r="D25" s="249">
        <v>0</v>
      </c>
      <c r="E25" s="250"/>
      <c r="F25" s="248">
        <v>0</v>
      </c>
      <c r="G25" s="249">
        <v>0</v>
      </c>
      <c r="H25" s="249">
        <v>0</v>
      </c>
      <c r="I25" s="252"/>
      <c r="J25" s="368"/>
      <c r="K25" s="369"/>
      <c r="L25" s="255">
        <f>D25-B25</f>
        <v>0</v>
      </c>
      <c r="M25" s="256">
        <f>H25-F25</f>
        <v>0</v>
      </c>
    </row>
    <row r="26" spans="1:13" ht="14.4" customHeight="1" collapsed="1" thickBot="1" x14ac:dyDescent="0.35">
      <c r="A26" s="151" t="s">
        <v>3</v>
      </c>
      <c r="B26" s="152">
        <f>SUM(B18:B25)</f>
        <v>110.991</v>
      </c>
      <c r="C26" s="153">
        <f>SUM(C18:C25)</f>
        <v>95.741000000000014</v>
      </c>
      <c r="D26" s="153">
        <f>SUM(D18:D25)</f>
        <v>168.21599999999998</v>
      </c>
      <c r="E26" s="154">
        <f>IF(OR(D26=0,B26=0),0,D26/B26)</f>
        <v>1.5155823445144199</v>
      </c>
      <c r="F26" s="152">
        <f>SUM(F18:F25)</f>
        <v>19</v>
      </c>
      <c r="G26" s="153">
        <f>SUM(G18:G25)</f>
        <v>10</v>
      </c>
      <c r="H26" s="153">
        <f>SUM(H18:H25)</f>
        <v>26</v>
      </c>
      <c r="I26" s="155">
        <f>IF(OR(H26=0,F26=0),0,H26/F26)</f>
        <v>1.368421052631579</v>
      </c>
      <c r="J26" s="123"/>
      <c r="K26" s="123"/>
      <c r="L26" s="145">
        <f t="shared" si="2"/>
        <v>57.22499999999998</v>
      </c>
      <c r="M26" s="156">
        <f t="shared" si="3"/>
        <v>7</v>
      </c>
    </row>
    <row r="27" spans="1:13" ht="14.4" customHeight="1" x14ac:dyDescent="0.3">
      <c r="A27" s="157"/>
      <c r="B27" s="553" t="s">
        <v>232</v>
      </c>
      <c r="C27" s="554"/>
      <c r="D27" s="554"/>
      <c r="E27" s="554"/>
      <c r="F27" s="553" t="s">
        <v>233</v>
      </c>
      <c r="G27" s="554"/>
      <c r="H27" s="554"/>
      <c r="I27" s="554"/>
      <c r="J27" s="158"/>
      <c r="K27" s="158"/>
      <c r="L27" s="158"/>
      <c r="M27" s="159"/>
    </row>
    <row r="28" spans="1:13" ht="14.4" customHeight="1" thickBot="1" x14ac:dyDescent="0.35">
      <c r="A28" s="157"/>
      <c r="B28" s="366"/>
      <c r="C28" s="367"/>
      <c r="D28" s="367"/>
      <c r="E28" s="367"/>
      <c r="F28" s="366"/>
      <c r="G28" s="367"/>
      <c r="H28" s="367"/>
      <c r="I28" s="367"/>
      <c r="J28" s="158"/>
      <c r="K28" s="158"/>
      <c r="L28" s="158"/>
      <c r="M28" s="159"/>
    </row>
    <row r="29" spans="1:13" ht="14.4" customHeight="1" thickBot="1" x14ac:dyDescent="0.35">
      <c r="A29" s="543" t="s">
        <v>231</v>
      </c>
      <c r="B29" s="545" t="s">
        <v>71</v>
      </c>
      <c r="C29" s="546"/>
      <c r="D29" s="546"/>
      <c r="E29" s="547"/>
      <c r="F29" s="546" t="s">
        <v>315</v>
      </c>
      <c r="G29" s="546"/>
      <c r="H29" s="546"/>
      <c r="I29" s="547"/>
      <c r="J29" s="158"/>
      <c r="K29" s="158"/>
      <c r="L29" s="158"/>
      <c r="M29" s="159"/>
    </row>
    <row r="30" spans="1:13" ht="14.4" customHeight="1" thickBot="1" x14ac:dyDescent="0.35">
      <c r="A30" s="544"/>
      <c r="B30" s="160">
        <v>2012</v>
      </c>
      <c r="C30" s="161">
        <v>2013</v>
      </c>
      <c r="D30" s="161">
        <v>2014</v>
      </c>
      <c r="E30" s="162" t="s">
        <v>2</v>
      </c>
      <c r="F30" s="161">
        <v>2012</v>
      </c>
      <c r="G30" s="161">
        <v>2013</v>
      </c>
      <c r="H30" s="161">
        <v>2014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169</v>
      </c>
      <c r="B31" s="121">
        <v>0</v>
      </c>
      <c r="C31" s="114">
        <v>0</v>
      </c>
      <c r="D31" s="114">
        <v>0</v>
      </c>
      <c r="E31" s="131" t="s">
        <v>514</v>
      </c>
      <c r="F31" s="132">
        <v>0</v>
      </c>
      <c r="G31" s="114">
        <v>0</v>
      </c>
      <c r="H31" s="114">
        <v>0</v>
      </c>
      <c r="I31" s="133" t="s">
        <v>514</v>
      </c>
      <c r="J31" s="158"/>
      <c r="K31" s="158"/>
      <c r="L31" s="147">
        <f t="shared" ref="L31:L39" si="4">D31-B31</f>
        <v>0</v>
      </c>
      <c r="M31" s="148">
        <f t="shared" ref="M31:M39" si="5">H31-F31</f>
        <v>0</v>
      </c>
    </row>
    <row r="32" spans="1:13" ht="14.4" hidden="1" customHeight="1" outlineLevel="1" x14ac:dyDescent="0.3">
      <c r="A32" s="119" t="s">
        <v>170</v>
      </c>
      <c r="B32" s="122">
        <v>0</v>
      </c>
      <c r="C32" s="113">
        <v>0</v>
      </c>
      <c r="D32" s="113">
        <v>0</v>
      </c>
      <c r="E32" s="134" t="s">
        <v>514</v>
      </c>
      <c r="F32" s="135">
        <v>0</v>
      </c>
      <c r="G32" s="113">
        <v>0</v>
      </c>
      <c r="H32" s="113">
        <v>0</v>
      </c>
      <c r="I32" s="136" t="s">
        <v>514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171</v>
      </c>
      <c r="B33" s="122">
        <v>0</v>
      </c>
      <c r="C33" s="113">
        <v>0</v>
      </c>
      <c r="D33" s="113">
        <v>0</v>
      </c>
      <c r="E33" s="134" t="s">
        <v>514</v>
      </c>
      <c r="F33" s="135">
        <v>0</v>
      </c>
      <c r="G33" s="113">
        <v>0</v>
      </c>
      <c r="H33" s="113">
        <v>0</v>
      </c>
      <c r="I33" s="136" t="s">
        <v>514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172</v>
      </c>
      <c r="B34" s="122">
        <v>0</v>
      </c>
      <c r="C34" s="113">
        <v>0</v>
      </c>
      <c r="D34" s="113">
        <v>0</v>
      </c>
      <c r="E34" s="134" t="s">
        <v>514</v>
      </c>
      <c r="F34" s="135">
        <v>0</v>
      </c>
      <c r="G34" s="113">
        <v>0</v>
      </c>
      <c r="H34" s="113">
        <v>0</v>
      </c>
      <c r="I34" s="136" t="s">
        <v>514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173</v>
      </c>
      <c r="B35" s="122">
        <v>0</v>
      </c>
      <c r="C35" s="113">
        <v>0</v>
      </c>
      <c r="D35" s="113">
        <v>0</v>
      </c>
      <c r="E35" s="134" t="s">
        <v>514</v>
      </c>
      <c r="F35" s="135">
        <v>0</v>
      </c>
      <c r="G35" s="113">
        <v>0</v>
      </c>
      <c r="H35" s="113">
        <v>0</v>
      </c>
      <c r="I35" s="136" t="s">
        <v>514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174</v>
      </c>
      <c r="B36" s="122">
        <v>0</v>
      </c>
      <c r="C36" s="113">
        <v>0</v>
      </c>
      <c r="D36" s="113">
        <v>0</v>
      </c>
      <c r="E36" s="134" t="s">
        <v>514</v>
      </c>
      <c r="F36" s="135">
        <v>0</v>
      </c>
      <c r="G36" s="113">
        <v>0</v>
      </c>
      <c r="H36" s="113">
        <v>0</v>
      </c>
      <c r="I36" s="136" t="s">
        <v>514</v>
      </c>
      <c r="J36" s="158"/>
      <c r="K36" s="158"/>
      <c r="L36" s="149">
        <f t="shared" si="4"/>
        <v>0</v>
      </c>
      <c r="M36" s="150">
        <f t="shared" si="5"/>
        <v>0</v>
      </c>
    </row>
    <row r="37" spans="1:13" ht="14.4" hidden="1" customHeight="1" outlineLevel="1" x14ac:dyDescent="0.3">
      <c r="A37" s="119" t="s">
        <v>175</v>
      </c>
      <c r="B37" s="122">
        <v>0</v>
      </c>
      <c r="C37" s="113">
        <v>0</v>
      </c>
      <c r="D37" s="113">
        <v>0</v>
      </c>
      <c r="E37" s="134" t="s">
        <v>514</v>
      </c>
      <c r="F37" s="135">
        <v>0</v>
      </c>
      <c r="G37" s="113">
        <v>0</v>
      </c>
      <c r="H37" s="113">
        <v>0</v>
      </c>
      <c r="I37" s="136" t="s">
        <v>514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7" t="s">
        <v>234</v>
      </c>
      <c r="B38" s="248">
        <v>0</v>
      </c>
      <c r="C38" s="249">
        <v>0</v>
      </c>
      <c r="D38" s="249">
        <v>0</v>
      </c>
      <c r="E38" s="250"/>
      <c r="F38" s="251">
        <v>0</v>
      </c>
      <c r="G38" s="249">
        <v>0</v>
      </c>
      <c r="H38" s="249">
        <v>0</v>
      </c>
      <c r="I38" s="252"/>
      <c r="J38" s="158"/>
      <c r="K38" s="158"/>
      <c r="L38" s="255">
        <f>D38-B38</f>
        <v>0</v>
      </c>
      <c r="M38" s="256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0</v>
      </c>
      <c r="C39" s="166">
        <f>SUM(C31:C38)</f>
        <v>0</v>
      </c>
      <c r="D39" s="166">
        <f>SUM(D31:D38)</f>
        <v>0</v>
      </c>
      <c r="E39" s="167">
        <f>IF(OR(D39=0,B39=0),0,D39/B39)</f>
        <v>0</v>
      </c>
      <c r="F39" s="168">
        <f>SUM(F31:F38)</f>
        <v>0</v>
      </c>
      <c r="G39" s="166">
        <f>SUM(G31:G38)</f>
        <v>0</v>
      </c>
      <c r="H39" s="166">
        <f>SUM(H31:H38)</f>
        <v>0</v>
      </c>
      <c r="I39" s="169">
        <f>IF(OR(H39=0,F39=0),0,H39/F39)</f>
        <v>0</v>
      </c>
      <c r="J39" s="158"/>
      <c r="K39" s="158"/>
      <c r="L39" s="163">
        <f t="shared" si="4"/>
        <v>0</v>
      </c>
      <c r="M39" s="170">
        <f t="shared" si="5"/>
        <v>0</v>
      </c>
    </row>
    <row r="40" spans="1:13" ht="14.4" customHeight="1" x14ac:dyDescent="0.25">
      <c r="A40" s="370"/>
      <c r="B40" s="370"/>
      <c r="C40" s="370"/>
      <c r="D40" s="370"/>
      <c r="E40" s="371"/>
      <c r="F40" s="370"/>
      <c r="G40" s="370"/>
      <c r="H40" s="370"/>
      <c r="I40" s="372"/>
      <c r="J40" s="370"/>
      <c r="K40" s="370"/>
      <c r="L40" s="370"/>
      <c r="M40" s="370"/>
    </row>
    <row r="41" spans="1:13" ht="14.4" customHeight="1" x14ac:dyDescent="0.3">
      <c r="A41" s="265" t="s">
        <v>318</v>
      </c>
      <c r="B41" s="370"/>
      <c r="C41" s="370"/>
      <c r="D41" s="370"/>
      <c r="E41" s="371"/>
      <c r="F41" s="370"/>
      <c r="G41" s="370"/>
      <c r="H41" s="370"/>
      <c r="I41" s="372"/>
      <c r="J41" s="370"/>
      <c r="K41" s="370"/>
      <c r="L41" s="370"/>
      <c r="M41" s="370"/>
    </row>
    <row r="42" spans="1:13" ht="14.4" customHeight="1" x14ac:dyDescent="0.25">
      <c r="A42" s="452" t="s">
        <v>314</v>
      </c>
    </row>
    <row r="43" spans="1:13" ht="14.4" customHeight="1" x14ac:dyDescent="0.25">
      <c r="A43" s="453" t="s">
        <v>320</v>
      </c>
    </row>
    <row r="44" spans="1:13" ht="14.4" customHeight="1" x14ac:dyDescent="0.25">
      <c r="A44" s="452" t="s">
        <v>316</v>
      </c>
    </row>
    <row r="45" spans="1:13" ht="14.4" customHeight="1" x14ac:dyDescent="0.25">
      <c r="A45" s="453" t="s">
        <v>317</v>
      </c>
    </row>
    <row r="46" spans="1:13" ht="14.4" customHeight="1" x14ac:dyDescent="0.3">
      <c r="A46" s="246" t="s">
        <v>319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9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488" t="s">
        <v>115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</row>
    <row r="2" spans="1:13" ht="14.4" customHeight="1" x14ac:dyDescent="0.3">
      <c r="A2" s="386" t="s">
        <v>321</v>
      </c>
      <c r="B2" s="205"/>
      <c r="C2" s="205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5"/>
      <c r="C3" s="375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5"/>
      <c r="C4" s="375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5"/>
      <c r="C5" s="375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5"/>
      <c r="C6" s="375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5"/>
      <c r="C7" s="375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5"/>
      <c r="C8" s="375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5"/>
      <c r="C9" s="375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5"/>
      <c r="C10" s="375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5"/>
      <c r="C11" s="375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5"/>
      <c r="C12" s="375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5"/>
      <c r="C13" s="375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5"/>
      <c r="C14" s="375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5"/>
      <c r="C15" s="375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5"/>
      <c r="C16" s="375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5"/>
      <c r="C17" s="375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5"/>
      <c r="C18" s="375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5"/>
      <c r="C19" s="375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5"/>
      <c r="C20" s="375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5"/>
      <c r="C21" s="375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5"/>
      <c r="C22" s="375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5"/>
      <c r="C23" s="375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5"/>
      <c r="C24" s="375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5"/>
      <c r="C25" s="375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5"/>
      <c r="C26" s="375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5"/>
      <c r="C27" s="375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5"/>
      <c r="C28" s="375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5"/>
      <c r="C29" s="375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5"/>
      <c r="C30" s="375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62" t="s">
        <v>83</v>
      </c>
      <c r="C31" s="563"/>
      <c r="D31" s="563"/>
      <c r="E31" s="564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6"/>
      <c r="H32" s="376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6">
        <v>102</v>
      </c>
      <c r="C33" s="206">
        <v>50</v>
      </c>
      <c r="D33" s="84">
        <f>IF(C33="","",C33-B33)</f>
        <v>-52</v>
      </c>
      <c r="E33" s="85">
        <f>IF(C33="","",C33/B33)</f>
        <v>0.49019607843137253</v>
      </c>
      <c r="F33" s="86">
        <v>8.3000000000000007</v>
      </c>
      <c r="G33" s="376">
        <v>0</v>
      </c>
      <c r="H33" s="377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7">
        <v>189.76</v>
      </c>
      <c r="C34" s="207">
        <v>75</v>
      </c>
      <c r="D34" s="87">
        <f t="shared" ref="D34:D45" si="0">IF(C34="","",C34-B34)</f>
        <v>-114.75999999999999</v>
      </c>
      <c r="E34" s="88">
        <f t="shared" ref="E34:E45" si="1">IF(C34="","",C34/B34)</f>
        <v>0.39523608768971336</v>
      </c>
      <c r="F34" s="89">
        <v>8.75</v>
      </c>
      <c r="G34" s="376">
        <v>1</v>
      </c>
      <c r="H34" s="377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7">
        <v>387.05</v>
      </c>
      <c r="C35" s="207">
        <v>218</v>
      </c>
      <c r="D35" s="87">
        <f t="shared" si="0"/>
        <v>-169.05</v>
      </c>
      <c r="E35" s="88">
        <f t="shared" si="1"/>
        <v>0.56323472419584031</v>
      </c>
      <c r="F35" s="89">
        <v>23.16</v>
      </c>
      <c r="G35" s="378"/>
      <c r="H35" s="378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7"/>
      <c r="C36" s="207"/>
      <c r="D36" s="87" t="str">
        <f t="shared" si="0"/>
        <v/>
      </c>
      <c r="E36" s="88" t="str">
        <f t="shared" si="1"/>
        <v/>
      </c>
      <c r="F36" s="89"/>
      <c r="G36" s="378"/>
      <c r="H36" s="378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7"/>
      <c r="C37" s="207"/>
      <c r="D37" s="87" t="str">
        <f t="shared" si="0"/>
        <v/>
      </c>
      <c r="E37" s="88" t="str">
        <f t="shared" si="1"/>
        <v/>
      </c>
      <c r="F37" s="89"/>
      <c r="G37" s="378"/>
      <c r="H37" s="378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7"/>
      <c r="C38" s="207"/>
      <c r="D38" s="87" t="str">
        <f t="shared" si="0"/>
        <v/>
      </c>
      <c r="E38" s="88" t="str">
        <f t="shared" si="1"/>
        <v/>
      </c>
      <c r="F38" s="89"/>
      <c r="G38" s="378"/>
      <c r="H38" s="378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7"/>
      <c r="C39" s="207"/>
      <c r="D39" s="87" t="str">
        <f t="shared" si="0"/>
        <v/>
      </c>
      <c r="E39" s="88" t="str">
        <f t="shared" si="1"/>
        <v/>
      </c>
      <c r="F39" s="89"/>
      <c r="G39" s="378"/>
      <c r="H39" s="378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7"/>
      <c r="C40" s="207"/>
      <c r="D40" s="87" t="str">
        <f t="shared" si="0"/>
        <v/>
      </c>
      <c r="E40" s="88" t="str">
        <f t="shared" si="1"/>
        <v/>
      </c>
      <c r="F40" s="89"/>
      <c r="G40" s="378"/>
      <c r="H40" s="378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7"/>
      <c r="C41" s="207"/>
      <c r="D41" s="87" t="str">
        <f t="shared" si="0"/>
        <v/>
      </c>
      <c r="E41" s="88" t="str">
        <f t="shared" si="1"/>
        <v/>
      </c>
      <c r="F41" s="89"/>
      <c r="G41" s="378"/>
      <c r="H41" s="378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7"/>
      <c r="C42" s="207"/>
      <c r="D42" s="87" t="str">
        <f t="shared" si="0"/>
        <v/>
      </c>
      <c r="E42" s="88" t="str">
        <f t="shared" si="1"/>
        <v/>
      </c>
      <c r="F42" s="89"/>
      <c r="G42" s="378"/>
      <c r="H42" s="378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7"/>
      <c r="C43" s="207"/>
      <c r="D43" s="87" t="str">
        <f t="shared" si="0"/>
        <v/>
      </c>
      <c r="E43" s="88" t="str">
        <f t="shared" si="1"/>
        <v/>
      </c>
      <c r="F43" s="89"/>
      <c r="G43" s="378"/>
      <c r="H43" s="378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7"/>
      <c r="C44" s="207"/>
      <c r="D44" s="87" t="str">
        <f t="shared" si="0"/>
        <v/>
      </c>
      <c r="E44" s="88" t="str">
        <f t="shared" si="1"/>
        <v/>
      </c>
      <c r="F44" s="89"/>
      <c r="G44" s="378"/>
      <c r="H44" s="378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8"/>
      <c r="C45" s="208"/>
      <c r="D45" s="90" t="str">
        <f t="shared" si="0"/>
        <v/>
      </c>
      <c r="E45" s="91" t="str">
        <f t="shared" si="1"/>
        <v/>
      </c>
      <c r="F45" s="92"/>
      <c r="G45" s="378"/>
      <c r="H45" s="378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41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20" customWidth="1"/>
    <col min="3" max="3" width="5.88671875" style="220" customWidth="1"/>
    <col min="4" max="4" width="7.6640625" style="220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20" customWidth="1"/>
    <col min="20" max="20" width="9.6640625" style="220" customWidth="1"/>
    <col min="21" max="21" width="7.6640625" style="220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4" customFormat="1" ht="18.600000000000001" customHeight="1" thickBot="1" x14ac:dyDescent="0.4">
      <c r="A1" s="521" t="s">
        <v>2652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  <c r="T1" s="459"/>
      <c r="U1" s="459"/>
      <c r="V1" s="459"/>
      <c r="W1" s="459"/>
    </row>
    <row r="2" spans="1:23" ht="14.4" customHeight="1" thickBot="1" x14ac:dyDescent="0.35">
      <c r="A2" s="386" t="s">
        <v>321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79"/>
      <c r="Q2" s="379"/>
      <c r="R2" s="379"/>
      <c r="S2" s="380"/>
      <c r="T2" s="380"/>
      <c r="U2" s="380"/>
      <c r="V2" s="379"/>
      <c r="W2" s="381"/>
    </row>
    <row r="3" spans="1:23" s="94" customFormat="1" ht="14.4" customHeight="1" x14ac:dyDescent="0.3">
      <c r="A3" s="571" t="s">
        <v>75</v>
      </c>
      <c r="B3" s="572">
        <v>2012</v>
      </c>
      <c r="C3" s="573"/>
      <c r="D3" s="574"/>
      <c r="E3" s="572">
        <v>2013</v>
      </c>
      <c r="F3" s="573"/>
      <c r="G3" s="574"/>
      <c r="H3" s="572">
        <v>2014</v>
      </c>
      <c r="I3" s="573"/>
      <c r="J3" s="574"/>
      <c r="K3" s="575" t="s">
        <v>76</v>
      </c>
      <c r="L3" s="567" t="s">
        <v>77</v>
      </c>
      <c r="M3" s="567" t="s">
        <v>78</v>
      </c>
      <c r="N3" s="567" t="s">
        <v>79</v>
      </c>
      <c r="O3" s="273" t="s">
        <v>80</v>
      </c>
      <c r="P3" s="568" t="s">
        <v>81</v>
      </c>
      <c r="Q3" s="569" t="s">
        <v>82</v>
      </c>
      <c r="R3" s="570"/>
      <c r="S3" s="565" t="s">
        <v>83</v>
      </c>
      <c r="T3" s="566"/>
      <c r="U3" s="566"/>
      <c r="V3" s="566"/>
      <c r="W3" s="221" t="s">
        <v>83</v>
      </c>
    </row>
    <row r="4" spans="1:23" s="95" customFormat="1" ht="14.4" customHeight="1" thickBot="1" x14ac:dyDescent="0.35">
      <c r="A4" s="797"/>
      <c r="B4" s="798" t="s">
        <v>84</v>
      </c>
      <c r="C4" s="799" t="s">
        <v>72</v>
      </c>
      <c r="D4" s="800" t="s">
        <v>85</v>
      </c>
      <c r="E4" s="798" t="s">
        <v>84</v>
      </c>
      <c r="F4" s="799" t="s">
        <v>72</v>
      </c>
      <c r="G4" s="800" t="s">
        <v>85</v>
      </c>
      <c r="H4" s="798" t="s">
        <v>84</v>
      </c>
      <c r="I4" s="799" t="s">
        <v>72</v>
      </c>
      <c r="J4" s="800" t="s">
        <v>85</v>
      </c>
      <c r="K4" s="801"/>
      <c r="L4" s="802"/>
      <c r="M4" s="802"/>
      <c r="N4" s="802"/>
      <c r="O4" s="803"/>
      <c r="P4" s="804"/>
      <c r="Q4" s="805" t="s">
        <v>73</v>
      </c>
      <c r="R4" s="806" t="s">
        <v>72</v>
      </c>
      <c r="S4" s="807" t="s">
        <v>86</v>
      </c>
      <c r="T4" s="808" t="s">
        <v>87</v>
      </c>
      <c r="U4" s="808" t="s">
        <v>88</v>
      </c>
      <c r="V4" s="809" t="s">
        <v>2</v>
      </c>
      <c r="W4" s="810" t="s">
        <v>89</v>
      </c>
    </row>
    <row r="5" spans="1:23" ht="14.4" customHeight="1" x14ac:dyDescent="0.3">
      <c r="A5" s="839" t="s">
        <v>2578</v>
      </c>
      <c r="B5" s="811">
        <v>1</v>
      </c>
      <c r="C5" s="812">
        <v>6.77</v>
      </c>
      <c r="D5" s="813">
        <v>9</v>
      </c>
      <c r="E5" s="814"/>
      <c r="F5" s="815"/>
      <c r="G5" s="816"/>
      <c r="H5" s="817"/>
      <c r="I5" s="815"/>
      <c r="J5" s="816"/>
      <c r="K5" s="818">
        <v>6.77</v>
      </c>
      <c r="L5" s="817">
        <v>5</v>
      </c>
      <c r="M5" s="817">
        <v>41</v>
      </c>
      <c r="N5" s="819">
        <v>13.77</v>
      </c>
      <c r="O5" s="817" t="s">
        <v>2579</v>
      </c>
      <c r="P5" s="820" t="s">
        <v>2580</v>
      </c>
      <c r="Q5" s="821">
        <f>H5-B5</f>
        <v>-1</v>
      </c>
      <c r="R5" s="821">
        <f>I5-C5</f>
        <v>-6.77</v>
      </c>
      <c r="S5" s="822" t="str">
        <f>IF(H5=0,"",H5*N5)</f>
        <v/>
      </c>
      <c r="T5" s="822" t="str">
        <f>IF(H5=0,"",H5*J5)</f>
        <v/>
      </c>
      <c r="U5" s="822" t="str">
        <f>IF(H5=0,"",T5-S5)</f>
        <v/>
      </c>
      <c r="V5" s="823" t="str">
        <f>IF(H5=0,"",T5/S5)</f>
        <v/>
      </c>
      <c r="W5" s="824"/>
    </row>
    <row r="6" spans="1:23" ht="14.4" customHeight="1" x14ac:dyDescent="0.3">
      <c r="A6" s="840" t="s">
        <v>2581</v>
      </c>
      <c r="B6" s="825">
        <v>1</v>
      </c>
      <c r="C6" s="826">
        <v>11.7</v>
      </c>
      <c r="D6" s="782">
        <v>58</v>
      </c>
      <c r="E6" s="827"/>
      <c r="F6" s="828"/>
      <c r="G6" s="783"/>
      <c r="H6" s="829"/>
      <c r="I6" s="828"/>
      <c r="J6" s="783"/>
      <c r="K6" s="830">
        <v>8.6300000000000008</v>
      </c>
      <c r="L6" s="829">
        <v>6</v>
      </c>
      <c r="M6" s="829">
        <v>56</v>
      </c>
      <c r="N6" s="831">
        <v>18.63</v>
      </c>
      <c r="O6" s="829" t="s">
        <v>2579</v>
      </c>
      <c r="P6" s="832" t="s">
        <v>2582</v>
      </c>
      <c r="Q6" s="833">
        <f t="shared" ref="Q6:R41" si="0">H6-B6</f>
        <v>-1</v>
      </c>
      <c r="R6" s="833">
        <f t="shared" si="0"/>
        <v>-11.7</v>
      </c>
      <c r="S6" s="834" t="str">
        <f t="shared" ref="S6:S41" si="1">IF(H6=0,"",H6*N6)</f>
        <v/>
      </c>
      <c r="T6" s="834" t="str">
        <f t="shared" ref="T6:T41" si="2">IF(H6=0,"",H6*J6)</f>
        <v/>
      </c>
      <c r="U6" s="834" t="str">
        <f t="shared" ref="U6:U41" si="3">IF(H6=0,"",T6-S6)</f>
        <v/>
      </c>
      <c r="V6" s="835" t="str">
        <f t="shared" ref="V6:V41" si="4">IF(H6=0,"",T6/S6)</f>
        <v/>
      </c>
      <c r="W6" s="784"/>
    </row>
    <row r="7" spans="1:23" ht="14.4" customHeight="1" x14ac:dyDescent="0.3">
      <c r="A7" s="841" t="s">
        <v>2583</v>
      </c>
      <c r="B7" s="792">
        <v>1</v>
      </c>
      <c r="C7" s="794">
        <v>18.54</v>
      </c>
      <c r="D7" s="795">
        <v>12</v>
      </c>
      <c r="E7" s="790"/>
      <c r="F7" s="775"/>
      <c r="G7" s="776"/>
      <c r="H7" s="785"/>
      <c r="I7" s="786"/>
      <c r="J7" s="787"/>
      <c r="K7" s="778">
        <v>18.54</v>
      </c>
      <c r="L7" s="777">
        <v>7</v>
      </c>
      <c r="M7" s="777">
        <v>66</v>
      </c>
      <c r="N7" s="779">
        <v>21.98</v>
      </c>
      <c r="O7" s="777" t="s">
        <v>2579</v>
      </c>
      <c r="P7" s="791" t="s">
        <v>2584</v>
      </c>
      <c r="Q7" s="780">
        <f t="shared" si="0"/>
        <v>-1</v>
      </c>
      <c r="R7" s="780">
        <f t="shared" si="0"/>
        <v>-18.54</v>
      </c>
      <c r="S7" s="792" t="str">
        <f t="shared" si="1"/>
        <v/>
      </c>
      <c r="T7" s="792" t="str">
        <f t="shared" si="2"/>
        <v/>
      </c>
      <c r="U7" s="792" t="str">
        <f t="shared" si="3"/>
        <v/>
      </c>
      <c r="V7" s="793" t="str">
        <f t="shared" si="4"/>
        <v/>
      </c>
      <c r="W7" s="781"/>
    </row>
    <row r="8" spans="1:23" ht="14.4" customHeight="1" x14ac:dyDescent="0.3">
      <c r="A8" s="840" t="s">
        <v>2585</v>
      </c>
      <c r="B8" s="834"/>
      <c r="C8" s="836"/>
      <c r="D8" s="796"/>
      <c r="E8" s="827">
        <v>1</v>
      </c>
      <c r="F8" s="828">
        <v>22.16</v>
      </c>
      <c r="G8" s="783">
        <v>24</v>
      </c>
      <c r="H8" s="837">
        <v>2</v>
      </c>
      <c r="I8" s="838">
        <v>47.25</v>
      </c>
      <c r="J8" s="788">
        <v>27</v>
      </c>
      <c r="K8" s="830">
        <v>23.62</v>
      </c>
      <c r="L8" s="829">
        <v>11</v>
      </c>
      <c r="M8" s="829">
        <v>99</v>
      </c>
      <c r="N8" s="831">
        <v>32.9</v>
      </c>
      <c r="O8" s="829" t="s">
        <v>2579</v>
      </c>
      <c r="P8" s="832" t="s">
        <v>2586</v>
      </c>
      <c r="Q8" s="833">
        <f t="shared" si="0"/>
        <v>2</v>
      </c>
      <c r="R8" s="833">
        <f t="shared" si="0"/>
        <v>47.25</v>
      </c>
      <c r="S8" s="834">
        <f t="shared" si="1"/>
        <v>65.8</v>
      </c>
      <c r="T8" s="834">
        <f t="shared" si="2"/>
        <v>54</v>
      </c>
      <c r="U8" s="834">
        <f t="shared" si="3"/>
        <v>-11.799999999999997</v>
      </c>
      <c r="V8" s="835">
        <f t="shared" si="4"/>
        <v>0.8206686930091186</v>
      </c>
      <c r="W8" s="784"/>
    </row>
    <row r="9" spans="1:23" ht="14.4" customHeight="1" x14ac:dyDescent="0.3">
      <c r="A9" s="841" t="s">
        <v>2587</v>
      </c>
      <c r="B9" s="792">
        <v>2</v>
      </c>
      <c r="C9" s="794">
        <v>27.07</v>
      </c>
      <c r="D9" s="795">
        <v>13</v>
      </c>
      <c r="E9" s="790">
        <v>2</v>
      </c>
      <c r="F9" s="775">
        <v>26.14</v>
      </c>
      <c r="G9" s="776">
        <v>26.5</v>
      </c>
      <c r="H9" s="785">
        <v>3</v>
      </c>
      <c r="I9" s="786">
        <v>40.6</v>
      </c>
      <c r="J9" s="787">
        <v>19.3</v>
      </c>
      <c r="K9" s="778">
        <v>13.53</v>
      </c>
      <c r="L9" s="777">
        <v>8</v>
      </c>
      <c r="M9" s="777">
        <v>70</v>
      </c>
      <c r="N9" s="779">
        <v>23.48</v>
      </c>
      <c r="O9" s="777" t="s">
        <v>2579</v>
      </c>
      <c r="P9" s="791" t="s">
        <v>2588</v>
      </c>
      <c r="Q9" s="780">
        <f t="shared" si="0"/>
        <v>1</v>
      </c>
      <c r="R9" s="780">
        <f t="shared" si="0"/>
        <v>13.530000000000001</v>
      </c>
      <c r="S9" s="792">
        <f t="shared" si="1"/>
        <v>70.44</v>
      </c>
      <c r="T9" s="792">
        <f t="shared" si="2"/>
        <v>57.900000000000006</v>
      </c>
      <c r="U9" s="792">
        <f t="shared" si="3"/>
        <v>-12.539999999999992</v>
      </c>
      <c r="V9" s="793">
        <f t="shared" si="4"/>
        <v>0.82197614991482126</v>
      </c>
      <c r="W9" s="781">
        <v>13</v>
      </c>
    </row>
    <row r="10" spans="1:23" ht="14.4" customHeight="1" x14ac:dyDescent="0.3">
      <c r="A10" s="841" t="s">
        <v>2589</v>
      </c>
      <c r="B10" s="772">
        <v>1</v>
      </c>
      <c r="C10" s="773">
        <v>3.3</v>
      </c>
      <c r="D10" s="774">
        <v>3</v>
      </c>
      <c r="E10" s="790"/>
      <c r="F10" s="775"/>
      <c r="G10" s="776"/>
      <c r="H10" s="777"/>
      <c r="I10" s="775"/>
      <c r="J10" s="776"/>
      <c r="K10" s="778">
        <v>4.24</v>
      </c>
      <c r="L10" s="777">
        <v>4</v>
      </c>
      <c r="M10" s="777">
        <v>40</v>
      </c>
      <c r="N10" s="779">
        <v>13.44</v>
      </c>
      <c r="O10" s="777" t="s">
        <v>2579</v>
      </c>
      <c r="P10" s="791" t="s">
        <v>2590</v>
      </c>
      <c r="Q10" s="780">
        <f t="shared" si="0"/>
        <v>-1</v>
      </c>
      <c r="R10" s="780">
        <f t="shared" si="0"/>
        <v>-3.3</v>
      </c>
      <c r="S10" s="792" t="str">
        <f t="shared" si="1"/>
        <v/>
      </c>
      <c r="T10" s="792" t="str">
        <f t="shared" si="2"/>
        <v/>
      </c>
      <c r="U10" s="792" t="str">
        <f t="shared" si="3"/>
        <v/>
      </c>
      <c r="V10" s="793" t="str">
        <f t="shared" si="4"/>
        <v/>
      </c>
      <c r="W10" s="781"/>
    </row>
    <row r="11" spans="1:23" ht="14.4" customHeight="1" x14ac:dyDescent="0.3">
      <c r="A11" s="841" t="s">
        <v>2591</v>
      </c>
      <c r="B11" s="772">
        <v>1</v>
      </c>
      <c r="C11" s="773">
        <v>1.36</v>
      </c>
      <c r="D11" s="774">
        <v>3</v>
      </c>
      <c r="E11" s="790"/>
      <c r="F11" s="775"/>
      <c r="G11" s="776"/>
      <c r="H11" s="777"/>
      <c r="I11" s="775"/>
      <c r="J11" s="776"/>
      <c r="K11" s="778">
        <v>1.53</v>
      </c>
      <c r="L11" s="777">
        <v>5</v>
      </c>
      <c r="M11" s="777">
        <v>44</v>
      </c>
      <c r="N11" s="779">
        <v>14.57</v>
      </c>
      <c r="O11" s="777" t="s">
        <v>2579</v>
      </c>
      <c r="P11" s="791" t="s">
        <v>2592</v>
      </c>
      <c r="Q11" s="780">
        <f t="shared" si="0"/>
        <v>-1</v>
      </c>
      <c r="R11" s="780">
        <f t="shared" si="0"/>
        <v>-1.36</v>
      </c>
      <c r="S11" s="792" t="str">
        <f t="shared" si="1"/>
        <v/>
      </c>
      <c r="T11" s="792" t="str">
        <f t="shared" si="2"/>
        <v/>
      </c>
      <c r="U11" s="792" t="str">
        <f t="shared" si="3"/>
        <v/>
      </c>
      <c r="V11" s="793" t="str">
        <f t="shared" si="4"/>
        <v/>
      </c>
      <c r="W11" s="781"/>
    </row>
    <row r="12" spans="1:23" ht="14.4" customHeight="1" x14ac:dyDescent="0.3">
      <c r="A12" s="841" t="s">
        <v>2593</v>
      </c>
      <c r="B12" s="792"/>
      <c r="C12" s="794"/>
      <c r="D12" s="795"/>
      <c r="E12" s="790"/>
      <c r="F12" s="775"/>
      <c r="G12" s="776"/>
      <c r="H12" s="785">
        <v>1</v>
      </c>
      <c r="I12" s="786">
        <v>1.48</v>
      </c>
      <c r="J12" s="787">
        <v>3</v>
      </c>
      <c r="K12" s="778">
        <v>2.39</v>
      </c>
      <c r="L12" s="777">
        <v>5</v>
      </c>
      <c r="M12" s="777">
        <v>42</v>
      </c>
      <c r="N12" s="779">
        <v>13.9</v>
      </c>
      <c r="O12" s="777" t="s">
        <v>2579</v>
      </c>
      <c r="P12" s="791" t="s">
        <v>2594</v>
      </c>
      <c r="Q12" s="780">
        <f t="shared" si="0"/>
        <v>1</v>
      </c>
      <c r="R12" s="780">
        <f t="shared" si="0"/>
        <v>1.48</v>
      </c>
      <c r="S12" s="792">
        <f t="shared" si="1"/>
        <v>13.9</v>
      </c>
      <c r="T12" s="792">
        <f t="shared" si="2"/>
        <v>3</v>
      </c>
      <c r="U12" s="792">
        <f t="shared" si="3"/>
        <v>-10.9</v>
      </c>
      <c r="V12" s="793">
        <f t="shared" si="4"/>
        <v>0.21582733812949639</v>
      </c>
      <c r="W12" s="781"/>
    </row>
    <row r="13" spans="1:23" ht="14.4" customHeight="1" x14ac:dyDescent="0.3">
      <c r="A13" s="841" t="s">
        <v>2595</v>
      </c>
      <c r="B13" s="772">
        <v>1</v>
      </c>
      <c r="C13" s="773">
        <v>0.56000000000000005</v>
      </c>
      <c r="D13" s="774">
        <v>5</v>
      </c>
      <c r="E13" s="790"/>
      <c r="F13" s="775"/>
      <c r="G13" s="776"/>
      <c r="H13" s="777"/>
      <c r="I13" s="775"/>
      <c r="J13" s="776"/>
      <c r="K13" s="778">
        <v>0.45</v>
      </c>
      <c r="L13" s="777">
        <v>2</v>
      </c>
      <c r="M13" s="777">
        <v>19</v>
      </c>
      <c r="N13" s="779">
        <v>6.38</v>
      </c>
      <c r="O13" s="777" t="s">
        <v>2579</v>
      </c>
      <c r="P13" s="791" t="s">
        <v>2596</v>
      </c>
      <c r="Q13" s="780">
        <f t="shared" si="0"/>
        <v>-1</v>
      </c>
      <c r="R13" s="780">
        <f t="shared" si="0"/>
        <v>-0.56000000000000005</v>
      </c>
      <c r="S13" s="792" t="str">
        <f t="shared" si="1"/>
        <v/>
      </c>
      <c r="T13" s="792" t="str">
        <f t="shared" si="2"/>
        <v/>
      </c>
      <c r="U13" s="792" t="str">
        <f t="shared" si="3"/>
        <v/>
      </c>
      <c r="V13" s="793" t="str">
        <f t="shared" si="4"/>
        <v/>
      </c>
      <c r="W13" s="781"/>
    </row>
    <row r="14" spans="1:23" ht="14.4" customHeight="1" x14ac:dyDescent="0.3">
      <c r="A14" s="841" t="s">
        <v>2597</v>
      </c>
      <c r="B14" s="792"/>
      <c r="C14" s="794"/>
      <c r="D14" s="795"/>
      <c r="E14" s="790"/>
      <c r="F14" s="775"/>
      <c r="G14" s="776"/>
      <c r="H14" s="785">
        <v>1</v>
      </c>
      <c r="I14" s="786">
        <v>1.4</v>
      </c>
      <c r="J14" s="787">
        <v>3</v>
      </c>
      <c r="K14" s="778">
        <v>1.84</v>
      </c>
      <c r="L14" s="777">
        <v>4</v>
      </c>
      <c r="M14" s="777">
        <v>32</v>
      </c>
      <c r="N14" s="779">
        <v>10.8</v>
      </c>
      <c r="O14" s="777" t="s">
        <v>2579</v>
      </c>
      <c r="P14" s="791" t="s">
        <v>2598</v>
      </c>
      <c r="Q14" s="780">
        <f t="shared" si="0"/>
        <v>1</v>
      </c>
      <c r="R14" s="780">
        <f t="shared" si="0"/>
        <v>1.4</v>
      </c>
      <c r="S14" s="792">
        <f t="shared" si="1"/>
        <v>10.8</v>
      </c>
      <c r="T14" s="792">
        <f t="shared" si="2"/>
        <v>3</v>
      </c>
      <c r="U14" s="792">
        <f t="shared" si="3"/>
        <v>-7.8000000000000007</v>
      </c>
      <c r="V14" s="793">
        <f t="shared" si="4"/>
        <v>0.27777777777777773</v>
      </c>
      <c r="W14" s="781"/>
    </row>
    <row r="15" spans="1:23" ht="14.4" customHeight="1" x14ac:dyDescent="0.3">
      <c r="A15" s="841" t="s">
        <v>2599</v>
      </c>
      <c r="B15" s="792"/>
      <c r="C15" s="794"/>
      <c r="D15" s="795"/>
      <c r="E15" s="790"/>
      <c r="F15" s="775"/>
      <c r="G15" s="776"/>
      <c r="H15" s="785">
        <v>1</v>
      </c>
      <c r="I15" s="786">
        <v>0.56999999999999995</v>
      </c>
      <c r="J15" s="789">
        <v>3</v>
      </c>
      <c r="K15" s="778">
        <v>0.45</v>
      </c>
      <c r="L15" s="777">
        <v>1</v>
      </c>
      <c r="M15" s="777">
        <v>8</v>
      </c>
      <c r="N15" s="779">
        <v>2.5299999999999998</v>
      </c>
      <c r="O15" s="777" t="s">
        <v>2579</v>
      </c>
      <c r="P15" s="791" t="s">
        <v>2600</v>
      </c>
      <c r="Q15" s="780">
        <f t="shared" si="0"/>
        <v>1</v>
      </c>
      <c r="R15" s="780">
        <f t="shared" si="0"/>
        <v>0.56999999999999995</v>
      </c>
      <c r="S15" s="792">
        <f t="shared" si="1"/>
        <v>2.5299999999999998</v>
      </c>
      <c r="T15" s="792">
        <f t="shared" si="2"/>
        <v>3</v>
      </c>
      <c r="U15" s="792">
        <f t="shared" si="3"/>
        <v>0.4700000000000002</v>
      </c>
      <c r="V15" s="793">
        <f t="shared" si="4"/>
        <v>1.1857707509881423</v>
      </c>
      <c r="W15" s="781"/>
    </row>
    <row r="16" spans="1:23" ht="14.4" customHeight="1" x14ac:dyDescent="0.3">
      <c r="A16" s="841" t="s">
        <v>2601</v>
      </c>
      <c r="B16" s="792"/>
      <c r="C16" s="794"/>
      <c r="D16" s="795"/>
      <c r="E16" s="790"/>
      <c r="F16" s="775"/>
      <c r="G16" s="776"/>
      <c r="H16" s="785">
        <v>3</v>
      </c>
      <c r="I16" s="786">
        <v>11.4</v>
      </c>
      <c r="J16" s="787">
        <v>2.2999999999999998</v>
      </c>
      <c r="K16" s="778">
        <v>4.5</v>
      </c>
      <c r="L16" s="777">
        <v>4</v>
      </c>
      <c r="M16" s="777">
        <v>35</v>
      </c>
      <c r="N16" s="779">
        <v>11.73</v>
      </c>
      <c r="O16" s="777" t="s">
        <v>2579</v>
      </c>
      <c r="P16" s="791" t="s">
        <v>2602</v>
      </c>
      <c r="Q16" s="780">
        <f t="shared" si="0"/>
        <v>3</v>
      </c>
      <c r="R16" s="780">
        <f t="shared" si="0"/>
        <v>11.4</v>
      </c>
      <c r="S16" s="792">
        <f t="shared" si="1"/>
        <v>35.19</v>
      </c>
      <c r="T16" s="792">
        <f t="shared" si="2"/>
        <v>6.8999999999999995</v>
      </c>
      <c r="U16" s="792">
        <f t="shared" si="3"/>
        <v>-28.29</v>
      </c>
      <c r="V16" s="793">
        <f t="shared" si="4"/>
        <v>0.19607843137254902</v>
      </c>
      <c r="W16" s="781"/>
    </row>
    <row r="17" spans="1:23" ht="14.4" customHeight="1" x14ac:dyDescent="0.3">
      <c r="A17" s="840" t="s">
        <v>2603</v>
      </c>
      <c r="B17" s="834"/>
      <c r="C17" s="836"/>
      <c r="D17" s="796"/>
      <c r="E17" s="827">
        <v>1</v>
      </c>
      <c r="F17" s="828">
        <v>3.16</v>
      </c>
      <c r="G17" s="783">
        <v>3</v>
      </c>
      <c r="H17" s="837"/>
      <c r="I17" s="838"/>
      <c r="J17" s="788"/>
      <c r="K17" s="830">
        <v>6.46</v>
      </c>
      <c r="L17" s="829">
        <v>4</v>
      </c>
      <c r="M17" s="829">
        <v>40</v>
      </c>
      <c r="N17" s="831">
        <v>13.41</v>
      </c>
      <c r="O17" s="829" t="s">
        <v>2579</v>
      </c>
      <c r="P17" s="832" t="s">
        <v>2604</v>
      </c>
      <c r="Q17" s="833">
        <f t="shared" si="0"/>
        <v>0</v>
      </c>
      <c r="R17" s="833">
        <f t="shared" si="0"/>
        <v>0</v>
      </c>
      <c r="S17" s="834" t="str">
        <f t="shared" si="1"/>
        <v/>
      </c>
      <c r="T17" s="834" t="str">
        <f t="shared" si="2"/>
        <v/>
      </c>
      <c r="U17" s="834" t="str">
        <f t="shared" si="3"/>
        <v/>
      </c>
      <c r="V17" s="835" t="str">
        <f t="shared" si="4"/>
        <v/>
      </c>
      <c r="W17" s="784"/>
    </row>
    <row r="18" spans="1:23" ht="14.4" customHeight="1" x14ac:dyDescent="0.3">
      <c r="A18" s="840" t="s">
        <v>2605</v>
      </c>
      <c r="B18" s="834">
        <v>1</v>
      </c>
      <c r="C18" s="836">
        <v>11.84</v>
      </c>
      <c r="D18" s="796">
        <v>4</v>
      </c>
      <c r="E18" s="827"/>
      <c r="F18" s="828"/>
      <c r="G18" s="783"/>
      <c r="H18" s="837">
        <v>1</v>
      </c>
      <c r="I18" s="838">
        <v>8.2799999999999994</v>
      </c>
      <c r="J18" s="788">
        <v>8</v>
      </c>
      <c r="K18" s="830">
        <v>8.2799999999999994</v>
      </c>
      <c r="L18" s="829">
        <v>6</v>
      </c>
      <c r="M18" s="829">
        <v>50</v>
      </c>
      <c r="N18" s="831">
        <v>16.739999999999998</v>
      </c>
      <c r="O18" s="829" t="s">
        <v>2579</v>
      </c>
      <c r="P18" s="832" t="s">
        <v>2606</v>
      </c>
      <c r="Q18" s="833">
        <f t="shared" si="0"/>
        <v>0</v>
      </c>
      <c r="R18" s="833">
        <f t="shared" si="0"/>
        <v>-3.5600000000000005</v>
      </c>
      <c r="S18" s="834">
        <f t="shared" si="1"/>
        <v>16.739999999999998</v>
      </c>
      <c r="T18" s="834">
        <f t="shared" si="2"/>
        <v>8</v>
      </c>
      <c r="U18" s="834">
        <f t="shared" si="3"/>
        <v>-8.7399999999999984</v>
      </c>
      <c r="V18" s="835">
        <f t="shared" si="4"/>
        <v>0.47789725209080053</v>
      </c>
      <c r="W18" s="784"/>
    </row>
    <row r="19" spans="1:23" ht="14.4" customHeight="1" x14ac:dyDescent="0.3">
      <c r="A19" s="841" t="s">
        <v>2607</v>
      </c>
      <c r="B19" s="792"/>
      <c r="C19" s="794"/>
      <c r="D19" s="795"/>
      <c r="E19" s="790"/>
      <c r="F19" s="775"/>
      <c r="G19" s="776"/>
      <c r="H19" s="785">
        <v>1</v>
      </c>
      <c r="I19" s="786">
        <v>5.21</v>
      </c>
      <c r="J19" s="787">
        <v>3</v>
      </c>
      <c r="K19" s="778">
        <v>5.21</v>
      </c>
      <c r="L19" s="777">
        <v>3</v>
      </c>
      <c r="M19" s="777">
        <v>25</v>
      </c>
      <c r="N19" s="779">
        <v>8.49</v>
      </c>
      <c r="O19" s="777" t="s">
        <v>2579</v>
      </c>
      <c r="P19" s="791" t="s">
        <v>2608</v>
      </c>
      <c r="Q19" s="780">
        <f t="shared" si="0"/>
        <v>1</v>
      </c>
      <c r="R19" s="780">
        <f t="shared" si="0"/>
        <v>5.21</v>
      </c>
      <c r="S19" s="792">
        <f t="shared" si="1"/>
        <v>8.49</v>
      </c>
      <c r="T19" s="792">
        <f t="shared" si="2"/>
        <v>3</v>
      </c>
      <c r="U19" s="792">
        <f t="shared" si="3"/>
        <v>-5.49</v>
      </c>
      <c r="V19" s="793">
        <f t="shared" si="4"/>
        <v>0.35335689045936397</v>
      </c>
      <c r="W19" s="781"/>
    </row>
    <row r="20" spans="1:23" ht="14.4" customHeight="1" x14ac:dyDescent="0.3">
      <c r="A20" s="841" t="s">
        <v>2609</v>
      </c>
      <c r="B20" s="792"/>
      <c r="C20" s="794"/>
      <c r="D20" s="795"/>
      <c r="E20" s="790">
        <v>1</v>
      </c>
      <c r="F20" s="775">
        <v>1.52</v>
      </c>
      <c r="G20" s="776">
        <v>2</v>
      </c>
      <c r="H20" s="785">
        <v>1</v>
      </c>
      <c r="I20" s="786">
        <v>1.43</v>
      </c>
      <c r="J20" s="787">
        <v>2</v>
      </c>
      <c r="K20" s="778">
        <v>1.91</v>
      </c>
      <c r="L20" s="777">
        <v>3</v>
      </c>
      <c r="M20" s="777">
        <v>24</v>
      </c>
      <c r="N20" s="779">
        <v>8.0399999999999991</v>
      </c>
      <c r="O20" s="777" t="s">
        <v>2579</v>
      </c>
      <c r="P20" s="791" t="s">
        <v>2610</v>
      </c>
      <c r="Q20" s="780">
        <f t="shared" si="0"/>
        <v>1</v>
      </c>
      <c r="R20" s="780">
        <f t="shared" si="0"/>
        <v>1.43</v>
      </c>
      <c r="S20" s="792">
        <f t="shared" si="1"/>
        <v>8.0399999999999991</v>
      </c>
      <c r="T20" s="792">
        <f t="shared" si="2"/>
        <v>2</v>
      </c>
      <c r="U20" s="792">
        <f t="shared" si="3"/>
        <v>-6.0399999999999991</v>
      </c>
      <c r="V20" s="793">
        <f t="shared" si="4"/>
        <v>0.24875621890547267</v>
      </c>
      <c r="W20" s="781"/>
    </row>
    <row r="21" spans="1:23" ht="14.4" customHeight="1" x14ac:dyDescent="0.3">
      <c r="A21" s="840" t="s">
        <v>2611</v>
      </c>
      <c r="B21" s="834">
        <v>1</v>
      </c>
      <c r="C21" s="836">
        <v>1.87</v>
      </c>
      <c r="D21" s="796">
        <v>2</v>
      </c>
      <c r="E21" s="827"/>
      <c r="F21" s="828"/>
      <c r="G21" s="783"/>
      <c r="H21" s="837">
        <v>1</v>
      </c>
      <c r="I21" s="838">
        <v>2.99</v>
      </c>
      <c r="J21" s="788">
        <v>4</v>
      </c>
      <c r="K21" s="830">
        <v>3.55</v>
      </c>
      <c r="L21" s="829">
        <v>5</v>
      </c>
      <c r="M21" s="829">
        <v>41</v>
      </c>
      <c r="N21" s="831">
        <v>13.79</v>
      </c>
      <c r="O21" s="829" t="s">
        <v>2579</v>
      </c>
      <c r="P21" s="832" t="s">
        <v>2612</v>
      </c>
      <c r="Q21" s="833">
        <f t="shared" si="0"/>
        <v>0</v>
      </c>
      <c r="R21" s="833">
        <f t="shared" si="0"/>
        <v>1.1200000000000001</v>
      </c>
      <c r="S21" s="834">
        <f t="shared" si="1"/>
        <v>13.79</v>
      </c>
      <c r="T21" s="834">
        <f t="shared" si="2"/>
        <v>4</v>
      </c>
      <c r="U21" s="834">
        <f t="shared" si="3"/>
        <v>-9.7899999999999991</v>
      </c>
      <c r="V21" s="835">
        <f t="shared" si="4"/>
        <v>0.29006526468455407</v>
      </c>
      <c r="W21" s="784"/>
    </row>
    <row r="22" spans="1:23" ht="14.4" customHeight="1" x14ac:dyDescent="0.3">
      <c r="A22" s="841" t="s">
        <v>2613</v>
      </c>
      <c r="B22" s="772">
        <v>1</v>
      </c>
      <c r="C22" s="773">
        <v>1.8</v>
      </c>
      <c r="D22" s="774">
        <v>10</v>
      </c>
      <c r="E22" s="790"/>
      <c r="F22" s="775"/>
      <c r="G22" s="776"/>
      <c r="H22" s="777"/>
      <c r="I22" s="775"/>
      <c r="J22" s="776"/>
      <c r="K22" s="778">
        <v>1.8</v>
      </c>
      <c r="L22" s="777">
        <v>6</v>
      </c>
      <c r="M22" s="777">
        <v>54</v>
      </c>
      <c r="N22" s="779">
        <v>18.079999999999998</v>
      </c>
      <c r="O22" s="777" t="s">
        <v>2579</v>
      </c>
      <c r="P22" s="791" t="s">
        <v>2614</v>
      </c>
      <c r="Q22" s="780">
        <f t="shared" si="0"/>
        <v>-1</v>
      </c>
      <c r="R22" s="780">
        <f t="shared" si="0"/>
        <v>-1.8</v>
      </c>
      <c r="S22" s="792" t="str">
        <f t="shared" si="1"/>
        <v/>
      </c>
      <c r="T22" s="792" t="str">
        <f t="shared" si="2"/>
        <v/>
      </c>
      <c r="U22" s="792" t="str">
        <f t="shared" si="3"/>
        <v/>
      </c>
      <c r="V22" s="793" t="str">
        <f t="shared" si="4"/>
        <v/>
      </c>
      <c r="W22" s="781"/>
    </row>
    <row r="23" spans="1:23" ht="14.4" customHeight="1" x14ac:dyDescent="0.3">
      <c r="A23" s="841" t="s">
        <v>2615</v>
      </c>
      <c r="B23" s="792"/>
      <c r="C23" s="794"/>
      <c r="D23" s="795"/>
      <c r="E23" s="790"/>
      <c r="F23" s="775"/>
      <c r="G23" s="776"/>
      <c r="H23" s="785">
        <v>1</v>
      </c>
      <c r="I23" s="786">
        <v>3.4</v>
      </c>
      <c r="J23" s="789">
        <v>15</v>
      </c>
      <c r="K23" s="778">
        <v>3.4</v>
      </c>
      <c r="L23" s="777">
        <v>2</v>
      </c>
      <c r="M23" s="777">
        <v>20</v>
      </c>
      <c r="N23" s="779">
        <v>6.72</v>
      </c>
      <c r="O23" s="777" t="s">
        <v>2579</v>
      </c>
      <c r="P23" s="791" t="s">
        <v>2616</v>
      </c>
      <c r="Q23" s="780">
        <f t="shared" si="0"/>
        <v>1</v>
      </c>
      <c r="R23" s="780">
        <f t="shared" si="0"/>
        <v>3.4</v>
      </c>
      <c r="S23" s="792">
        <f t="shared" si="1"/>
        <v>6.72</v>
      </c>
      <c r="T23" s="792">
        <f t="shared" si="2"/>
        <v>15</v>
      </c>
      <c r="U23" s="792">
        <f t="shared" si="3"/>
        <v>8.2800000000000011</v>
      </c>
      <c r="V23" s="793">
        <f t="shared" si="4"/>
        <v>2.2321428571428572</v>
      </c>
      <c r="W23" s="781">
        <v>8</v>
      </c>
    </row>
    <row r="24" spans="1:23" ht="14.4" customHeight="1" x14ac:dyDescent="0.3">
      <c r="A24" s="841" t="s">
        <v>2617</v>
      </c>
      <c r="B24" s="792">
        <v>2</v>
      </c>
      <c r="C24" s="794">
        <v>11.73</v>
      </c>
      <c r="D24" s="795">
        <v>9.5</v>
      </c>
      <c r="E24" s="785">
        <v>2</v>
      </c>
      <c r="F24" s="786">
        <v>12.42</v>
      </c>
      <c r="G24" s="787">
        <v>20.5</v>
      </c>
      <c r="H24" s="777">
        <v>1</v>
      </c>
      <c r="I24" s="775">
        <v>5.86</v>
      </c>
      <c r="J24" s="776">
        <v>8</v>
      </c>
      <c r="K24" s="778">
        <v>5.86</v>
      </c>
      <c r="L24" s="777">
        <v>8</v>
      </c>
      <c r="M24" s="777">
        <v>68</v>
      </c>
      <c r="N24" s="779">
        <v>22.56</v>
      </c>
      <c r="O24" s="777" t="s">
        <v>2579</v>
      </c>
      <c r="P24" s="791" t="s">
        <v>2618</v>
      </c>
      <c r="Q24" s="780">
        <f t="shared" si="0"/>
        <v>-1</v>
      </c>
      <c r="R24" s="780">
        <f t="shared" si="0"/>
        <v>-5.87</v>
      </c>
      <c r="S24" s="792">
        <f t="shared" si="1"/>
        <v>22.56</v>
      </c>
      <c r="T24" s="792">
        <f t="shared" si="2"/>
        <v>8</v>
      </c>
      <c r="U24" s="792">
        <f t="shared" si="3"/>
        <v>-14.559999999999999</v>
      </c>
      <c r="V24" s="793">
        <f t="shared" si="4"/>
        <v>0.3546099290780142</v>
      </c>
      <c r="W24" s="781"/>
    </row>
    <row r="25" spans="1:23" ht="14.4" customHeight="1" x14ac:dyDescent="0.3">
      <c r="A25" s="841" t="s">
        <v>2619</v>
      </c>
      <c r="B25" s="792"/>
      <c r="C25" s="794"/>
      <c r="D25" s="795"/>
      <c r="E25" s="785">
        <v>1</v>
      </c>
      <c r="F25" s="786">
        <v>5.4</v>
      </c>
      <c r="G25" s="787">
        <v>2</v>
      </c>
      <c r="H25" s="777"/>
      <c r="I25" s="775"/>
      <c r="J25" s="776"/>
      <c r="K25" s="778">
        <v>2.1800000000000002</v>
      </c>
      <c r="L25" s="777">
        <v>4</v>
      </c>
      <c r="M25" s="777">
        <v>38</v>
      </c>
      <c r="N25" s="779">
        <v>12.7</v>
      </c>
      <c r="O25" s="777" t="s">
        <v>2579</v>
      </c>
      <c r="P25" s="791" t="s">
        <v>2620</v>
      </c>
      <c r="Q25" s="780">
        <f t="shared" si="0"/>
        <v>0</v>
      </c>
      <c r="R25" s="780">
        <f t="shared" si="0"/>
        <v>0</v>
      </c>
      <c r="S25" s="792" t="str">
        <f t="shared" si="1"/>
        <v/>
      </c>
      <c r="T25" s="792" t="str">
        <f t="shared" si="2"/>
        <v/>
      </c>
      <c r="U25" s="792" t="str">
        <f t="shared" si="3"/>
        <v/>
      </c>
      <c r="V25" s="793" t="str">
        <f t="shared" si="4"/>
        <v/>
      </c>
      <c r="W25" s="781"/>
    </row>
    <row r="26" spans="1:23" ht="14.4" customHeight="1" x14ac:dyDescent="0.3">
      <c r="A26" s="841" t="s">
        <v>2621</v>
      </c>
      <c r="B26" s="792"/>
      <c r="C26" s="794"/>
      <c r="D26" s="795"/>
      <c r="E26" s="790"/>
      <c r="F26" s="775"/>
      <c r="G26" s="776"/>
      <c r="H26" s="785">
        <v>1</v>
      </c>
      <c r="I26" s="786">
        <v>5.79</v>
      </c>
      <c r="J26" s="787">
        <v>4</v>
      </c>
      <c r="K26" s="778">
        <v>2.65</v>
      </c>
      <c r="L26" s="777">
        <v>5</v>
      </c>
      <c r="M26" s="777">
        <v>41</v>
      </c>
      <c r="N26" s="779">
        <v>13.51</v>
      </c>
      <c r="O26" s="777" t="s">
        <v>2579</v>
      </c>
      <c r="P26" s="791" t="s">
        <v>2622</v>
      </c>
      <c r="Q26" s="780">
        <f t="shared" si="0"/>
        <v>1</v>
      </c>
      <c r="R26" s="780">
        <f t="shared" si="0"/>
        <v>5.79</v>
      </c>
      <c r="S26" s="792">
        <f t="shared" si="1"/>
        <v>13.51</v>
      </c>
      <c r="T26" s="792">
        <f t="shared" si="2"/>
        <v>4</v>
      </c>
      <c r="U26" s="792">
        <f t="shared" si="3"/>
        <v>-9.51</v>
      </c>
      <c r="V26" s="793">
        <f t="shared" si="4"/>
        <v>0.29607698001480387</v>
      </c>
      <c r="W26" s="781"/>
    </row>
    <row r="27" spans="1:23" ht="14.4" customHeight="1" x14ac:dyDescent="0.3">
      <c r="A27" s="841" t="s">
        <v>2623</v>
      </c>
      <c r="B27" s="772">
        <v>1</v>
      </c>
      <c r="C27" s="773">
        <v>2.08</v>
      </c>
      <c r="D27" s="774">
        <v>1</v>
      </c>
      <c r="E27" s="790"/>
      <c r="F27" s="775"/>
      <c r="G27" s="776"/>
      <c r="H27" s="777"/>
      <c r="I27" s="775"/>
      <c r="J27" s="776"/>
      <c r="K27" s="778">
        <v>0.95</v>
      </c>
      <c r="L27" s="777">
        <v>3</v>
      </c>
      <c r="M27" s="777">
        <v>26</v>
      </c>
      <c r="N27" s="779">
        <v>8.59</v>
      </c>
      <c r="O27" s="777" t="s">
        <v>2579</v>
      </c>
      <c r="P27" s="791" t="s">
        <v>2624</v>
      </c>
      <c r="Q27" s="780">
        <f t="shared" si="0"/>
        <v>-1</v>
      </c>
      <c r="R27" s="780">
        <f t="shared" si="0"/>
        <v>-2.08</v>
      </c>
      <c r="S27" s="792" t="str">
        <f t="shared" si="1"/>
        <v/>
      </c>
      <c r="T27" s="792" t="str">
        <f t="shared" si="2"/>
        <v/>
      </c>
      <c r="U27" s="792" t="str">
        <f t="shared" si="3"/>
        <v/>
      </c>
      <c r="V27" s="793" t="str">
        <f t="shared" si="4"/>
        <v/>
      </c>
      <c r="W27" s="781"/>
    </row>
    <row r="28" spans="1:23" ht="14.4" customHeight="1" x14ac:dyDescent="0.3">
      <c r="A28" s="841" t="s">
        <v>2625</v>
      </c>
      <c r="B28" s="792">
        <v>1</v>
      </c>
      <c r="C28" s="794">
        <v>2.1</v>
      </c>
      <c r="D28" s="795">
        <v>10</v>
      </c>
      <c r="E28" s="790"/>
      <c r="F28" s="775"/>
      <c r="G28" s="776"/>
      <c r="H28" s="785">
        <v>1</v>
      </c>
      <c r="I28" s="786">
        <v>2.1</v>
      </c>
      <c r="J28" s="787">
        <v>5</v>
      </c>
      <c r="K28" s="778">
        <v>2.1</v>
      </c>
      <c r="L28" s="777">
        <v>4</v>
      </c>
      <c r="M28" s="777">
        <v>40</v>
      </c>
      <c r="N28" s="779">
        <v>13.21</v>
      </c>
      <c r="O28" s="777" t="s">
        <v>2579</v>
      </c>
      <c r="P28" s="791" t="s">
        <v>2626</v>
      </c>
      <c r="Q28" s="780">
        <f t="shared" si="0"/>
        <v>0</v>
      </c>
      <c r="R28" s="780">
        <f t="shared" si="0"/>
        <v>0</v>
      </c>
      <c r="S28" s="792">
        <f t="shared" si="1"/>
        <v>13.21</v>
      </c>
      <c r="T28" s="792">
        <f t="shared" si="2"/>
        <v>5</v>
      </c>
      <c r="U28" s="792">
        <f t="shared" si="3"/>
        <v>-8.2100000000000009</v>
      </c>
      <c r="V28" s="793">
        <f t="shared" si="4"/>
        <v>0.37850113550340647</v>
      </c>
      <c r="W28" s="781"/>
    </row>
    <row r="29" spans="1:23" ht="14.4" customHeight="1" x14ac:dyDescent="0.3">
      <c r="A29" s="841" t="s">
        <v>2627</v>
      </c>
      <c r="B29" s="792"/>
      <c r="C29" s="794"/>
      <c r="D29" s="795"/>
      <c r="E29" s="785">
        <v>1</v>
      </c>
      <c r="F29" s="786">
        <v>1.94</v>
      </c>
      <c r="G29" s="787">
        <v>3</v>
      </c>
      <c r="H29" s="777"/>
      <c r="I29" s="775"/>
      <c r="J29" s="776"/>
      <c r="K29" s="778">
        <v>1</v>
      </c>
      <c r="L29" s="777">
        <v>4</v>
      </c>
      <c r="M29" s="777">
        <v>36</v>
      </c>
      <c r="N29" s="779">
        <v>11.93</v>
      </c>
      <c r="O29" s="777" t="s">
        <v>2579</v>
      </c>
      <c r="P29" s="791" t="s">
        <v>2628</v>
      </c>
      <c r="Q29" s="780">
        <f t="shared" si="0"/>
        <v>0</v>
      </c>
      <c r="R29" s="780">
        <f t="shared" si="0"/>
        <v>0</v>
      </c>
      <c r="S29" s="792" t="str">
        <f t="shared" si="1"/>
        <v/>
      </c>
      <c r="T29" s="792" t="str">
        <f t="shared" si="2"/>
        <v/>
      </c>
      <c r="U29" s="792" t="str">
        <f t="shared" si="3"/>
        <v/>
      </c>
      <c r="V29" s="793" t="str">
        <f t="shared" si="4"/>
        <v/>
      </c>
      <c r="W29" s="781"/>
    </row>
    <row r="30" spans="1:23" ht="14.4" customHeight="1" x14ac:dyDescent="0.3">
      <c r="A30" s="841" t="s">
        <v>2629</v>
      </c>
      <c r="B30" s="792"/>
      <c r="C30" s="794"/>
      <c r="D30" s="795"/>
      <c r="E30" s="790"/>
      <c r="F30" s="775"/>
      <c r="G30" s="776"/>
      <c r="H30" s="785">
        <v>1</v>
      </c>
      <c r="I30" s="786">
        <v>2.3199999999999998</v>
      </c>
      <c r="J30" s="787">
        <v>4</v>
      </c>
      <c r="K30" s="778">
        <v>2.0299999999999998</v>
      </c>
      <c r="L30" s="777">
        <v>4</v>
      </c>
      <c r="M30" s="777">
        <v>35</v>
      </c>
      <c r="N30" s="779">
        <v>11.7</v>
      </c>
      <c r="O30" s="777" t="s">
        <v>2579</v>
      </c>
      <c r="P30" s="791" t="s">
        <v>2630</v>
      </c>
      <c r="Q30" s="780">
        <f t="shared" si="0"/>
        <v>1</v>
      </c>
      <c r="R30" s="780">
        <f t="shared" si="0"/>
        <v>2.3199999999999998</v>
      </c>
      <c r="S30" s="792">
        <f t="shared" si="1"/>
        <v>11.7</v>
      </c>
      <c r="T30" s="792">
        <f t="shared" si="2"/>
        <v>4</v>
      </c>
      <c r="U30" s="792">
        <f t="shared" si="3"/>
        <v>-7.6999999999999993</v>
      </c>
      <c r="V30" s="793">
        <f t="shared" si="4"/>
        <v>0.34188034188034189</v>
      </c>
      <c r="W30" s="781"/>
    </row>
    <row r="31" spans="1:23" ht="14.4" customHeight="1" x14ac:dyDescent="0.3">
      <c r="A31" s="841" t="s">
        <v>2631</v>
      </c>
      <c r="B31" s="792"/>
      <c r="C31" s="794"/>
      <c r="D31" s="795"/>
      <c r="E31" s="790"/>
      <c r="F31" s="775"/>
      <c r="G31" s="776"/>
      <c r="H31" s="785">
        <v>1</v>
      </c>
      <c r="I31" s="786">
        <v>1.31</v>
      </c>
      <c r="J31" s="787">
        <v>5</v>
      </c>
      <c r="K31" s="778">
        <v>1.48</v>
      </c>
      <c r="L31" s="777">
        <v>6</v>
      </c>
      <c r="M31" s="777">
        <v>57</v>
      </c>
      <c r="N31" s="779">
        <v>19.149999999999999</v>
      </c>
      <c r="O31" s="777" t="s">
        <v>2579</v>
      </c>
      <c r="P31" s="791" t="s">
        <v>2632</v>
      </c>
      <c r="Q31" s="780">
        <f t="shared" si="0"/>
        <v>1</v>
      </c>
      <c r="R31" s="780">
        <f t="shared" si="0"/>
        <v>1.31</v>
      </c>
      <c r="S31" s="792">
        <f t="shared" si="1"/>
        <v>19.149999999999999</v>
      </c>
      <c r="T31" s="792">
        <f t="shared" si="2"/>
        <v>5</v>
      </c>
      <c r="U31" s="792">
        <f t="shared" si="3"/>
        <v>-14.149999999999999</v>
      </c>
      <c r="V31" s="793">
        <f t="shared" si="4"/>
        <v>0.26109660574412535</v>
      </c>
      <c r="W31" s="781"/>
    </row>
    <row r="32" spans="1:23" ht="14.4" customHeight="1" x14ac:dyDescent="0.3">
      <c r="A32" s="841" t="s">
        <v>2633</v>
      </c>
      <c r="B32" s="792"/>
      <c r="C32" s="794"/>
      <c r="D32" s="795"/>
      <c r="E32" s="790"/>
      <c r="F32" s="775"/>
      <c r="G32" s="776"/>
      <c r="H32" s="785">
        <v>1</v>
      </c>
      <c r="I32" s="786">
        <v>0.53</v>
      </c>
      <c r="J32" s="787">
        <v>2</v>
      </c>
      <c r="K32" s="778">
        <v>0.78</v>
      </c>
      <c r="L32" s="777">
        <v>3</v>
      </c>
      <c r="M32" s="777">
        <v>31</v>
      </c>
      <c r="N32" s="779">
        <v>10.18</v>
      </c>
      <c r="O32" s="777" t="s">
        <v>2579</v>
      </c>
      <c r="P32" s="791" t="s">
        <v>2634</v>
      </c>
      <c r="Q32" s="780">
        <f t="shared" si="0"/>
        <v>1</v>
      </c>
      <c r="R32" s="780">
        <f t="shared" si="0"/>
        <v>0.53</v>
      </c>
      <c r="S32" s="792">
        <f t="shared" si="1"/>
        <v>10.18</v>
      </c>
      <c r="T32" s="792">
        <f t="shared" si="2"/>
        <v>2</v>
      </c>
      <c r="U32" s="792">
        <f t="shared" si="3"/>
        <v>-8.18</v>
      </c>
      <c r="V32" s="793">
        <f t="shared" si="4"/>
        <v>0.19646365422396858</v>
      </c>
      <c r="W32" s="781"/>
    </row>
    <row r="33" spans="1:23" ht="14.4" customHeight="1" x14ac:dyDescent="0.3">
      <c r="A33" s="841" t="s">
        <v>2635</v>
      </c>
      <c r="B33" s="772">
        <v>1</v>
      </c>
      <c r="C33" s="773">
        <v>2.2000000000000002</v>
      </c>
      <c r="D33" s="774">
        <v>6</v>
      </c>
      <c r="E33" s="790"/>
      <c r="F33" s="775"/>
      <c r="G33" s="776"/>
      <c r="H33" s="777"/>
      <c r="I33" s="775"/>
      <c r="J33" s="776"/>
      <c r="K33" s="778">
        <v>2.2000000000000002</v>
      </c>
      <c r="L33" s="777">
        <v>4</v>
      </c>
      <c r="M33" s="777">
        <v>34</v>
      </c>
      <c r="N33" s="779">
        <v>11.44</v>
      </c>
      <c r="O33" s="777" t="s">
        <v>2579</v>
      </c>
      <c r="P33" s="791" t="s">
        <v>2636</v>
      </c>
      <c r="Q33" s="780">
        <f t="shared" si="0"/>
        <v>-1</v>
      </c>
      <c r="R33" s="780">
        <f t="shared" si="0"/>
        <v>-2.2000000000000002</v>
      </c>
      <c r="S33" s="792" t="str">
        <f t="shared" si="1"/>
        <v/>
      </c>
      <c r="T33" s="792" t="str">
        <f t="shared" si="2"/>
        <v/>
      </c>
      <c r="U33" s="792" t="str">
        <f t="shared" si="3"/>
        <v/>
      </c>
      <c r="V33" s="793" t="str">
        <f t="shared" si="4"/>
        <v/>
      </c>
      <c r="W33" s="781"/>
    </row>
    <row r="34" spans="1:23" ht="14.4" customHeight="1" x14ac:dyDescent="0.3">
      <c r="A34" s="841" t="s">
        <v>2637</v>
      </c>
      <c r="B34" s="792"/>
      <c r="C34" s="794"/>
      <c r="D34" s="795"/>
      <c r="E34" s="790"/>
      <c r="F34" s="775"/>
      <c r="G34" s="776"/>
      <c r="H34" s="785">
        <v>1</v>
      </c>
      <c r="I34" s="786">
        <v>0.77</v>
      </c>
      <c r="J34" s="787">
        <v>2</v>
      </c>
      <c r="K34" s="778">
        <v>0.77</v>
      </c>
      <c r="L34" s="777">
        <v>2</v>
      </c>
      <c r="M34" s="777">
        <v>20</v>
      </c>
      <c r="N34" s="779">
        <v>6.72</v>
      </c>
      <c r="O34" s="777" t="s">
        <v>2579</v>
      </c>
      <c r="P34" s="791" t="s">
        <v>2638</v>
      </c>
      <c r="Q34" s="780">
        <f t="shared" si="0"/>
        <v>1</v>
      </c>
      <c r="R34" s="780">
        <f t="shared" si="0"/>
        <v>0.77</v>
      </c>
      <c r="S34" s="792">
        <f t="shared" si="1"/>
        <v>6.72</v>
      </c>
      <c r="T34" s="792">
        <f t="shared" si="2"/>
        <v>2</v>
      </c>
      <c r="U34" s="792">
        <f t="shared" si="3"/>
        <v>-4.72</v>
      </c>
      <c r="V34" s="793">
        <f t="shared" si="4"/>
        <v>0.29761904761904762</v>
      </c>
      <c r="W34" s="781"/>
    </row>
    <row r="35" spans="1:23" ht="14.4" customHeight="1" x14ac:dyDescent="0.3">
      <c r="A35" s="841" t="s">
        <v>2639</v>
      </c>
      <c r="B35" s="772">
        <v>1</v>
      </c>
      <c r="C35" s="773">
        <v>0.6</v>
      </c>
      <c r="D35" s="774">
        <v>2</v>
      </c>
      <c r="E35" s="790"/>
      <c r="F35" s="775"/>
      <c r="G35" s="776"/>
      <c r="H35" s="777"/>
      <c r="I35" s="775"/>
      <c r="J35" s="776"/>
      <c r="K35" s="778">
        <v>0.6</v>
      </c>
      <c r="L35" s="777">
        <v>2</v>
      </c>
      <c r="M35" s="777">
        <v>18</v>
      </c>
      <c r="N35" s="779">
        <v>6.12</v>
      </c>
      <c r="O35" s="777" t="s">
        <v>2579</v>
      </c>
      <c r="P35" s="791" t="s">
        <v>2640</v>
      </c>
      <c r="Q35" s="780">
        <f t="shared" si="0"/>
        <v>-1</v>
      </c>
      <c r="R35" s="780">
        <f t="shared" si="0"/>
        <v>-0.6</v>
      </c>
      <c r="S35" s="792" t="str">
        <f t="shared" si="1"/>
        <v/>
      </c>
      <c r="T35" s="792" t="str">
        <f t="shared" si="2"/>
        <v/>
      </c>
      <c r="U35" s="792" t="str">
        <f t="shared" si="3"/>
        <v/>
      </c>
      <c r="V35" s="793" t="str">
        <f t="shared" si="4"/>
        <v/>
      </c>
      <c r="W35" s="781"/>
    </row>
    <row r="36" spans="1:23" ht="14.4" customHeight="1" x14ac:dyDescent="0.3">
      <c r="A36" s="841" t="s">
        <v>2641</v>
      </c>
      <c r="B36" s="772">
        <v>1</v>
      </c>
      <c r="C36" s="773">
        <v>3.23</v>
      </c>
      <c r="D36" s="774">
        <v>3</v>
      </c>
      <c r="E36" s="790"/>
      <c r="F36" s="775"/>
      <c r="G36" s="776"/>
      <c r="H36" s="777"/>
      <c r="I36" s="775"/>
      <c r="J36" s="776"/>
      <c r="K36" s="778">
        <v>6.74</v>
      </c>
      <c r="L36" s="777">
        <v>8</v>
      </c>
      <c r="M36" s="777">
        <v>71</v>
      </c>
      <c r="N36" s="779">
        <v>23.79</v>
      </c>
      <c r="O36" s="777" t="s">
        <v>2579</v>
      </c>
      <c r="P36" s="791" t="s">
        <v>2642</v>
      </c>
      <c r="Q36" s="780">
        <f t="shared" si="0"/>
        <v>-1</v>
      </c>
      <c r="R36" s="780">
        <f t="shared" si="0"/>
        <v>-3.23</v>
      </c>
      <c r="S36" s="792" t="str">
        <f t="shared" si="1"/>
        <v/>
      </c>
      <c r="T36" s="792" t="str">
        <f t="shared" si="2"/>
        <v/>
      </c>
      <c r="U36" s="792" t="str">
        <f t="shared" si="3"/>
        <v/>
      </c>
      <c r="V36" s="793" t="str">
        <f t="shared" si="4"/>
        <v/>
      </c>
      <c r="W36" s="781"/>
    </row>
    <row r="37" spans="1:23" ht="14.4" customHeight="1" x14ac:dyDescent="0.3">
      <c r="A37" s="841" t="s">
        <v>2643</v>
      </c>
      <c r="B37" s="792"/>
      <c r="C37" s="794"/>
      <c r="D37" s="795"/>
      <c r="E37" s="790"/>
      <c r="F37" s="775"/>
      <c r="G37" s="776"/>
      <c r="H37" s="785">
        <v>1</v>
      </c>
      <c r="I37" s="786">
        <v>19.079999999999998</v>
      </c>
      <c r="J37" s="787">
        <v>18</v>
      </c>
      <c r="K37" s="778">
        <v>19.079999999999998</v>
      </c>
      <c r="L37" s="777">
        <v>7</v>
      </c>
      <c r="M37" s="777">
        <v>62</v>
      </c>
      <c r="N37" s="779">
        <v>20.5</v>
      </c>
      <c r="O37" s="777" t="s">
        <v>2579</v>
      </c>
      <c r="P37" s="791" t="s">
        <v>2644</v>
      </c>
      <c r="Q37" s="780">
        <f t="shared" si="0"/>
        <v>1</v>
      </c>
      <c r="R37" s="780">
        <f t="shared" si="0"/>
        <v>19.079999999999998</v>
      </c>
      <c r="S37" s="792">
        <f t="shared" si="1"/>
        <v>20.5</v>
      </c>
      <c r="T37" s="792">
        <f t="shared" si="2"/>
        <v>18</v>
      </c>
      <c r="U37" s="792">
        <f t="shared" si="3"/>
        <v>-2.5</v>
      </c>
      <c r="V37" s="793">
        <f t="shared" si="4"/>
        <v>0.87804878048780488</v>
      </c>
      <c r="W37" s="781"/>
    </row>
    <row r="38" spans="1:23" ht="14.4" customHeight="1" x14ac:dyDescent="0.3">
      <c r="A38" s="840" t="s">
        <v>2645</v>
      </c>
      <c r="B38" s="834"/>
      <c r="C38" s="836"/>
      <c r="D38" s="796"/>
      <c r="E38" s="827">
        <v>1</v>
      </c>
      <c r="F38" s="828">
        <v>23</v>
      </c>
      <c r="G38" s="783">
        <v>34</v>
      </c>
      <c r="H38" s="837"/>
      <c r="I38" s="838"/>
      <c r="J38" s="788"/>
      <c r="K38" s="830">
        <v>24.51</v>
      </c>
      <c r="L38" s="829">
        <v>11</v>
      </c>
      <c r="M38" s="829">
        <v>103</v>
      </c>
      <c r="N38" s="831">
        <v>34.270000000000003</v>
      </c>
      <c r="O38" s="829" t="s">
        <v>2579</v>
      </c>
      <c r="P38" s="832" t="s">
        <v>2644</v>
      </c>
      <c r="Q38" s="833">
        <f t="shared" si="0"/>
        <v>0</v>
      </c>
      <c r="R38" s="833">
        <f t="shared" si="0"/>
        <v>0</v>
      </c>
      <c r="S38" s="834" t="str">
        <f t="shared" si="1"/>
        <v/>
      </c>
      <c r="T38" s="834" t="str">
        <f t="shared" si="2"/>
        <v/>
      </c>
      <c r="U38" s="834" t="str">
        <f t="shared" si="3"/>
        <v/>
      </c>
      <c r="V38" s="835" t="str">
        <f t="shared" si="4"/>
        <v/>
      </c>
      <c r="W38" s="784"/>
    </row>
    <row r="39" spans="1:23" ht="14.4" customHeight="1" x14ac:dyDescent="0.3">
      <c r="A39" s="841" t="s">
        <v>2646</v>
      </c>
      <c r="B39" s="792"/>
      <c r="C39" s="794"/>
      <c r="D39" s="795"/>
      <c r="E39" s="790"/>
      <c r="F39" s="775"/>
      <c r="G39" s="776"/>
      <c r="H39" s="785">
        <v>1</v>
      </c>
      <c r="I39" s="786">
        <v>2.71</v>
      </c>
      <c r="J39" s="787">
        <v>6</v>
      </c>
      <c r="K39" s="778">
        <v>1.7</v>
      </c>
      <c r="L39" s="777">
        <v>5</v>
      </c>
      <c r="M39" s="777">
        <v>45</v>
      </c>
      <c r="N39" s="779">
        <v>14.97</v>
      </c>
      <c r="O39" s="777" t="s">
        <v>2579</v>
      </c>
      <c r="P39" s="791" t="s">
        <v>2647</v>
      </c>
      <c r="Q39" s="780">
        <f t="shared" si="0"/>
        <v>1</v>
      </c>
      <c r="R39" s="780">
        <f t="shared" si="0"/>
        <v>2.71</v>
      </c>
      <c r="S39" s="792">
        <f t="shared" si="1"/>
        <v>14.97</v>
      </c>
      <c r="T39" s="792">
        <f t="shared" si="2"/>
        <v>6</v>
      </c>
      <c r="U39" s="792">
        <f t="shared" si="3"/>
        <v>-8.9700000000000006</v>
      </c>
      <c r="V39" s="793">
        <f t="shared" si="4"/>
        <v>0.40080160320641278</v>
      </c>
      <c r="W39" s="781"/>
    </row>
    <row r="40" spans="1:23" ht="14.4" customHeight="1" x14ac:dyDescent="0.3">
      <c r="A40" s="841" t="s">
        <v>2648</v>
      </c>
      <c r="B40" s="792"/>
      <c r="C40" s="794"/>
      <c r="D40" s="795"/>
      <c r="E40" s="790"/>
      <c r="F40" s="775"/>
      <c r="G40" s="776"/>
      <c r="H40" s="785">
        <v>1</v>
      </c>
      <c r="I40" s="786">
        <v>3.74</v>
      </c>
      <c r="J40" s="789">
        <v>4</v>
      </c>
      <c r="K40" s="778">
        <v>2.66</v>
      </c>
      <c r="L40" s="777">
        <v>1</v>
      </c>
      <c r="M40" s="777">
        <v>6</v>
      </c>
      <c r="N40" s="779">
        <v>2.11</v>
      </c>
      <c r="O40" s="777" t="s">
        <v>2579</v>
      </c>
      <c r="P40" s="791" t="s">
        <v>2649</v>
      </c>
      <c r="Q40" s="780">
        <f t="shared" si="0"/>
        <v>1</v>
      </c>
      <c r="R40" s="780">
        <f t="shared" si="0"/>
        <v>3.74</v>
      </c>
      <c r="S40" s="792">
        <f t="shared" si="1"/>
        <v>2.11</v>
      </c>
      <c r="T40" s="792">
        <f t="shared" si="2"/>
        <v>4</v>
      </c>
      <c r="U40" s="792">
        <f t="shared" si="3"/>
        <v>1.8900000000000001</v>
      </c>
      <c r="V40" s="793">
        <f t="shared" si="4"/>
        <v>1.8957345971563981</v>
      </c>
      <c r="W40" s="781">
        <v>2</v>
      </c>
    </row>
    <row r="41" spans="1:23" ht="14.4" customHeight="1" thickBot="1" x14ac:dyDescent="0.35">
      <c r="A41" s="842" t="s">
        <v>2650</v>
      </c>
      <c r="B41" s="843">
        <v>1</v>
      </c>
      <c r="C41" s="844">
        <v>4.25</v>
      </c>
      <c r="D41" s="845">
        <v>14</v>
      </c>
      <c r="E41" s="846"/>
      <c r="F41" s="847"/>
      <c r="G41" s="848"/>
      <c r="H41" s="849"/>
      <c r="I41" s="847"/>
      <c r="J41" s="848"/>
      <c r="K41" s="850">
        <v>4.25</v>
      </c>
      <c r="L41" s="849">
        <v>7</v>
      </c>
      <c r="M41" s="849">
        <v>60</v>
      </c>
      <c r="N41" s="851">
        <v>20.079999999999998</v>
      </c>
      <c r="O41" s="849" t="s">
        <v>2579</v>
      </c>
      <c r="P41" s="852" t="s">
        <v>2651</v>
      </c>
      <c r="Q41" s="853">
        <f t="shared" si="0"/>
        <v>-1</v>
      </c>
      <c r="R41" s="853">
        <f t="shared" si="0"/>
        <v>-4.25</v>
      </c>
      <c r="S41" s="854" t="str">
        <f t="shared" si="1"/>
        <v/>
      </c>
      <c r="T41" s="854" t="str">
        <f t="shared" si="2"/>
        <v/>
      </c>
      <c r="U41" s="854" t="str">
        <f t="shared" si="3"/>
        <v/>
      </c>
      <c r="V41" s="855" t="str">
        <f t="shared" si="4"/>
        <v/>
      </c>
      <c r="W41" s="856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42:Q1048576">
    <cfRule type="cellIs" dxfId="12" priority="9" stopIfTrue="1" operator="lessThan">
      <formula>0</formula>
    </cfRule>
  </conditionalFormatting>
  <conditionalFormatting sqref="U42:U1048576">
    <cfRule type="cellIs" dxfId="11" priority="8" stopIfTrue="1" operator="greaterThan">
      <formula>0</formula>
    </cfRule>
  </conditionalFormatting>
  <conditionalFormatting sqref="V42:V1048576">
    <cfRule type="cellIs" dxfId="10" priority="7" stopIfTrue="1" operator="greaterThan">
      <formula>1</formula>
    </cfRule>
  </conditionalFormatting>
  <conditionalFormatting sqref="V42:V1048576">
    <cfRule type="cellIs" dxfId="9" priority="4" stopIfTrue="1" operator="greaterThan">
      <formula>1</formula>
    </cfRule>
  </conditionalFormatting>
  <conditionalFormatting sqref="U42:U1048576">
    <cfRule type="cellIs" dxfId="8" priority="5" stopIfTrue="1" operator="greaterThan">
      <formula>0</formula>
    </cfRule>
  </conditionalFormatting>
  <conditionalFormatting sqref="Q42:Q1048576">
    <cfRule type="cellIs" dxfId="7" priority="6" stopIfTrue="1" operator="lessThan">
      <formula>0</formula>
    </cfRule>
  </conditionalFormatting>
  <conditionalFormatting sqref="V5:V41">
    <cfRule type="cellIs" dxfId="6" priority="1" stopIfTrue="1" operator="greaterThan">
      <formula>1</formula>
    </cfRule>
  </conditionalFormatting>
  <conditionalFormatting sqref="U5:U41">
    <cfRule type="cellIs" dxfId="5" priority="2" stopIfTrue="1" operator="greaterThan">
      <formula>0</formula>
    </cfRule>
  </conditionalFormatting>
  <conditionalFormatting sqref="Q5:Q41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5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7" customWidth="1"/>
    <col min="2" max="2" width="7.77734375" style="222" customWidth="1"/>
    <col min="3" max="3" width="7.21875" style="257" hidden="1" customWidth="1"/>
    <col min="4" max="4" width="7.77734375" style="222" customWidth="1"/>
    <col min="5" max="5" width="7.21875" style="257" hidden="1" customWidth="1"/>
    <col min="6" max="6" width="7.77734375" style="222" customWidth="1"/>
    <col min="7" max="7" width="7.77734375" style="343" customWidth="1"/>
    <col min="8" max="8" width="7.77734375" style="222" customWidth="1"/>
    <col min="9" max="9" width="7.21875" style="257" hidden="1" customWidth="1"/>
    <col min="10" max="10" width="7.77734375" style="222" customWidth="1"/>
    <col min="11" max="11" width="7.21875" style="257" hidden="1" customWidth="1"/>
    <col min="12" max="12" width="7.77734375" style="222" customWidth="1"/>
    <col min="13" max="13" width="7.77734375" style="343" customWidth="1"/>
    <col min="14" max="16384" width="8.88671875" style="257"/>
  </cols>
  <sheetData>
    <row r="1" spans="1:13" ht="18.600000000000001" customHeight="1" thickBot="1" x14ac:dyDescent="0.4">
      <c r="A1" s="467" t="s">
        <v>159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</row>
    <row r="2" spans="1:13" ht="14.4" customHeight="1" thickBot="1" x14ac:dyDescent="0.35">
      <c r="A2" s="386" t="s">
        <v>321</v>
      </c>
      <c r="B2" s="359"/>
      <c r="C2" s="227"/>
      <c r="D2" s="359"/>
      <c r="E2" s="227"/>
      <c r="F2" s="359"/>
      <c r="G2" s="360"/>
      <c r="H2" s="359"/>
      <c r="I2" s="227"/>
      <c r="J2" s="359"/>
      <c r="K2" s="227"/>
      <c r="L2" s="359"/>
      <c r="M2" s="360"/>
    </row>
    <row r="3" spans="1:13" ht="14.4" customHeight="1" thickBot="1" x14ac:dyDescent="0.35">
      <c r="A3" s="353" t="s">
        <v>160</v>
      </c>
      <c r="B3" s="354">
        <f>SUBTOTAL(9,B6:B1048576)</f>
        <v>1486206</v>
      </c>
      <c r="C3" s="355">
        <f t="shared" ref="C3:L3" si="0">SUBTOTAL(9,C6:C1048576)</f>
        <v>10</v>
      </c>
      <c r="D3" s="355">
        <f t="shared" si="0"/>
        <v>1975111</v>
      </c>
      <c r="E3" s="355">
        <f t="shared" si="0"/>
        <v>13.440116169329071</v>
      </c>
      <c r="F3" s="355">
        <f t="shared" si="0"/>
        <v>2293120</v>
      </c>
      <c r="G3" s="358">
        <f>IF(B3&lt;&gt;0,F3/B3,"")</f>
        <v>1.5429355015388175</v>
      </c>
      <c r="H3" s="354">
        <f t="shared" si="0"/>
        <v>545942.64</v>
      </c>
      <c r="I3" s="355">
        <f t="shared" si="0"/>
        <v>2</v>
      </c>
      <c r="J3" s="355">
        <f t="shared" si="0"/>
        <v>312546.0400000001</v>
      </c>
      <c r="K3" s="355">
        <f t="shared" si="0"/>
        <v>0.59174065364514039</v>
      </c>
      <c r="L3" s="355">
        <f t="shared" si="0"/>
        <v>775382.58</v>
      </c>
      <c r="M3" s="356">
        <f>IF(H3&lt;&gt;0,L3/H3,"")</f>
        <v>1.4202638211223069</v>
      </c>
    </row>
    <row r="4" spans="1:13" ht="14.4" customHeight="1" x14ac:dyDescent="0.3">
      <c r="A4" s="576" t="s">
        <v>118</v>
      </c>
      <c r="B4" s="527" t="s">
        <v>124</v>
      </c>
      <c r="C4" s="528"/>
      <c r="D4" s="528"/>
      <c r="E4" s="528"/>
      <c r="F4" s="528"/>
      <c r="G4" s="529"/>
      <c r="H4" s="527" t="s">
        <v>125</v>
      </c>
      <c r="I4" s="528"/>
      <c r="J4" s="528"/>
      <c r="K4" s="528"/>
      <c r="L4" s="528"/>
      <c r="M4" s="529"/>
    </row>
    <row r="5" spans="1:13" s="341" customFormat="1" ht="14.4" customHeight="1" thickBot="1" x14ac:dyDescent="0.35">
      <c r="A5" s="857"/>
      <c r="B5" s="858">
        <v>2012</v>
      </c>
      <c r="C5" s="859"/>
      <c r="D5" s="859">
        <v>2013</v>
      </c>
      <c r="E5" s="859"/>
      <c r="F5" s="859">
        <v>2014</v>
      </c>
      <c r="G5" s="748" t="s">
        <v>2</v>
      </c>
      <c r="H5" s="858">
        <v>2012</v>
      </c>
      <c r="I5" s="859"/>
      <c r="J5" s="859">
        <v>2013</v>
      </c>
      <c r="K5" s="859"/>
      <c r="L5" s="859">
        <v>2014</v>
      </c>
      <c r="M5" s="748" t="s">
        <v>2</v>
      </c>
    </row>
    <row r="6" spans="1:13" ht="14.4" customHeight="1" x14ac:dyDescent="0.3">
      <c r="A6" s="711" t="s">
        <v>2653</v>
      </c>
      <c r="B6" s="764">
        <v>554</v>
      </c>
      <c r="C6" s="697">
        <v>1</v>
      </c>
      <c r="D6" s="764">
        <v>219</v>
      </c>
      <c r="E6" s="697">
        <v>0.39530685920577618</v>
      </c>
      <c r="F6" s="764">
        <v>5572</v>
      </c>
      <c r="G6" s="702">
        <v>10.057761732851986</v>
      </c>
      <c r="H6" s="764"/>
      <c r="I6" s="697"/>
      <c r="J6" s="764"/>
      <c r="K6" s="697"/>
      <c r="L6" s="764"/>
      <c r="M6" s="238"/>
    </row>
    <row r="7" spans="1:13" ht="14.4" customHeight="1" x14ac:dyDescent="0.3">
      <c r="A7" s="662" t="s">
        <v>2654</v>
      </c>
      <c r="B7" s="765">
        <v>1139</v>
      </c>
      <c r="C7" s="632">
        <v>1</v>
      </c>
      <c r="D7" s="765"/>
      <c r="E7" s="632"/>
      <c r="F7" s="765"/>
      <c r="G7" s="657"/>
      <c r="H7" s="765">
        <v>17761.86</v>
      </c>
      <c r="I7" s="632">
        <v>1</v>
      </c>
      <c r="J7" s="765"/>
      <c r="K7" s="632"/>
      <c r="L7" s="765"/>
      <c r="M7" s="683"/>
    </row>
    <row r="8" spans="1:13" ht="14.4" customHeight="1" x14ac:dyDescent="0.3">
      <c r="A8" s="662" t="s">
        <v>2134</v>
      </c>
      <c r="B8" s="765">
        <v>67242</v>
      </c>
      <c r="C8" s="632">
        <v>1</v>
      </c>
      <c r="D8" s="765">
        <v>71431</v>
      </c>
      <c r="E8" s="632">
        <v>1.0622973736652688</v>
      </c>
      <c r="F8" s="765">
        <v>96189</v>
      </c>
      <c r="G8" s="657">
        <v>1.4304898724011779</v>
      </c>
      <c r="H8" s="765"/>
      <c r="I8" s="632"/>
      <c r="J8" s="765"/>
      <c r="K8" s="632"/>
      <c r="L8" s="765"/>
      <c r="M8" s="683"/>
    </row>
    <row r="9" spans="1:13" ht="14.4" customHeight="1" x14ac:dyDescent="0.3">
      <c r="A9" s="662" t="s">
        <v>2655</v>
      </c>
      <c r="B9" s="765">
        <v>336848</v>
      </c>
      <c r="C9" s="632">
        <v>1</v>
      </c>
      <c r="D9" s="765">
        <v>433156</v>
      </c>
      <c r="E9" s="632">
        <v>1.2859093715859973</v>
      </c>
      <c r="F9" s="765">
        <v>447236</v>
      </c>
      <c r="G9" s="657">
        <v>1.3277086400987983</v>
      </c>
      <c r="H9" s="765"/>
      <c r="I9" s="632"/>
      <c r="J9" s="765"/>
      <c r="K9" s="632"/>
      <c r="L9" s="765"/>
      <c r="M9" s="683"/>
    </row>
    <row r="10" spans="1:13" ht="14.4" customHeight="1" x14ac:dyDescent="0.3">
      <c r="A10" s="662" t="s">
        <v>2656</v>
      </c>
      <c r="B10" s="765">
        <v>274936</v>
      </c>
      <c r="C10" s="632">
        <v>1</v>
      </c>
      <c r="D10" s="765">
        <v>557870</v>
      </c>
      <c r="E10" s="632">
        <v>2.0290904064946025</v>
      </c>
      <c r="F10" s="765">
        <v>731193</v>
      </c>
      <c r="G10" s="657">
        <v>2.659502575144761</v>
      </c>
      <c r="H10" s="765">
        <v>528180.78</v>
      </c>
      <c r="I10" s="632">
        <v>1</v>
      </c>
      <c r="J10" s="765">
        <v>312546.0400000001</v>
      </c>
      <c r="K10" s="632">
        <v>0.59174065364514039</v>
      </c>
      <c r="L10" s="765">
        <v>775382.58</v>
      </c>
      <c r="M10" s="683">
        <v>1.4680249819010831</v>
      </c>
    </row>
    <row r="11" spans="1:13" ht="14.4" customHeight="1" x14ac:dyDescent="0.3">
      <c r="A11" s="662" t="s">
        <v>2657</v>
      </c>
      <c r="B11" s="765">
        <v>78677</v>
      </c>
      <c r="C11" s="632">
        <v>1</v>
      </c>
      <c r="D11" s="765">
        <v>129632</v>
      </c>
      <c r="E11" s="632">
        <v>1.6476479784435096</v>
      </c>
      <c r="F11" s="765">
        <v>166877</v>
      </c>
      <c r="G11" s="657">
        <v>2.121039185530714</v>
      </c>
      <c r="H11" s="765"/>
      <c r="I11" s="632"/>
      <c r="J11" s="765"/>
      <c r="K11" s="632"/>
      <c r="L11" s="765"/>
      <c r="M11" s="683"/>
    </row>
    <row r="12" spans="1:13" ht="14.4" customHeight="1" x14ac:dyDescent="0.3">
      <c r="A12" s="662" t="s">
        <v>2658</v>
      </c>
      <c r="B12" s="765">
        <v>538761</v>
      </c>
      <c r="C12" s="632">
        <v>1</v>
      </c>
      <c r="D12" s="765">
        <v>554566</v>
      </c>
      <c r="E12" s="632">
        <v>1.0293358279459723</v>
      </c>
      <c r="F12" s="765">
        <v>624713</v>
      </c>
      <c r="G12" s="657">
        <v>1.1595364178179193</v>
      </c>
      <c r="H12" s="765"/>
      <c r="I12" s="632"/>
      <c r="J12" s="765"/>
      <c r="K12" s="632"/>
      <c r="L12" s="765"/>
      <c r="M12" s="683"/>
    </row>
    <row r="13" spans="1:13" ht="14.4" customHeight="1" x14ac:dyDescent="0.3">
      <c r="A13" s="662" t="s">
        <v>2659</v>
      </c>
      <c r="B13" s="765">
        <v>127954</v>
      </c>
      <c r="C13" s="632">
        <v>1</v>
      </c>
      <c r="D13" s="765">
        <v>189669</v>
      </c>
      <c r="E13" s="632">
        <v>1.4823217718867718</v>
      </c>
      <c r="F13" s="765">
        <v>166945</v>
      </c>
      <c r="G13" s="657">
        <v>1.30472669865733</v>
      </c>
      <c r="H13" s="765"/>
      <c r="I13" s="632"/>
      <c r="J13" s="765"/>
      <c r="K13" s="632"/>
      <c r="L13" s="765"/>
      <c r="M13" s="683"/>
    </row>
    <row r="14" spans="1:13" ht="14.4" customHeight="1" x14ac:dyDescent="0.3">
      <c r="A14" s="662" t="s">
        <v>2660</v>
      </c>
      <c r="B14" s="765">
        <v>6597</v>
      </c>
      <c r="C14" s="632">
        <v>1</v>
      </c>
      <c r="D14" s="765">
        <v>28499</v>
      </c>
      <c r="E14" s="632">
        <v>4.3199939366378661</v>
      </c>
      <c r="F14" s="765">
        <v>11671</v>
      </c>
      <c r="G14" s="657">
        <v>1.7691374867363954</v>
      </c>
      <c r="H14" s="765"/>
      <c r="I14" s="632"/>
      <c r="J14" s="765"/>
      <c r="K14" s="632"/>
      <c r="L14" s="765"/>
      <c r="M14" s="683"/>
    </row>
    <row r="15" spans="1:13" ht="14.4" customHeight="1" thickBot="1" x14ac:dyDescent="0.35">
      <c r="A15" s="767" t="s">
        <v>2661</v>
      </c>
      <c r="B15" s="766">
        <v>53498</v>
      </c>
      <c r="C15" s="638">
        <v>1</v>
      </c>
      <c r="D15" s="766">
        <v>10069</v>
      </c>
      <c r="E15" s="638">
        <v>0.18821264346330704</v>
      </c>
      <c r="F15" s="766">
        <v>42724</v>
      </c>
      <c r="G15" s="649">
        <v>0.79860929380537593</v>
      </c>
      <c r="H15" s="766"/>
      <c r="I15" s="638"/>
      <c r="J15" s="766"/>
      <c r="K15" s="638"/>
      <c r="L15" s="766"/>
      <c r="M15" s="684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293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7" bestFit="1" customWidth="1"/>
    <col min="2" max="2" width="8.6640625" style="257" bestFit="1" customWidth="1"/>
    <col min="3" max="3" width="2.109375" style="257" bestFit="1" customWidth="1"/>
    <col min="4" max="4" width="8" style="257" bestFit="1" customWidth="1"/>
    <col min="5" max="5" width="52.88671875" style="257" bestFit="1" customWidth="1"/>
    <col min="6" max="7" width="11.109375" style="340" customWidth="1"/>
    <col min="8" max="9" width="9.33203125" style="340" hidden="1" customWidth="1"/>
    <col min="10" max="11" width="11.109375" style="340" customWidth="1"/>
    <col min="12" max="13" width="9.33203125" style="340" hidden="1" customWidth="1"/>
    <col min="14" max="15" width="11.109375" style="340" customWidth="1"/>
    <col min="16" max="16" width="11.109375" style="343" customWidth="1"/>
    <col min="17" max="17" width="11.109375" style="340" customWidth="1"/>
    <col min="18" max="16384" width="8.88671875" style="257"/>
  </cols>
  <sheetData>
    <row r="1" spans="1:17" ht="18.600000000000001" customHeight="1" thickBot="1" x14ac:dyDescent="0.4">
      <c r="A1" s="467" t="s">
        <v>3218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</row>
    <row r="2" spans="1:17" ht="14.4" customHeight="1" thickBot="1" x14ac:dyDescent="0.35">
      <c r="A2" s="386" t="s">
        <v>321</v>
      </c>
      <c r="B2" s="227"/>
      <c r="C2" s="227"/>
      <c r="D2" s="227"/>
      <c r="E2" s="227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0"/>
      <c r="Q2" s="363"/>
    </row>
    <row r="3" spans="1:17" ht="14.4" customHeight="1" thickBot="1" x14ac:dyDescent="0.35">
      <c r="E3" s="112" t="s">
        <v>160</v>
      </c>
      <c r="F3" s="214">
        <f t="shared" ref="F3:O3" si="0">SUBTOTAL(9,F6:F1048576)</f>
        <v>12717.330000000002</v>
      </c>
      <c r="G3" s="218">
        <f t="shared" si="0"/>
        <v>2032148.6400000001</v>
      </c>
      <c r="H3" s="219"/>
      <c r="I3" s="219"/>
      <c r="J3" s="214">
        <f t="shared" si="0"/>
        <v>13950.709999999997</v>
      </c>
      <c r="K3" s="218">
        <f t="shared" si="0"/>
        <v>2287657.04</v>
      </c>
      <c r="L3" s="219"/>
      <c r="M3" s="219"/>
      <c r="N3" s="214">
        <f t="shared" si="0"/>
        <v>14475.43</v>
      </c>
      <c r="O3" s="218">
        <f t="shared" si="0"/>
        <v>3068502.58</v>
      </c>
      <c r="P3" s="181">
        <f>IF(G3=0,"",O3/G3)</f>
        <v>1.5099793979637237</v>
      </c>
      <c r="Q3" s="216">
        <f>IF(N3=0,"",O3/N3)</f>
        <v>211.98006415008052</v>
      </c>
    </row>
    <row r="4" spans="1:17" ht="14.4" customHeight="1" x14ac:dyDescent="0.3">
      <c r="A4" s="532" t="s">
        <v>74</v>
      </c>
      <c r="B4" s="531" t="s">
        <v>119</v>
      </c>
      <c r="C4" s="532" t="s">
        <v>120</v>
      </c>
      <c r="D4" s="533" t="s">
        <v>90</v>
      </c>
      <c r="E4" s="534" t="s">
        <v>11</v>
      </c>
      <c r="F4" s="538">
        <v>2012</v>
      </c>
      <c r="G4" s="539"/>
      <c r="H4" s="217"/>
      <c r="I4" s="217"/>
      <c r="J4" s="538">
        <v>2013</v>
      </c>
      <c r="K4" s="539"/>
      <c r="L4" s="217"/>
      <c r="M4" s="217"/>
      <c r="N4" s="538">
        <v>2014</v>
      </c>
      <c r="O4" s="539"/>
      <c r="P4" s="540" t="s">
        <v>2</v>
      </c>
      <c r="Q4" s="530" t="s">
        <v>122</v>
      </c>
    </row>
    <row r="5" spans="1:17" ht="14.4" customHeight="1" thickBot="1" x14ac:dyDescent="0.35">
      <c r="A5" s="756"/>
      <c r="B5" s="755"/>
      <c r="C5" s="756"/>
      <c r="D5" s="757"/>
      <c r="E5" s="758"/>
      <c r="F5" s="768" t="s">
        <v>91</v>
      </c>
      <c r="G5" s="769" t="s">
        <v>14</v>
      </c>
      <c r="H5" s="770"/>
      <c r="I5" s="770"/>
      <c r="J5" s="768" t="s">
        <v>91</v>
      </c>
      <c r="K5" s="769" t="s">
        <v>14</v>
      </c>
      <c r="L5" s="770"/>
      <c r="M5" s="770"/>
      <c r="N5" s="768" t="s">
        <v>91</v>
      </c>
      <c r="O5" s="769" t="s">
        <v>14</v>
      </c>
      <c r="P5" s="771"/>
      <c r="Q5" s="763"/>
    </row>
    <row r="6" spans="1:17" ht="14.4" customHeight="1" x14ac:dyDescent="0.3">
      <c r="A6" s="696" t="s">
        <v>2662</v>
      </c>
      <c r="B6" s="697" t="s">
        <v>2663</v>
      </c>
      <c r="C6" s="697" t="s">
        <v>2110</v>
      </c>
      <c r="D6" s="697" t="s">
        <v>2664</v>
      </c>
      <c r="E6" s="697" t="s">
        <v>2665</v>
      </c>
      <c r="F6" s="232">
        <v>1</v>
      </c>
      <c r="G6" s="232">
        <v>554</v>
      </c>
      <c r="H6" s="232">
        <v>1</v>
      </c>
      <c r="I6" s="232">
        <v>554</v>
      </c>
      <c r="J6" s="232"/>
      <c r="K6" s="232"/>
      <c r="L6" s="232"/>
      <c r="M6" s="232"/>
      <c r="N6" s="232"/>
      <c r="O6" s="232"/>
      <c r="P6" s="702"/>
      <c r="Q6" s="710"/>
    </row>
    <row r="7" spans="1:17" ht="14.4" customHeight="1" x14ac:dyDescent="0.3">
      <c r="A7" s="631" t="s">
        <v>2662</v>
      </c>
      <c r="B7" s="632" t="s">
        <v>2666</v>
      </c>
      <c r="C7" s="632" t="s">
        <v>2110</v>
      </c>
      <c r="D7" s="632" t="s">
        <v>2667</v>
      </c>
      <c r="E7" s="632" t="s">
        <v>2668</v>
      </c>
      <c r="F7" s="635"/>
      <c r="G7" s="635"/>
      <c r="H7" s="635"/>
      <c r="I7" s="635"/>
      <c r="J7" s="635">
        <v>1</v>
      </c>
      <c r="K7" s="635">
        <v>219</v>
      </c>
      <c r="L7" s="635"/>
      <c r="M7" s="635">
        <v>219</v>
      </c>
      <c r="N7" s="635"/>
      <c r="O7" s="635"/>
      <c r="P7" s="657"/>
      <c r="Q7" s="636"/>
    </row>
    <row r="8" spans="1:17" ht="14.4" customHeight="1" x14ac:dyDescent="0.3">
      <c r="A8" s="631" t="s">
        <v>2662</v>
      </c>
      <c r="B8" s="632" t="s">
        <v>2666</v>
      </c>
      <c r="C8" s="632" t="s">
        <v>2110</v>
      </c>
      <c r="D8" s="632" t="s">
        <v>2669</v>
      </c>
      <c r="E8" s="632" t="s">
        <v>2670</v>
      </c>
      <c r="F8" s="635"/>
      <c r="G8" s="635"/>
      <c r="H8" s="635"/>
      <c r="I8" s="635"/>
      <c r="J8" s="635"/>
      <c r="K8" s="635"/>
      <c r="L8" s="635"/>
      <c r="M8" s="635"/>
      <c r="N8" s="635">
        <v>1</v>
      </c>
      <c r="O8" s="635">
        <v>5572</v>
      </c>
      <c r="P8" s="657"/>
      <c r="Q8" s="636">
        <v>5572</v>
      </c>
    </row>
    <row r="9" spans="1:17" ht="14.4" customHeight="1" x14ac:dyDescent="0.3">
      <c r="A9" s="631" t="s">
        <v>2671</v>
      </c>
      <c r="B9" s="632" t="s">
        <v>920</v>
      </c>
      <c r="C9" s="632" t="s">
        <v>2328</v>
      </c>
      <c r="D9" s="632" t="s">
        <v>2672</v>
      </c>
      <c r="E9" s="632" t="s">
        <v>2673</v>
      </c>
      <c r="F9" s="635">
        <v>0.45</v>
      </c>
      <c r="G9" s="635">
        <v>974.39</v>
      </c>
      <c r="H9" s="635">
        <v>1</v>
      </c>
      <c r="I9" s="635">
        <v>2165.3111111111111</v>
      </c>
      <c r="J9" s="635"/>
      <c r="K9" s="635"/>
      <c r="L9" s="635"/>
      <c r="M9" s="635"/>
      <c r="N9" s="635"/>
      <c r="O9" s="635"/>
      <c r="P9" s="657"/>
      <c r="Q9" s="636"/>
    </row>
    <row r="10" spans="1:17" ht="14.4" customHeight="1" x14ac:dyDescent="0.3">
      <c r="A10" s="631" t="s">
        <v>2671</v>
      </c>
      <c r="B10" s="632" t="s">
        <v>920</v>
      </c>
      <c r="C10" s="632" t="s">
        <v>2380</v>
      </c>
      <c r="D10" s="632" t="s">
        <v>2674</v>
      </c>
      <c r="E10" s="632" t="s">
        <v>2105</v>
      </c>
      <c r="F10" s="635">
        <v>150</v>
      </c>
      <c r="G10" s="635">
        <v>679.5</v>
      </c>
      <c r="H10" s="635">
        <v>1</v>
      </c>
      <c r="I10" s="635">
        <v>4.53</v>
      </c>
      <c r="J10" s="635"/>
      <c r="K10" s="635"/>
      <c r="L10" s="635"/>
      <c r="M10" s="635"/>
      <c r="N10" s="635"/>
      <c r="O10" s="635"/>
      <c r="P10" s="657"/>
      <c r="Q10" s="636"/>
    </row>
    <row r="11" spans="1:17" ht="14.4" customHeight="1" x14ac:dyDescent="0.3">
      <c r="A11" s="631" t="s">
        <v>2671</v>
      </c>
      <c r="B11" s="632" t="s">
        <v>920</v>
      </c>
      <c r="C11" s="632" t="s">
        <v>2380</v>
      </c>
      <c r="D11" s="632" t="s">
        <v>2675</v>
      </c>
      <c r="E11" s="632" t="s">
        <v>2105</v>
      </c>
      <c r="F11" s="635">
        <v>1</v>
      </c>
      <c r="G11" s="635">
        <v>2135.09</v>
      </c>
      <c r="H11" s="635">
        <v>1</v>
      </c>
      <c r="I11" s="635">
        <v>2135.09</v>
      </c>
      <c r="J11" s="635"/>
      <c r="K11" s="635"/>
      <c r="L11" s="635"/>
      <c r="M11" s="635"/>
      <c r="N11" s="635"/>
      <c r="O11" s="635"/>
      <c r="P11" s="657"/>
      <c r="Q11" s="636"/>
    </row>
    <row r="12" spans="1:17" ht="14.4" customHeight="1" x14ac:dyDescent="0.3">
      <c r="A12" s="631" t="s">
        <v>2671</v>
      </c>
      <c r="B12" s="632" t="s">
        <v>920</v>
      </c>
      <c r="C12" s="632" t="s">
        <v>2380</v>
      </c>
      <c r="D12" s="632" t="s">
        <v>2676</v>
      </c>
      <c r="E12" s="632" t="s">
        <v>2105</v>
      </c>
      <c r="F12" s="635">
        <v>449</v>
      </c>
      <c r="G12" s="635">
        <v>13972.88</v>
      </c>
      <c r="H12" s="635">
        <v>1</v>
      </c>
      <c r="I12" s="635">
        <v>31.119999999999997</v>
      </c>
      <c r="J12" s="635"/>
      <c r="K12" s="635"/>
      <c r="L12" s="635"/>
      <c r="M12" s="635"/>
      <c r="N12" s="635"/>
      <c r="O12" s="635"/>
      <c r="P12" s="657"/>
      <c r="Q12" s="636"/>
    </row>
    <row r="13" spans="1:17" ht="14.4" customHeight="1" x14ac:dyDescent="0.3">
      <c r="A13" s="631" t="s">
        <v>2671</v>
      </c>
      <c r="B13" s="632" t="s">
        <v>920</v>
      </c>
      <c r="C13" s="632" t="s">
        <v>2110</v>
      </c>
      <c r="D13" s="632" t="s">
        <v>2677</v>
      </c>
      <c r="E13" s="632" t="s">
        <v>2678</v>
      </c>
      <c r="F13" s="635">
        <v>1</v>
      </c>
      <c r="G13" s="635">
        <v>653</v>
      </c>
      <c r="H13" s="635">
        <v>1</v>
      </c>
      <c r="I13" s="635">
        <v>653</v>
      </c>
      <c r="J13" s="635"/>
      <c r="K13" s="635"/>
      <c r="L13" s="635"/>
      <c r="M13" s="635"/>
      <c r="N13" s="635"/>
      <c r="O13" s="635"/>
      <c r="P13" s="657"/>
      <c r="Q13" s="636"/>
    </row>
    <row r="14" spans="1:17" ht="14.4" customHeight="1" x14ac:dyDescent="0.3">
      <c r="A14" s="631" t="s">
        <v>2671</v>
      </c>
      <c r="B14" s="632" t="s">
        <v>920</v>
      </c>
      <c r="C14" s="632" t="s">
        <v>2110</v>
      </c>
      <c r="D14" s="632" t="s">
        <v>2679</v>
      </c>
      <c r="E14" s="632" t="s">
        <v>2680</v>
      </c>
      <c r="F14" s="635">
        <v>1</v>
      </c>
      <c r="G14" s="635">
        <v>486</v>
      </c>
      <c r="H14" s="635">
        <v>1</v>
      </c>
      <c r="I14" s="635">
        <v>486</v>
      </c>
      <c r="J14" s="635"/>
      <c r="K14" s="635"/>
      <c r="L14" s="635"/>
      <c r="M14" s="635"/>
      <c r="N14" s="635"/>
      <c r="O14" s="635"/>
      <c r="P14" s="657"/>
      <c r="Q14" s="636"/>
    </row>
    <row r="15" spans="1:17" ht="14.4" customHeight="1" x14ac:dyDescent="0.3">
      <c r="A15" s="631" t="s">
        <v>2144</v>
      </c>
      <c r="B15" s="632" t="s">
        <v>2681</v>
      </c>
      <c r="C15" s="632" t="s">
        <v>2110</v>
      </c>
      <c r="D15" s="632" t="s">
        <v>2682</v>
      </c>
      <c r="E15" s="632" t="s">
        <v>2683</v>
      </c>
      <c r="F15" s="635">
        <v>16</v>
      </c>
      <c r="G15" s="635">
        <v>5600</v>
      </c>
      <c r="H15" s="635">
        <v>1</v>
      </c>
      <c r="I15" s="635">
        <v>350</v>
      </c>
      <c r="J15" s="635">
        <v>11</v>
      </c>
      <c r="K15" s="635">
        <v>3850</v>
      </c>
      <c r="L15" s="635">
        <v>0.6875</v>
      </c>
      <c r="M15" s="635">
        <v>350</v>
      </c>
      <c r="N15" s="635">
        <v>32</v>
      </c>
      <c r="O15" s="635">
        <v>11200</v>
      </c>
      <c r="P15" s="657">
        <v>2</v>
      </c>
      <c r="Q15" s="636">
        <v>350</v>
      </c>
    </row>
    <row r="16" spans="1:17" ht="14.4" customHeight="1" x14ac:dyDescent="0.3">
      <c r="A16" s="631" t="s">
        <v>2144</v>
      </c>
      <c r="B16" s="632" t="s">
        <v>2681</v>
      </c>
      <c r="C16" s="632" t="s">
        <v>2110</v>
      </c>
      <c r="D16" s="632" t="s">
        <v>2684</v>
      </c>
      <c r="E16" s="632" t="s">
        <v>2685</v>
      </c>
      <c r="F16" s="635">
        <v>31</v>
      </c>
      <c r="G16" s="635">
        <v>1984</v>
      </c>
      <c r="H16" s="635">
        <v>1</v>
      </c>
      <c r="I16" s="635">
        <v>64</v>
      </c>
      <c r="J16" s="635">
        <v>52</v>
      </c>
      <c r="K16" s="635">
        <v>3380</v>
      </c>
      <c r="L16" s="635">
        <v>1.7036290322580645</v>
      </c>
      <c r="M16" s="635">
        <v>65</v>
      </c>
      <c r="N16" s="635">
        <v>42</v>
      </c>
      <c r="O16" s="635">
        <v>2730</v>
      </c>
      <c r="P16" s="657">
        <v>1.376008064516129</v>
      </c>
      <c r="Q16" s="636">
        <v>65</v>
      </c>
    </row>
    <row r="17" spans="1:17" ht="14.4" customHeight="1" x14ac:dyDescent="0.3">
      <c r="A17" s="631" t="s">
        <v>2144</v>
      </c>
      <c r="B17" s="632" t="s">
        <v>2681</v>
      </c>
      <c r="C17" s="632" t="s">
        <v>2110</v>
      </c>
      <c r="D17" s="632" t="s">
        <v>2686</v>
      </c>
      <c r="E17" s="632" t="s">
        <v>2687</v>
      </c>
      <c r="F17" s="635">
        <v>18</v>
      </c>
      <c r="G17" s="635">
        <v>414</v>
      </c>
      <c r="H17" s="635">
        <v>1</v>
      </c>
      <c r="I17" s="635">
        <v>23</v>
      </c>
      <c r="J17" s="635">
        <v>13</v>
      </c>
      <c r="K17" s="635">
        <v>299</v>
      </c>
      <c r="L17" s="635">
        <v>0.72222222222222221</v>
      </c>
      <c r="M17" s="635">
        <v>23</v>
      </c>
      <c r="N17" s="635">
        <v>11</v>
      </c>
      <c r="O17" s="635">
        <v>253</v>
      </c>
      <c r="P17" s="657">
        <v>0.61111111111111116</v>
      </c>
      <c r="Q17" s="636">
        <v>23</v>
      </c>
    </row>
    <row r="18" spans="1:17" ht="14.4" customHeight="1" x14ac:dyDescent="0.3">
      <c r="A18" s="631" t="s">
        <v>2144</v>
      </c>
      <c r="B18" s="632" t="s">
        <v>2681</v>
      </c>
      <c r="C18" s="632" t="s">
        <v>2110</v>
      </c>
      <c r="D18" s="632" t="s">
        <v>2688</v>
      </c>
      <c r="E18" s="632" t="s">
        <v>2689</v>
      </c>
      <c r="F18" s="635">
        <v>7</v>
      </c>
      <c r="G18" s="635">
        <v>378</v>
      </c>
      <c r="H18" s="635">
        <v>1</v>
      </c>
      <c r="I18" s="635">
        <v>54</v>
      </c>
      <c r="J18" s="635">
        <v>4</v>
      </c>
      <c r="K18" s="635">
        <v>216</v>
      </c>
      <c r="L18" s="635">
        <v>0.5714285714285714</v>
      </c>
      <c r="M18" s="635">
        <v>54</v>
      </c>
      <c r="N18" s="635">
        <v>12</v>
      </c>
      <c r="O18" s="635">
        <v>648</v>
      </c>
      <c r="P18" s="657">
        <v>1.7142857142857142</v>
      </c>
      <c r="Q18" s="636">
        <v>54</v>
      </c>
    </row>
    <row r="19" spans="1:17" ht="14.4" customHeight="1" x14ac:dyDescent="0.3">
      <c r="A19" s="631" t="s">
        <v>2144</v>
      </c>
      <c r="B19" s="632" t="s">
        <v>2681</v>
      </c>
      <c r="C19" s="632" t="s">
        <v>2110</v>
      </c>
      <c r="D19" s="632" t="s">
        <v>2690</v>
      </c>
      <c r="E19" s="632" t="s">
        <v>2691</v>
      </c>
      <c r="F19" s="635">
        <v>526</v>
      </c>
      <c r="G19" s="635">
        <v>40502</v>
      </c>
      <c r="H19" s="635">
        <v>1</v>
      </c>
      <c r="I19" s="635">
        <v>77</v>
      </c>
      <c r="J19" s="635">
        <v>564</v>
      </c>
      <c r="K19" s="635">
        <v>43428</v>
      </c>
      <c r="L19" s="635">
        <v>1.0722433460076046</v>
      </c>
      <c r="M19" s="635">
        <v>77</v>
      </c>
      <c r="N19" s="635">
        <v>620</v>
      </c>
      <c r="O19" s="635">
        <v>47740</v>
      </c>
      <c r="P19" s="657">
        <v>1.1787072243346008</v>
      </c>
      <c r="Q19" s="636">
        <v>77</v>
      </c>
    </row>
    <row r="20" spans="1:17" ht="14.4" customHeight="1" x14ac:dyDescent="0.3">
      <c r="A20" s="631" t="s">
        <v>2144</v>
      </c>
      <c r="B20" s="632" t="s">
        <v>2681</v>
      </c>
      <c r="C20" s="632" t="s">
        <v>2110</v>
      </c>
      <c r="D20" s="632" t="s">
        <v>2692</v>
      </c>
      <c r="E20" s="632" t="s">
        <v>2693</v>
      </c>
      <c r="F20" s="635">
        <v>33</v>
      </c>
      <c r="G20" s="635">
        <v>726</v>
      </c>
      <c r="H20" s="635">
        <v>1</v>
      </c>
      <c r="I20" s="635">
        <v>22</v>
      </c>
      <c r="J20" s="635">
        <v>32</v>
      </c>
      <c r="K20" s="635">
        <v>704</v>
      </c>
      <c r="L20" s="635">
        <v>0.96969696969696972</v>
      </c>
      <c r="M20" s="635">
        <v>22</v>
      </c>
      <c r="N20" s="635">
        <v>24</v>
      </c>
      <c r="O20" s="635">
        <v>528</v>
      </c>
      <c r="P20" s="657">
        <v>0.72727272727272729</v>
      </c>
      <c r="Q20" s="636">
        <v>22</v>
      </c>
    </row>
    <row r="21" spans="1:17" ht="14.4" customHeight="1" x14ac:dyDescent="0.3">
      <c r="A21" s="631" t="s">
        <v>2144</v>
      </c>
      <c r="B21" s="632" t="s">
        <v>2681</v>
      </c>
      <c r="C21" s="632" t="s">
        <v>2110</v>
      </c>
      <c r="D21" s="632" t="s">
        <v>2694</v>
      </c>
      <c r="E21" s="632" t="s">
        <v>2695</v>
      </c>
      <c r="F21" s="635">
        <v>8</v>
      </c>
      <c r="G21" s="635">
        <v>1672</v>
      </c>
      <c r="H21" s="635">
        <v>1</v>
      </c>
      <c r="I21" s="635">
        <v>209</v>
      </c>
      <c r="J21" s="635">
        <v>14</v>
      </c>
      <c r="K21" s="635">
        <v>2926</v>
      </c>
      <c r="L21" s="635">
        <v>1.75</v>
      </c>
      <c r="M21" s="635">
        <v>209</v>
      </c>
      <c r="N21" s="635"/>
      <c r="O21" s="635"/>
      <c r="P21" s="657"/>
      <c r="Q21" s="636"/>
    </row>
    <row r="22" spans="1:17" ht="14.4" customHeight="1" x14ac:dyDescent="0.3">
      <c r="A22" s="631" t="s">
        <v>2144</v>
      </c>
      <c r="B22" s="632" t="s">
        <v>2681</v>
      </c>
      <c r="C22" s="632" t="s">
        <v>2110</v>
      </c>
      <c r="D22" s="632" t="s">
        <v>2696</v>
      </c>
      <c r="E22" s="632" t="s">
        <v>2697</v>
      </c>
      <c r="F22" s="635"/>
      <c r="G22" s="635"/>
      <c r="H22" s="635"/>
      <c r="I22" s="635"/>
      <c r="J22" s="635">
        <v>3</v>
      </c>
      <c r="K22" s="635">
        <v>198</v>
      </c>
      <c r="L22" s="635"/>
      <c r="M22" s="635">
        <v>66</v>
      </c>
      <c r="N22" s="635">
        <v>2</v>
      </c>
      <c r="O22" s="635">
        <v>132</v>
      </c>
      <c r="P22" s="657"/>
      <c r="Q22" s="636">
        <v>66</v>
      </c>
    </row>
    <row r="23" spans="1:17" ht="14.4" customHeight="1" x14ac:dyDescent="0.3">
      <c r="A23" s="631" t="s">
        <v>2144</v>
      </c>
      <c r="B23" s="632" t="s">
        <v>2681</v>
      </c>
      <c r="C23" s="632" t="s">
        <v>2110</v>
      </c>
      <c r="D23" s="632" t="s">
        <v>2698</v>
      </c>
      <c r="E23" s="632" t="s">
        <v>2699</v>
      </c>
      <c r="F23" s="635">
        <v>12</v>
      </c>
      <c r="G23" s="635">
        <v>276</v>
      </c>
      <c r="H23" s="635">
        <v>1</v>
      </c>
      <c r="I23" s="635">
        <v>23</v>
      </c>
      <c r="J23" s="635">
        <v>18</v>
      </c>
      <c r="K23" s="635">
        <v>432</v>
      </c>
      <c r="L23" s="635">
        <v>1.5652173913043479</v>
      </c>
      <c r="M23" s="635">
        <v>24</v>
      </c>
      <c r="N23" s="635">
        <v>11</v>
      </c>
      <c r="O23" s="635">
        <v>264</v>
      </c>
      <c r="P23" s="657">
        <v>0.95652173913043481</v>
      </c>
      <c r="Q23" s="636">
        <v>24</v>
      </c>
    </row>
    <row r="24" spans="1:17" ht="14.4" customHeight="1" x14ac:dyDescent="0.3">
      <c r="A24" s="631" t="s">
        <v>2144</v>
      </c>
      <c r="B24" s="632" t="s">
        <v>2681</v>
      </c>
      <c r="C24" s="632" t="s">
        <v>2110</v>
      </c>
      <c r="D24" s="632" t="s">
        <v>2700</v>
      </c>
      <c r="E24" s="632" t="s">
        <v>2701</v>
      </c>
      <c r="F24" s="635">
        <v>31</v>
      </c>
      <c r="G24" s="635">
        <v>5580</v>
      </c>
      <c r="H24" s="635">
        <v>1</v>
      </c>
      <c r="I24" s="635">
        <v>180</v>
      </c>
      <c r="J24" s="635">
        <v>28</v>
      </c>
      <c r="K24" s="635">
        <v>5040</v>
      </c>
      <c r="L24" s="635">
        <v>0.90322580645161288</v>
      </c>
      <c r="M24" s="635">
        <v>180</v>
      </c>
      <c r="N24" s="635">
        <v>49</v>
      </c>
      <c r="O24" s="635">
        <v>8820</v>
      </c>
      <c r="P24" s="657">
        <v>1.5806451612903225</v>
      </c>
      <c r="Q24" s="636">
        <v>180</v>
      </c>
    </row>
    <row r="25" spans="1:17" ht="14.4" customHeight="1" x14ac:dyDescent="0.3">
      <c r="A25" s="631" t="s">
        <v>2144</v>
      </c>
      <c r="B25" s="632" t="s">
        <v>2681</v>
      </c>
      <c r="C25" s="632" t="s">
        <v>2110</v>
      </c>
      <c r="D25" s="632" t="s">
        <v>2702</v>
      </c>
      <c r="E25" s="632" t="s">
        <v>2703</v>
      </c>
      <c r="F25" s="635">
        <v>2</v>
      </c>
      <c r="G25" s="635">
        <v>506</v>
      </c>
      <c r="H25" s="635">
        <v>1</v>
      </c>
      <c r="I25" s="635">
        <v>253</v>
      </c>
      <c r="J25" s="635">
        <v>2</v>
      </c>
      <c r="K25" s="635">
        <v>506</v>
      </c>
      <c r="L25" s="635">
        <v>1</v>
      </c>
      <c r="M25" s="635">
        <v>253</v>
      </c>
      <c r="N25" s="635">
        <v>25</v>
      </c>
      <c r="O25" s="635">
        <v>6325</v>
      </c>
      <c r="P25" s="657">
        <v>12.5</v>
      </c>
      <c r="Q25" s="636">
        <v>253</v>
      </c>
    </row>
    <row r="26" spans="1:17" ht="14.4" customHeight="1" x14ac:dyDescent="0.3">
      <c r="A26" s="631" t="s">
        <v>2144</v>
      </c>
      <c r="B26" s="632" t="s">
        <v>2681</v>
      </c>
      <c r="C26" s="632" t="s">
        <v>2110</v>
      </c>
      <c r="D26" s="632" t="s">
        <v>2704</v>
      </c>
      <c r="E26" s="632" t="s">
        <v>2705</v>
      </c>
      <c r="F26" s="635">
        <v>44</v>
      </c>
      <c r="G26" s="635">
        <v>9504</v>
      </c>
      <c r="H26" s="635">
        <v>1</v>
      </c>
      <c r="I26" s="635">
        <v>216</v>
      </c>
      <c r="J26" s="635">
        <v>47</v>
      </c>
      <c r="K26" s="635">
        <v>10152</v>
      </c>
      <c r="L26" s="635">
        <v>1.0681818181818181</v>
      </c>
      <c r="M26" s="635">
        <v>216</v>
      </c>
      <c r="N26" s="635">
        <v>79</v>
      </c>
      <c r="O26" s="635">
        <v>17064</v>
      </c>
      <c r="P26" s="657">
        <v>1.7954545454545454</v>
      </c>
      <c r="Q26" s="636">
        <v>216</v>
      </c>
    </row>
    <row r="27" spans="1:17" ht="14.4" customHeight="1" x14ac:dyDescent="0.3">
      <c r="A27" s="631" t="s">
        <v>2144</v>
      </c>
      <c r="B27" s="632" t="s">
        <v>2681</v>
      </c>
      <c r="C27" s="632" t="s">
        <v>2110</v>
      </c>
      <c r="D27" s="632" t="s">
        <v>2706</v>
      </c>
      <c r="E27" s="632" t="s">
        <v>2707</v>
      </c>
      <c r="F27" s="635"/>
      <c r="G27" s="635"/>
      <c r="H27" s="635"/>
      <c r="I27" s="635"/>
      <c r="J27" s="635"/>
      <c r="K27" s="635"/>
      <c r="L27" s="635"/>
      <c r="M27" s="635"/>
      <c r="N27" s="635">
        <v>1</v>
      </c>
      <c r="O27" s="635">
        <v>35</v>
      </c>
      <c r="P27" s="657"/>
      <c r="Q27" s="636">
        <v>35</v>
      </c>
    </row>
    <row r="28" spans="1:17" ht="14.4" customHeight="1" x14ac:dyDescent="0.3">
      <c r="A28" s="631" t="s">
        <v>2144</v>
      </c>
      <c r="B28" s="632" t="s">
        <v>2681</v>
      </c>
      <c r="C28" s="632" t="s">
        <v>2110</v>
      </c>
      <c r="D28" s="632" t="s">
        <v>2708</v>
      </c>
      <c r="E28" s="632" t="s">
        <v>2709</v>
      </c>
      <c r="F28" s="635">
        <v>2</v>
      </c>
      <c r="G28" s="635">
        <v>100</v>
      </c>
      <c r="H28" s="635">
        <v>1</v>
      </c>
      <c r="I28" s="635">
        <v>50</v>
      </c>
      <c r="J28" s="635">
        <v>6</v>
      </c>
      <c r="K28" s="635">
        <v>300</v>
      </c>
      <c r="L28" s="635">
        <v>3</v>
      </c>
      <c r="M28" s="635">
        <v>50</v>
      </c>
      <c r="N28" s="635">
        <v>9</v>
      </c>
      <c r="O28" s="635">
        <v>450</v>
      </c>
      <c r="P28" s="657">
        <v>4.5</v>
      </c>
      <c r="Q28" s="636">
        <v>50</v>
      </c>
    </row>
    <row r="29" spans="1:17" ht="14.4" customHeight="1" x14ac:dyDescent="0.3">
      <c r="A29" s="631" t="s">
        <v>2710</v>
      </c>
      <c r="B29" s="632" t="s">
        <v>2711</v>
      </c>
      <c r="C29" s="632" t="s">
        <v>2110</v>
      </c>
      <c r="D29" s="632" t="s">
        <v>2712</v>
      </c>
      <c r="E29" s="632" t="s">
        <v>2713</v>
      </c>
      <c r="F29" s="635">
        <v>71</v>
      </c>
      <c r="G29" s="635">
        <v>1917</v>
      </c>
      <c r="H29" s="635">
        <v>1</v>
      </c>
      <c r="I29" s="635">
        <v>27</v>
      </c>
      <c r="J29" s="635">
        <v>70</v>
      </c>
      <c r="K29" s="635">
        <v>1890</v>
      </c>
      <c r="L29" s="635">
        <v>0.9859154929577465</v>
      </c>
      <c r="M29" s="635">
        <v>27</v>
      </c>
      <c r="N29" s="635">
        <v>86</v>
      </c>
      <c r="O29" s="635">
        <v>2322</v>
      </c>
      <c r="P29" s="657">
        <v>1.2112676056338028</v>
      </c>
      <c r="Q29" s="636">
        <v>27</v>
      </c>
    </row>
    <row r="30" spans="1:17" ht="14.4" customHeight="1" x14ac:dyDescent="0.3">
      <c r="A30" s="631" t="s">
        <v>2710</v>
      </c>
      <c r="B30" s="632" t="s">
        <v>2711</v>
      </c>
      <c r="C30" s="632" t="s">
        <v>2110</v>
      </c>
      <c r="D30" s="632" t="s">
        <v>2714</v>
      </c>
      <c r="E30" s="632" t="s">
        <v>2715</v>
      </c>
      <c r="F30" s="635">
        <v>64</v>
      </c>
      <c r="G30" s="635">
        <v>3456</v>
      </c>
      <c r="H30" s="635">
        <v>1</v>
      </c>
      <c r="I30" s="635">
        <v>54</v>
      </c>
      <c r="J30" s="635">
        <v>56</v>
      </c>
      <c r="K30" s="635">
        <v>3024</v>
      </c>
      <c r="L30" s="635">
        <v>0.875</v>
      </c>
      <c r="M30" s="635">
        <v>54</v>
      </c>
      <c r="N30" s="635">
        <v>94</v>
      </c>
      <c r="O30" s="635">
        <v>5076</v>
      </c>
      <c r="P30" s="657">
        <v>1.46875</v>
      </c>
      <c r="Q30" s="636">
        <v>54</v>
      </c>
    </row>
    <row r="31" spans="1:17" ht="14.4" customHeight="1" x14ac:dyDescent="0.3">
      <c r="A31" s="631" t="s">
        <v>2710</v>
      </c>
      <c r="B31" s="632" t="s">
        <v>2711</v>
      </c>
      <c r="C31" s="632" t="s">
        <v>2110</v>
      </c>
      <c r="D31" s="632" t="s">
        <v>2716</v>
      </c>
      <c r="E31" s="632" t="s">
        <v>2717</v>
      </c>
      <c r="F31" s="635">
        <v>326</v>
      </c>
      <c r="G31" s="635">
        <v>7824</v>
      </c>
      <c r="H31" s="635">
        <v>1</v>
      </c>
      <c r="I31" s="635">
        <v>24</v>
      </c>
      <c r="J31" s="635">
        <v>328</v>
      </c>
      <c r="K31" s="635">
        <v>7872</v>
      </c>
      <c r="L31" s="635">
        <v>1.0061349693251533</v>
      </c>
      <c r="M31" s="635">
        <v>24</v>
      </c>
      <c r="N31" s="635">
        <v>314</v>
      </c>
      <c r="O31" s="635">
        <v>7536</v>
      </c>
      <c r="P31" s="657">
        <v>0.96319018404907975</v>
      </c>
      <c r="Q31" s="636">
        <v>24</v>
      </c>
    </row>
    <row r="32" spans="1:17" ht="14.4" customHeight="1" x14ac:dyDescent="0.3">
      <c r="A32" s="631" t="s">
        <v>2710</v>
      </c>
      <c r="B32" s="632" t="s">
        <v>2711</v>
      </c>
      <c r="C32" s="632" t="s">
        <v>2110</v>
      </c>
      <c r="D32" s="632" t="s">
        <v>2718</v>
      </c>
      <c r="E32" s="632" t="s">
        <v>2719</v>
      </c>
      <c r="F32" s="635">
        <v>371</v>
      </c>
      <c r="G32" s="635">
        <v>10017</v>
      </c>
      <c r="H32" s="635">
        <v>1</v>
      </c>
      <c r="I32" s="635">
        <v>27</v>
      </c>
      <c r="J32" s="635">
        <v>445</v>
      </c>
      <c r="K32" s="635">
        <v>12015</v>
      </c>
      <c r="L32" s="635">
        <v>1.1994609164420484</v>
      </c>
      <c r="M32" s="635">
        <v>27</v>
      </c>
      <c r="N32" s="635">
        <v>385</v>
      </c>
      <c r="O32" s="635">
        <v>10395</v>
      </c>
      <c r="P32" s="657">
        <v>1.0377358490566038</v>
      </c>
      <c r="Q32" s="636">
        <v>27</v>
      </c>
    </row>
    <row r="33" spans="1:17" ht="14.4" customHeight="1" x14ac:dyDescent="0.3">
      <c r="A33" s="631" t="s">
        <v>2710</v>
      </c>
      <c r="B33" s="632" t="s">
        <v>2711</v>
      </c>
      <c r="C33" s="632" t="s">
        <v>2110</v>
      </c>
      <c r="D33" s="632" t="s">
        <v>2720</v>
      </c>
      <c r="E33" s="632" t="s">
        <v>2721</v>
      </c>
      <c r="F33" s="635">
        <v>200</v>
      </c>
      <c r="G33" s="635">
        <v>11200</v>
      </c>
      <c r="H33" s="635">
        <v>1</v>
      </c>
      <c r="I33" s="635">
        <v>56</v>
      </c>
      <c r="J33" s="635">
        <v>89</v>
      </c>
      <c r="K33" s="635">
        <v>4984</v>
      </c>
      <c r="L33" s="635">
        <v>0.44500000000000001</v>
      </c>
      <c r="M33" s="635">
        <v>56</v>
      </c>
      <c r="N33" s="635">
        <v>123</v>
      </c>
      <c r="O33" s="635">
        <v>6888</v>
      </c>
      <c r="P33" s="657">
        <v>0.61499999999999999</v>
      </c>
      <c r="Q33" s="636">
        <v>56</v>
      </c>
    </row>
    <row r="34" spans="1:17" ht="14.4" customHeight="1" x14ac:dyDescent="0.3">
      <c r="A34" s="631" t="s">
        <v>2710</v>
      </c>
      <c r="B34" s="632" t="s">
        <v>2711</v>
      </c>
      <c r="C34" s="632" t="s">
        <v>2110</v>
      </c>
      <c r="D34" s="632" t="s">
        <v>2722</v>
      </c>
      <c r="E34" s="632" t="s">
        <v>2723</v>
      </c>
      <c r="F34" s="635">
        <v>68</v>
      </c>
      <c r="G34" s="635">
        <v>1836</v>
      </c>
      <c r="H34" s="635">
        <v>1</v>
      </c>
      <c r="I34" s="635">
        <v>27</v>
      </c>
      <c r="J34" s="635">
        <v>62</v>
      </c>
      <c r="K34" s="635">
        <v>1674</v>
      </c>
      <c r="L34" s="635">
        <v>0.91176470588235292</v>
      </c>
      <c r="M34" s="635">
        <v>27</v>
      </c>
      <c r="N34" s="635">
        <v>81</v>
      </c>
      <c r="O34" s="635">
        <v>2187</v>
      </c>
      <c r="P34" s="657">
        <v>1.1911764705882353</v>
      </c>
      <c r="Q34" s="636">
        <v>27</v>
      </c>
    </row>
    <row r="35" spans="1:17" ht="14.4" customHeight="1" x14ac:dyDescent="0.3">
      <c r="A35" s="631" t="s">
        <v>2710</v>
      </c>
      <c r="B35" s="632" t="s">
        <v>2711</v>
      </c>
      <c r="C35" s="632" t="s">
        <v>2110</v>
      </c>
      <c r="D35" s="632" t="s">
        <v>2724</v>
      </c>
      <c r="E35" s="632" t="s">
        <v>2725</v>
      </c>
      <c r="F35" s="635">
        <v>436</v>
      </c>
      <c r="G35" s="635">
        <v>9592</v>
      </c>
      <c r="H35" s="635">
        <v>1</v>
      </c>
      <c r="I35" s="635">
        <v>22</v>
      </c>
      <c r="J35" s="635">
        <v>497</v>
      </c>
      <c r="K35" s="635">
        <v>10934</v>
      </c>
      <c r="L35" s="635">
        <v>1.1399082568807339</v>
      </c>
      <c r="M35" s="635">
        <v>22</v>
      </c>
      <c r="N35" s="635">
        <v>542</v>
      </c>
      <c r="O35" s="635">
        <v>11924</v>
      </c>
      <c r="P35" s="657">
        <v>1.2431192660550459</v>
      </c>
      <c r="Q35" s="636">
        <v>22</v>
      </c>
    </row>
    <row r="36" spans="1:17" ht="14.4" customHeight="1" x14ac:dyDescent="0.3">
      <c r="A36" s="631" t="s">
        <v>2710</v>
      </c>
      <c r="B36" s="632" t="s">
        <v>2711</v>
      </c>
      <c r="C36" s="632" t="s">
        <v>2110</v>
      </c>
      <c r="D36" s="632" t="s">
        <v>2726</v>
      </c>
      <c r="E36" s="632" t="s">
        <v>2727</v>
      </c>
      <c r="F36" s="635">
        <v>5</v>
      </c>
      <c r="G36" s="635">
        <v>340</v>
      </c>
      <c r="H36" s="635">
        <v>1</v>
      </c>
      <c r="I36" s="635">
        <v>68</v>
      </c>
      <c r="J36" s="635"/>
      <c r="K36" s="635"/>
      <c r="L36" s="635"/>
      <c r="M36" s="635"/>
      <c r="N36" s="635">
        <v>4</v>
      </c>
      <c r="O36" s="635">
        <v>272</v>
      </c>
      <c r="P36" s="657">
        <v>0.8</v>
      </c>
      <c r="Q36" s="636">
        <v>68</v>
      </c>
    </row>
    <row r="37" spans="1:17" ht="14.4" customHeight="1" x14ac:dyDescent="0.3">
      <c r="A37" s="631" t="s">
        <v>2710</v>
      </c>
      <c r="B37" s="632" t="s">
        <v>2711</v>
      </c>
      <c r="C37" s="632" t="s">
        <v>2110</v>
      </c>
      <c r="D37" s="632" t="s">
        <v>2728</v>
      </c>
      <c r="E37" s="632" t="s">
        <v>2729</v>
      </c>
      <c r="F37" s="635">
        <v>3</v>
      </c>
      <c r="G37" s="635">
        <v>186</v>
      </c>
      <c r="H37" s="635">
        <v>1</v>
      </c>
      <c r="I37" s="635">
        <v>62</v>
      </c>
      <c r="J37" s="635">
        <v>1</v>
      </c>
      <c r="K37" s="635">
        <v>62</v>
      </c>
      <c r="L37" s="635">
        <v>0.33333333333333331</v>
      </c>
      <c r="M37" s="635">
        <v>62</v>
      </c>
      <c r="N37" s="635">
        <v>3</v>
      </c>
      <c r="O37" s="635">
        <v>186</v>
      </c>
      <c r="P37" s="657">
        <v>1</v>
      </c>
      <c r="Q37" s="636">
        <v>62</v>
      </c>
    </row>
    <row r="38" spans="1:17" ht="14.4" customHeight="1" x14ac:dyDescent="0.3">
      <c r="A38" s="631" t="s">
        <v>2710</v>
      </c>
      <c r="B38" s="632" t="s">
        <v>2711</v>
      </c>
      <c r="C38" s="632" t="s">
        <v>2110</v>
      </c>
      <c r="D38" s="632" t="s">
        <v>2730</v>
      </c>
      <c r="E38" s="632" t="s">
        <v>2731</v>
      </c>
      <c r="F38" s="635">
        <v>624</v>
      </c>
      <c r="G38" s="635">
        <v>38064</v>
      </c>
      <c r="H38" s="635">
        <v>1</v>
      </c>
      <c r="I38" s="635">
        <v>61</v>
      </c>
      <c r="J38" s="635">
        <v>621</v>
      </c>
      <c r="K38" s="635">
        <v>37881</v>
      </c>
      <c r="L38" s="635">
        <v>0.99519230769230771</v>
      </c>
      <c r="M38" s="635">
        <v>61</v>
      </c>
      <c r="N38" s="635">
        <v>739</v>
      </c>
      <c r="O38" s="635">
        <v>45079</v>
      </c>
      <c r="P38" s="657">
        <v>1.1842948717948718</v>
      </c>
      <c r="Q38" s="636">
        <v>61</v>
      </c>
    </row>
    <row r="39" spans="1:17" ht="14.4" customHeight="1" x14ac:dyDescent="0.3">
      <c r="A39" s="631" t="s">
        <v>2710</v>
      </c>
      <c r="B39" s="632" t="s">
        <v>2711</v>
      </c>
      <c r="C39" s="632" t="s">
        <v>2110</v>
      </c>
      <c r="D39" s="632" t="s">
        <v>2732</v>
      </c>
      <c r="E39" s="632" t="s">
        <v>2733</v>
      </c>
      <c r="F39" s="635"/>
      <c r="G39" s="635"/>
      <c r="H39" s="635"/>
      <c r="I39" s="635"/>
      <c r="J39" s="635"/>
      <c r="K39" s="635"/>
      <c r="L39" s="635"/>
      <c r="M39" s="635"/>
      <c r="N39" s="635">
        <v>14</v>
      </c>
      <c r="O39" s="635">
        <v>1134</v>
      </c>
      <c r="P39" s="657"/>
      <c r="Q39" s="636">
        <v>81</v>
      </c>
    </row>
    <row r="40" spans="1:17" ht="14.4" customHeight="1" x14ac:dyDescent="0.3">
      <c r="A40" s="631" t="s">
        <v>2710</v>
      </c>
      <c r="B40" s="632" t="s">
        <v>2711</v>
      </c>
      <c r="C40" s="632" t="s">
        <v>2110</v>
      </c>
      <c r="D40" s="632" t="s">
        <v>2734</v>
      </c>
      <c r="E40" s="632" t="s">
        <v>2735</v>
      </c>
      <c r="F40" s="635">
        <v>38</v>
      </c>
      <c r="G40" s="635">
        <v>37506</v>
      </c>
      <c r="H40" s="635">
        <v>1</v>
      </c>
      <c r="I40" s="635">
        <v>987</v>
      </c>
      <c r="J40" s="635">
        <v>38</v>
      </c>
      <c r="K40" s="635">
        <v>37506</v>
      </c>
      <c r="L40" s="635">
        <v>1</v>
      </c>
      <c r="M40" s="635">
        <v>987</v>
      </c>
      <c r="N40" s="635">
        <v>39</v>
      </c>
      <c r="O40" s="635">
        <v>38493</v>
      </c>
      <c r="P40" s="657">
        <v>1.0263157894736843</v>
      </c>
      <c r="Q40" s="636">
        <v>987</v>
      </c>
    </row>
    <row r="41" spans="1:17" ht="14.4" customHeight="1" x14ac:dyDescent="0.3">
      <c r="A41" s="631" t="s">
        <v>2710</v>
      </c>
      <c r="B41" s="632" t="s">
        <v>2711</v>
      </c>
      <c r="C41" s="632" t="s">
        <v>2110</v>
      </c>
      <c r="D41" s="632" t="s">
        <v>2736</v>
      </c>
      <c r="E41" s="632" t="s">
        <v>2737</v>
      </c>
      <c r="F41" s="635"/>
      <c r="G41" s="635"/>
      <c r="H41" s="635"/>
      <c r="I41" s="635"/>
      <c r="J41" s="635">
        <v>1</v>
      </c>
      <c r="K41" s="635">
        <v>82</v>
      </c>
      <c r="L41" s="635"/>
      <c r="M41" s="635">
        <v>82</v>
      </c>
      <c r="N41" s="635">
        <v>12</v>
      </c>
      <c r="O41" s="635">
        <v>984</v>
      </c>
      <c r="P41" s="657"/>
      <c r="Q41" s="636">
        <v>82</v>
      </c>
    </row>
    <row r="42" spans="1:17" ht="14.4" customHeight="1" x14ac:dyDescent="0.3">
      <c r="A42" s="631" t="s">
        <v>2710</v>
      </c>
      <c r="B42" s="632" t="s">
        <v>2711</v>
      </c>
      <c r="C42" s="632" t="s">
        <v>2110</v>
      </c>
      <c r="D42" s="632" t="s">
        <v>2738</v>
      </c>
      <c r="E42" s="632" t="s">
        <v>2739</v>
      </c>
      <c r="F42" s="635">
        <v>3</v>
      </c>
      <c r="G42" s="635">
        <v>189</v>
      </c>
      <c r="H42" s="635">
        <v>1</v>
      </c>
      <c r="I42" s="635">
        <v>63</v>
      </c>
      <c r="J42" s="635">
        <v>11</v>
      </c>
      <c r="K42" s="635">
        <v>693</v>
      </c>
      <c r="L42" s="635">
        <v>3.6666666666666665</v>
      </c>
      <c r="M42" s="635">
        <v>63</v>
      </c>
      <c r="N42" s="635">
        <v>4</v>
      </c>
      <c r="O42" s="635">
        <v>252</v>
      </c>
      <c r="P42" s="657">
        <v>1.3333333333333333</v>
      </c>
      <c r="Q42" s="636">
        <v>63</v>
      </c>
    </row>
    <row r="43" spans="1:17" ht="14.4" customHeight="1" x14ac:dyDescent="0.3">
      <c r="A43" s="631" t="s">
        <v>2710</v>
      </c>
      <c r="B43" s="632" t="s">
        <v>2711</v>
      </c>
      <c r="C43" s="632" t="s">
        <v>2110</v>
      </c>
      <c r="D43" s="632" t="s">
        <v>2740</v>
      </c>
      <c r="E43" s="632" t="s">
        <v>2741</v>
      </c>
      <c r="F43" s="635">
        <v>182</v>
      </c>
      <c r="G43" s="635">
        <v>3094</v>
      </c>
      <c r="H43" s="635">
        <v>1</v>
      </c>
      <c r="I43" s="635">
        <v>17</v>
      </c>
      <c r="J43" s="635">
        <v>168</v>
      </c>
      <c r="K43" s="635">
        <v>2856</v>
      </c>
      <c r="L43" s="635">
        <v>0.92307692307692313</v>
      </c>
      <c r="M43" s="635">
        <v>17</v>
      </c>
      <c r="N43" s="635">
        <v>193</v>
      </c>
      <c r="O43" s="635">
        <v>3281</v>
      </c>
      <c r="P43" s="657">
        <v>1.0604395604395604</v>
      </c>
      <c r="Q43" s="636">
        <v>17</v>
      </c>
    </row>
    <row r="44" spans="1:17" ht="14.4" customHeight="1" x14ac:dyDescent="0.3">
      <c r="A44" s="631" t="s">
        <v>2710</v>
      </c>
      <c r="B44" s="632" t="s">
        <v>2711</v>
      </c>
      <c r="C44" s="632" t="s">
        <v>2110</v>
      </c>
      <c r="D44" s="632" t="s">
        <v>2742</v>
      </c>
      <c r="E44" s="632" t="s">
        <v>2743</v>
      </c>
      <c r="F44" s="635"/>
      <c r="G44" s="635"/>
      <c r="H44" s="635"/>
      <c r="I44" s="635"/>
      <c r="J44" s="635">
        <v>1</v>
      </c>
      <c r="K44" s="635">
        <v>63</v>
      </c>
      <c r="L44" s="635"/>
      <c r="M44" s="635">
        <v>63</v>
      </c>
      <c r="N44" s="635"/>
      <c r="O44" s="635"/>
      <c r="P44" s="657"/>
      <c r="Q44" s="636"/>
    </row>
    <row r="45" spans="1:17" ht="14.4" customHeight="1" x14ac:dyDescent="0.3">
      <c r="A45" s="631" t="s">
        <v>2710</v>
      </c>
      <c r="B45" s="632" t="s">
        <v>2711</v>
      </c>
      <c r="C45" s="632" t="s">
        <v>2110</v>
      </c>
      <c r="D45" s="632" t="s">
        <v>2744</v>
      </c>
      <c r="E45" s="632" t="s">
        <v>2745</v>
      </c>
      <c r="F45" s="635">
        <v>2</v>
      </c>
      <c r="G45" s="635">
        <v>94</v>
      </c>
      <c r="H45" s="635">
        <v>1</v>
      </c>
      <c r="I45" s="635">
        <v>47</v>
      </c>
      <c r="J45" s="635">
        <v>2</v>
      </c>
      <c r="K45" s="635">
        <v>94</v>
      </c>
      <c r="L45" s="635">
        <v>1</v>
      </c>
      <c r="M45" s="635">
        <v>47</v>
      </c>
      <c r="N45" s="635">
        <v>1</v>
      </c>
      <c r="O45" s="635">
        <v>47</v>
      </c>
      <c r="P45" s="657">
        <v>0.5</v>
      </c>
      <c r="Q45" s="636">
        <v>47</v>
      </c>
    </row>
    <row r="46" spans="1:17" ht="14.4" customHeight="1" x14ac:dyDescent="0.3">
      <c r="A46" s="631" t="s">
        <v>2710</v>
      </c>
      <c r="B46" s="632" t="s">
        <v>2711</v>
      </c>
      <c r="C46" s="632" t="s">
        <v>2110</v>
      </c>
      <c r="D46" s="632" t="s">
        <v>2746</v>
      </c>
      <c r="E46" s="632" t="s">
        <v>2747</v>
      </c>
      <c r="F46" s="635"/>
      <c r="G46" s="635"/>
      <c r="H46" s="635"/>
      <c r="I46" s="635"/>
      <c r="J46" s="635">
        <v>1</v>
      </c>
      <c r="K46" s="635">
        <v>60</v>
      </c>
      <c r="L46" s="635"/>
      <c r="M46" s="635">
        <v>60</v>
      </c>
      <c r="N46" s="635">
        <v>2</v>
      </c>
      <c r="O46" s="635">
        <v>120</v>
      </c>
      <c r="P46" s="657"/>
      <c r="Q46" s="636">
        <v>60</v>
      </c>
    </row>
    <row r="47" spans="1:17" ht="14.4" customHeight="1" x14ac:dyDescent="0.3">
      <c r="A47" s="631" t="s">
        <v>2710</v>
      </c>
      <c r="B47" s="632" t="s">
        <v>2711</v>
      </c>
      <c r="C47" s="632" t="s">
        <v>2110</v>
      </c>
      <c r="D47" s="632" t="s">
        <v>2748</v>
      </c>
      <c r="E47" s="632" t="s">
        <v>2749</v>
      </c>
      <c r="F47" s="635"/>
      <c r="G47" s="635"/>
      <c r="H47" s="635"/>
      <c r="I47" s="635"/>
      <c r="J47" s="635"/>
      <c r="K47" s="635"/>
      <c r="L47" s="635"/>
      <c r="M47" s="635"/>
      <c r="N47" s="635">
        <v>1</v>
      </c>
      <c r="O47" s="635">
        <v>96</v>
      </c>
      <c r="P47" s="657"/>
      <c r="Q47" s="636">
        <v>96</v>
      </c>
    </row>
    <row r="48" spans="1:17" ht="14.4" customHeight="1" x14ac:dyDescent="0.3">
      <c r="A48" s="631" t="s">
        <v>2710</v>
      </c>
      <c r="B48" s="632" t="s">
        <v>2711</v>
      </c>
      <c r="C48" s="632" t="s">
        <v>2110</v>
      </c>
      <c r="D48" s="632" t="s">
        <v>2750</v>
      </c>
      <c r="E48" s="632" t="s">
        <v>2751</v>
      </c>
      <c r="F48" s="635"/>
      <c r="G48" s="635"/>
      <c r="H48" s="635"/>
      <c r="I48" s="635"/>
      <c r="J48" s="635"/>
      <c r="K48" s="635"/>
      <c r="L48" s="635"/>
      <c r="M48" s="635"/>
      <c r="N48" s="635">
        <v>1</v>
      </c>
      <c r="O48" s="635">
        <v>60</v>
      </c>
      <c r="P48" s="657"/>
      <c r="Q48" s="636">
        <v>60</v>
      </c>
    </row>
    <row r="49" spans="1:17" ht="14.4" customHeight="1" x14ac:dyDescent="0.3">
      <c r="A49" s="631" t="s">
        <v>2710</v>
      </c>
      <c r="B49" s="632" t="s">
        <v>2711</v>
      </c>
      <c r="C49" s="632" t="s">
        <v>2110</v>
      </c>
      <c r="D49" s="632" t="s">
        <v>2752</v>
      </c>
      <c r="E49" s="632" t="s">
        <v>2753</v>
      </c>
      <c r="F49" s="635">
        <v>4</v>
      </c>
      <c r="G49" s="635">
        <v>3400</v>
      </c>
      <c r="H49" s="635">
        <v>1</v>
      </c>
      <c r="I49" s="635">
        <v>850</v>
      </c>
      <c r="J49" s="635">
        <v>12</v>
      </c>
      <c r="K49" s="635">
        <v>10212</v>
      </c>
      <c r="L49" s="635">
        <v>3.0035294117647058</v>
      </c>
      <c r="M49" s="635">
        <v>851</v>
      </c>
      <c r="N49" s="635">
        <v>11</v>
      </c>
      <c r="O49" s="635">
        <v>9361</v>
      </c>
      <c r="P49" s="657">
        <v>2.7532352941176472</v>
      </c>
      <c r="Q49" s="636">
        <v>851</v>
      </c>
    </row>
    <row r="50" spans="1:17" ht="14.4" customHeight="1" x14ac:dyDescent="0.3">
      <c r="A50" s="631" t="s">
        <v>2710</v>
      </c>
      <c r="B50" s="632" t="s">
        <v>2711</v>
      </c>
      <c r="C50" s="632" t="s">
        <v>2110</v>
      </c>
      <c r="D50" s="632" t="s">
        <v>2754</v>
      </c>
      <c r="E50" s="632" t="s">
        <v>2755</v>
      </c>
      <c r="F50" s="635"/>
      <c r="G50" s="635"/>
      <c r="H50" s="635"/>
      <c r="I50" s="635"/>
      <c r="J50" s="635">
        <v>3</v>
      </c>
      <c r="K50" s="635">
        <v>498</v>
      </c>
      <c r="L50" s="635"/>
      <c r="M50" s="635">
        <v>166</v>
      </c>
      <c r="N50" s="635"/>
      <c r="O50" s="635"/>
      <c r="P50" s="657"/>
      <c r="Q50" s="636"/>
    </row>
    <row r="51" spans="1:17" ht="14.4" customHeight="1" x14ac:dyDescent="0.3">
      <c r="A51" s="631" t="s">
        <v>2710</v>
      </c>
      <c r="B51" s="632" t="s">
        <v>2711</v>
      </c>
      <c r="C51" s="632" t="s">
        <v>2110</v>
      </c>
      <c r="D51" s="632" t="s">
        <v>2756</v>
      </c>
      <c r="E51" s="632" t="s">
        <v>2757</v>
      </c>
      <c r="F51" s="635"/>
      <c r="G51" s="635"/>
      <c r="H51" s="635"/>
      <c r="I51" s="635"/>
      <c r="J51" s="635"/>
      <c r="K51" s="635"/>
      <c r="L51" s="635"/>
      <c r="M51" s="635"/>
      <c r="N51" s="635">
        <v>1</v>
      </c>
      <c r="O51" s="635">
        <v>165</v>
      </c>
      <c r="P51" s="657"/>
      <c r="Q51" s="636">
        <v>165</v>
      </c>
    </row>
    <row r="52" spans="1:17" ht="14.4" customHeight="1" x14ac:dyDescent="0.3">
      <c r="A52" s="631" t="s">
        <v>2710</v>
      </c>
      <c r="B52" s="632" t="s">
        <v>2711</v>
      </c>
      <c r="C52" s="632" t="s">
        <v>2110</v>
      </c>
      <c r="D52" s="632" t="s">
        <v>2758</v>
      </c>
      <c r="E52" s="632" t="s">
        <v>2759</v>
      </c>
      <c r="F52" s="635"/>
      <c r="G52" s="635"/>
      <c r="H52" s="635"/>
      <c r="I52" s="635"/>
      <c r="J52" s="635"/>
      <c r="K52" s="635"/>
      <c r="L52" s="635"/>
      <c r="M52" s="635"/>
      <c r="N52" s="635">
        <v>1</v>
      </c>
      <c r="O52" s="635">
        <v>308</v>
      </c>
      <c r="P52" s="657"/>
      <c r="Q52" s="636">
        <v>308</v>
      </c>
    </row>
    <row r="53" spans="1:17" ht="14.4" customHeight="1" x14ac:dyDescent="0.3">
      <c r="A53" s="631" t="s">
        <v>2710</v>
      </c>
      <c r="B53" s="632" t="s">
        <v>2711</v>
      </c>
      <c r="C53" s="632" t="s">
        <v>2110</v>
      </c>
      <c r="D53" s="632" t="s">
        <v>2760</v>
      </c>
      <c r="E53" s="632" t="s">
        <v>2761</v>
      </c>
      <c r="F53" s="635"/>
      <c r="G53" s="635"/>
      <c r="H53" s="635"/>
      <c r="I53" s="635"/>
      <c r="J53" s="635"/>
      <c r="K53" s="635"/>
      <c r="L53" s="635"/>
      <c r="M53" s="635"/>
      <c r="N53" s="635">
        <v>1</v>
      </c>
      <c r="O53" s="635">
        <v>1210</v>
      </c>
      <c r="P53" s="657"/>
      <c r="Q53" s="636">
        <v>1210</v>
      </c>
    </row>
    <row r="54" spans="1:17" ht="14.4" customHeight="1" x14ac:dyDescent="0.3">
      <c r="A54" s="631" t="s">
        <v>2710</v>
      </c>
      <c r="B54" s="632" t="s">
        <v>2711</v>
      </c>
      <c r="C54" s="632" t="s">
        <v>2110</v>
      </c>
      <c r="D54" s="632" t="s">
        <v>2762</v>
      </c>
      <c r="E54" s="632" t="s">
        <v>2763</v>
      </c>
      <c r="F54" s="635">
        <v>9</v>
      </c>
      <c r="G54" s="635">
        <v>7038</v>
      </c>
      <c r="H54" s="635">
        <v>1</v>
      </c>
      <c r="I54" s="635">
        <v>782</v>
      </c>
      <c r="J54" s="635">
        <v>54</v>
      </c>
      <c r="K54" s="635">
        <v>42282</v>
      </c>
      <c r="L54" s="635">
        <v>6.0076726342711</v>
      </c>
      <c r="M54" s="635">
        <v>783</v>
      </c>
      <c r="N54" s="635">
        <v>51</v>
      </c>
      <c r="O54" s="635">
        <v>39933</v>
      </c>
      <c r="P54" s="657">
        <v>5.6739130434782608</v>
      </c>
      <c r="Q54" s="636">
        <v>783</v>
      </c>
    </row>
    <row r="55" spans="1:17" ht="14.4" customHeight="1" x14ac:dyDescent="0.3">
      <c r="A55" s="631" t="s">
        <v>2710</v>
      </c>
      <c r="B55" s="632" t="s">
        <v>2711</v>
      </c>
      <c r="C55" s="632" t="s">
        <v>2110</v>
      </c>
      <c r="D55" s="632" t="s">
        <v>2764</v>
      </c>
      <c r="E55" s="632" t="s">
        <v>2765</v>
      </c>
      <c r="F55" s="635"/>
      <c r="G55" s="635"/>
      <c r="H55" s="635"/>
      <c r="I55" s="635"/>
      <c r="J55" s="635"/>
      <c r="K55" s="635"/>
      <c r="L55" s="635"/>
      <c r="M55" s="635"/>
      <c r="N55" s="635">
        <v>1</v>
      </c>
      <c r="O55" s="635">
        <v>362</v>
      </c>
      <c r="P55" s="657"/>
      <c r="Q55" s="636">
        <v>362</v>
      </c>
    </row>
    <row r="56" spans="1:17" ht="14.4" customHeight="1" x14ac:dyDescent="0.3">
      <c r="A56" s="631" t="s">
        <v>2710</v>
      </c>
      <c r="B56" s="632" t="s">
        <v>2711</v>
      </c>
      <c r="C56" s="632" t="s">
        <v>2110</v>
      </c>
      <c r="D56" s="632" t="s">
        <v>2766</v>
      </c>
      <c r="E56" s="632" t="s">
        <v>2767</v>
      </c>
      <c r="F56" s="635"/>
      <c r="G56" s="635"/>
      <c r="H56" s="635"/>
      <c r="I56" s="635"/>
      <c r="J56" s="635">
        <v>1</v>
      </c>
      <c r="K56" s="635">
        <v>88</v>
      </c>
      <c r="L56" s="635"/>
      <c r="M56" s="635">
        <v>88</v>
      </c>
      <c r="N56" s="635">
        <v>8</v>
      </c>
      <c r="O56" s="635">
        <v>704</v>
      </c>
      <c r="P56" s="657"/>
      <c r="Q56" s="636">
        <v>88</v>
      </c>
    </row>
    <row r="57" spans="1:17" ht="14.4" customHeight="1" x14ac:dyDescent="0.3">
      <c r="A57" s="631" t="s">
        <v>2710</v>
      </c>
      <c r="B57" s="632" t="s">
        <v>2711</v>
      </c>
      <c r="C57" s="632" t="s">
        <v>2110</v>
      </c>
      <c r="D57" s="632" t="s">
        <v>2768</v>
      </c>
      <c r="E57" s="632" t="s">
        <v>2769</v>
      </c>
      <c r="F57" s="635">
        <v>609</v>
      </c>
      <c r="G57" s="635">
        <v>17661</v>
      </c>
      <c r="H57" s="635">
        <v>1</v>
      </c>
      <c r="I57" s="635">
        <v>29</v>
      </c>
      <c r="J57" s="635">
        <v>577</v>
      </c>
      <c r="K57" s="635">
        <v>16733</v>
      </c>
      <c r="L57" s="635">
        <v>0.9474548440065681</v>
      </c>
      <c r="M57" s="635">
        <v>29</v>
      </c>
      <c r="N57" s="635">
        <v>608</v>
      </c>
      <c r="O57" s="635">
        <v>17632</v>
      </c>
      <c r="P57" s="657">
        <v>0.99835796387520526</v>
      </c>
      <c r="Q57" s="636">
        <v>29</v>
      </c>
    </row>
    <row r="58" spans="1:17" ht="14.4" customHeight="1" x14ac:dyDescent="0.3">
      <c r="A58" s="631" t="s">
        <v>2710</v>
      </c>
      <c r="B58" s="632" t="s">
        <v>2711</v>
      </c>
      <c r="C58" s="632" t="s">
        <v>2110</v>
      </c>
      <c r="D58" s="632" t="s">
        <v>2770</v>
      </c>
      <c r="E58" s="632" t="s">
        <v>2771</v>
      </c>
      <c r="F58" s="635"/>
      <c r="G58" s="635"/>
      <c r="H58" s="635"/>
      <c r="I58" s="635"/>
      <c r="J58" s="635">
        <v>1</v>
      </c>
      <c r="K58" s="635">
        <v>50</v>
      </c>
      <c r="L58" s="635"/>
      <c r="M58" s="635">
        <v>50</v>
      </c>
      <c r="N58" s="635">
        <v>2</v>
      </c>
      <c r="O58" s="635">
        <v>100</v>
      </c>
      <c r="P58" s="657"/>
      <c r="Q58" s="636">
        <v>50</v>
      </c>
    </row>
    <row r="59" spans="1:17" ht="14.4" customHeight="1" x14ac:dyDescent="0.3">
      <c r="A59" s="631" t="s">
        <v>2710</v>
      </c>
      <c r="B59" s="632" t="s">
        <v>2711</v>
      </c>
      <c r="C59" s="632" t="s">
        <v>2110</v>
      </c>
      <c r="D59" s="632" t="s">
        <v>2772</v>
      </c>
      <c r="E59" s="632" t="s">
        <v>2773</v>
      </c>
      <c r="F59" s="635">
        <v>128</v>
      </c>
      <c r="G59" s="635">
        <v>1536</v>
      </c>
      <c r="H59" s="635">
        <v>1</v>
      </c>
      <c r="I59" s="635">
        <v>12</v>
      </c>
      <c r="J59" s="635">
        <v>100</v>
      </c>
      <c r="K59" s="635">
        <v>1200</v>
      </c>
      <c r="L59" s="635">
        <v>0.78125</v>
      </c>
      <c r="M59" s="635">
        <v>12</v>
      </c>
      <c r="N59" s="635">
        <v>125</v>
      </c>
      <c r="O59" s="635">
        <v>1500</v>
      </c>
      <c r="P59" s="657">
        <v>0.9765625</v>
      </c>
      <c r="Q59" s="636">
        <v>12</v>
      </c>
    </row>
    <row r="60" spans="1:17" ht="14.4" customHeight="1" x14ac:dyDescent="0.3">
      <c r="A60" s="631" t="s">
        <v>2710</v>
      </c>
      <c r="B60" s="632" t="s">
        <v>2711</v>
      </c>
      <c r="C60" s="632" t="s">
        <v>2110</v>
      </c>
      <c r="D60" s="632" t="s">
        <v>2774</v>
      </c>
      <c r="E60" s="632" t="s">
        <v>2775</v>
      </c>
      <c r="F60" s="635">
        <v>1</v>
      </c>
      <c r="G60" s="635">
        <v>180</v>
      </c>
      <c r="H60" s="635">
        <v>1</v>
      </c>
      <c r="I60" s="635">
        <v>180</v>
      </c>
      <c r="J60" s="635"/>
      <c r="K60" s="635"/>
      <c r="L60" s="635"/>
      <c r="M60" s="635"/>
      <c r="N60" s="635">
        <v>1</v>
      </c>
      <c r="O60" s="635">
        <v>181</v>
      </c>
      <c r="P60" s="657">
        <v>1.0055555555555555</v>
      </c>
      <c r="Q60" s="636">
        <v>181</v>
      </c>
    </row>
    <row r="61" spans="1:17" ht="14.4" customHeight="1" x14ac:dyDescent="0.3">
      <c r="A61" s="631" t="s">
        <v>2710</v>
      </c>
      <c r="B61" s="632" t="s">
        <v>2711</v>
      </c>
      <c r="C61" s="632" t="s">
        <v>2110</v>
      </c>
      <c r="D61" s="632" t="s">
        <v>2776</v>
      </c>
      <c r="E61" s="632" t="s">
        <v>2777</v>
      </c>
      <c r="F61" s="635">
        <v>666</v>
      </c>
      <c r="G61" s="635">
        <v>47286</v>
      </c>
      <c r="H61" s="635">
        <v>1</v>
      </c>
      <c r="I61" s="635">
        <v>71</v>
      </c>
      <c r="J61" s="635">
        <v>1009</v>
      </c>
      <c r="K61" s="635">
        <v>71639</v>
      </c>
      <c r="L61" s="635">
        <v>1.515015015015015</v>
      </c>
      <c r="M61" s="635">
        <v>71</v>
      </c>
      <c r="N61" s="635">
        <v>825</v>
      </c>
      <c r="O61" s="635">
        <v>58575</v>
      </c>
      <c r="P61" s="657">
        <v>1.2387387387387387</v>
      </c>
      <c r="Q61" s="636">
        <v>71</v>
      </c>
    </row>
    <row r="62" spans="1:17" ht="14.4" customHeight="1" x14ac:dyDescent="0.3">
      <c r="A62" s="631" t="s">
        <v>2710</v>
      </c>
      <c r="B62" s="632" t="s">
        <v>2711</v>
      </c>
      <c r="C62" s="632" t="s">
        <v>2110</v>
      </c>
      <c r="D62" s="632" t="s">
        <v>2778</v>
      </c>
      <c r="E62" s="632" t="s">
        <v>2779</v>
      </c>
      <c r="F62" s="635">
        <v>361</v>
      </c>
      <c r="G62" s="635">
        <v>53067</v>
      </c>
      <c r="H62" s="635">
        <v>1</v>
      </c>
      <c r="I62" s="635">
        <v>147</v>
      </c>
      <c r="J62" s="635">
        <v>460</v>
      </c>
      <c r="K62" s="635">
        <v>67620</v>
      </c>
      <c r="L62" s="635">
        <v>1.2742382271468145</v>
      </c>
      <c r="M62" s="635">
        <v>147</v>
      </c>
      <c r="N62" s="635">
        <v>435</v>
      </c>
      <c r="O62" s="635">
        <v>63945</v>
      </c>
      <c r="P62" s="657">
        <v>1.2049861495844876</v>
      </c>
      <c r="Q62" s="636">
        <v>147</v>
      </c>
    </row>
    <row r="63" spans="1:17" ht="14.4" customHeight="1" x14ac:dyDescent="0.3">
      <c r="A63" s="631" t="s">
        <v>2710</v>
      </c>
      <c r="B63" s="632" t="s">
        <v>2711</v>
      </c>
      <c r="C63" s="632" t="s">
        <v>2110</v>
      </c>
      <c r="D63" s="632" t="s">
        <v>2780</v>
      </c>
      <c r="E63" s="632" t="s">
        <v>2781</v>
      </c>
      <c r="F63" s="635">
        <v>1098</v>
      </c>
      <c r="G63" s="635">
        <v>31842</v>
      </c>
      <c r="H63" s="635">
        <v>1</v>
      </c>
      <c r="I63" s="635">
        <v>29</v>
      </c>
      <c r="J63" s="635">
        <v>1251</v>
      </c>
      <c r="K63" s="635">
        <v>36279</v>
      </c>
      <c r="L63" s="635">
        <v>1.139344262295082</v>
      </c>
      <c r="M63" s="635">
        <v>29</v>
      </c>
      <c r="N63" s="635">
        <v>1158</v>
      </c>
      <c r="O63" s="635">
        <v>33582</v>
      </c>
      <c r="P63" s="657">
        <v>1.0546448087431695</v>
      </c>
      <c r="Q63" s="636">
        <v>29</v>
      </c>
    </row>
    <row r="64" spans="1:17" ht="14.4" customHeight="1" x14ac:dyDescent="0.3">
      <c r="A64" s="631" t="s">
        <v>2710</v>
      </c>
      <c r="B64" s="632" t="s">
        <v>2711</v>
      </c>
      <c r="C64" s="632" t="s">
        <v>2110</v>
      </c>
      <c r="D64" s="632" t="s">
        <v>2782</v>
      </c>
      <c r="E64" s="632" t="s">
        <v>2783</v>
      </c>
      <c r="F64" s="635">
        <v>63</v>
      </c>
      <c r="G64" s="635">
        <v>1953</v>
      </c>
      <c r="H64" s="635">
        <v>1</v>
      </c>
      <c r="I64" s="635">
        <v>31</v>
      </c>
      <c r="J64" s="635">
        <v>70</v>
      </c>
      <c r="K64" s="635">
        <v>2170</v>
      </c>
      <c r="L64" s="635">
        <v>1.1111111111111112</v>
      </c>
      <c r="M64" s="635">
        <v>31</v>
      </c>
      <c r="N64" s="635">
        <v>74</v>
      </c>
      <c r="O64" s="635">
        <v>2294</v>
      </c>
      <c r="P64" s="657">
        <v>1.1746031746031746</v>
      </c>
      <c r="Q64" s="636">
        <v>31</v>
      </c>
    </row>
    <row r="65" spans="1:17" ht="14.4" customHeight="1" x14ac:dyDescent="0.3">
      <c r="A65" s="631" t="s">
        <v>2710</v>
      </c>
      <c r="B65" s="632" t="s">
        <v>2711</v>
      </c>
      <c r="C65" s="632" t="s">
        <v>2110</v>
      </c>
      <c r="D65" s="632" t="s">
        <v>2784</v>
      </c>
      <c r="E65" s="632" t="s">
        <v>2785</v>
      </c>
      <c r="F65" s="635">
        <v>62</v>
      </c>
      <c r="G65" s="635">
        <v>1674</v>
      </c>
      <c r="H65" s="635">
        <v>1</v>
      </c>
      <c r="I65" s="635">
        <v>27</v>
      </c>
      <c r="J65" s="635">
        <v>68</v>
      </c>
      <c r="K65" s="635">
        <v>1836</v>
      </c>
      <c r="L65" s="635">
        <v>1.096774193548387</v>
      </c>
      <c r="M65" s="635">
        <v>27</v>
      </c>
      <c r="N65" s="635">
        <v>83</v>
      </c>
      <c r="O65" s="635">
        <v>2241</v>
      </c>
      <c r="P65" s="657">
        <v>1.3387096774193548</v>
      </c>
      <c r="Q65" s="636">
        <v>27</v>
      </c>
    </row>
    <row r="66" spans="1:17" ht="14.4" customHeight="1" x14ac:dyDescent="0.3">
      <c r="A66" s="631" t="s">
        <v>2710</v>
      </c>
      <c r="B66" s="632" t="s">
        <v>2711</v>
      </c>
      <c r="C66" s="632" t="s">
        <v>2110</v>
      </c>
      <c r="D66" s="632" t="s">
        <v>2786</v>
      </c>
      <c r="E66" s="632" t="s">
        <v>2787</v>
      </c>
      <c r="F66" s="635">
        <v>1</v>
      </c>
      <c r="G66" s="635">
        <v>22</v>
      </c>
      <c r="H66" s="635">
        <v>1</v>
      </c>
      <c r="I66" s="635">
        <v>22</v>
      </c>
      <c r="J66" s="635">
        <v>1</v>
      </c>
      <c r="K66" s="635">
        <v>22</v>
      </c>
      <c r="L66" s="635">
        <v>1</v>
      </c>
      <c r="M66" s="635">
        <v>22</v>
      </c>
      <c r="N66" s="635">
        <v>1</v>
      </c>
      <c r="O66" s="635">
        <v>22</v>
      </c>
      <c r="P66" s="657">
        <v>1</v>
      </c>
      <c r="Q66" s="636">
        <v>22</v>
      </c>
    </row>
    <row r="67" spans="1:17" ht="14.4" customHeight="1" x14ac:dyDescent="0.3">
      <c r="A67" s="631" t="s">
        <v>2710</v>
      </c>
      <c r="B67" s="632" t="s">
        <v>2711</v>
      </c>
      <c r="C67" s="632" t="s">
        <v>2110</v>
      </c>
      <c r="D67" s="632" t="s">
        <v>2788</v>
      </c>
      <c r="E67" s="632" t="s">
        <v>2789</v>
      </c>
      <c r="F67" s="635">
        <v>380</v>
      </c>
      <c r="G67" s="635">
        <v>9500</v>
      </c>
      <c r="H67" s="635">
        <v>1</v>
      </c>
      <c r="I67" s="635">
        <v>25</v>
      </c>
      <c r="J67" s="635">
        <v>450</v>
      </c>
      <c r="K67" s="635">
        <v>11250</v>
      </c>
      <c r="L67" s="635">
        <v>1.1842105263157894</v>
      </c>
      <c r="M67" s="635">
        <v>25</v>
      </c>
      <c r="N67" s="635">
        <v>393</v>
      </c>
      <c r="O67" s="635">
        <v>9825</v>
      </c>
      <c r="P67" s="657">
        <v>1.0342105263157895</v>
      </c>
      <c r="Q67" s="636">
        <v>25</v>
      </c>
    </row>
    <row r="68" spans="1:17" ht="14.4" customHeight="1" x14ac:dyDescent="0.3">
      <c r="A68" s="631" t="s">
        <v>2710</v>
      </c>
      <c r="B68" s="632" t="s">
        <v>2711</v>
      </c>
      <c r="C68" s="632" t="s">
        <v>2110</v>
      </c>
      <c r="D68" s="632" t="s">
        <v>2790</v>
      </c>
      <c r="E68" s="632" t="s">
        <v>2791</v>
      </c>
      <c r="F68" s="635">
        <v>2</v>
      </c>
      <c r="G68" s="635">
        <v>66</v>
      </c>
      <c r="H68" s="635">
        <v>1</v>
      </c>
      <c r="I68" s="635">
        <v>33</v>
      </c>
      <c r="J68" s="635">
        <v>3</v>
      </c>
      <c r="K68" s="635">
        <v>99</v>
      </c>
      <c r="L68" s="635">
        <v>1.5</v>
      </c>
      <c r="M68" s="635">
        <v>33</v>
      </c>
      <c r="N68" s="635">
        <v>6</v>
      </c>
      <c r="O68" s="635">
        <v>198</v>
      </c>
      <c r="P68" s="657">
        <v>3</v>
      </c>
      <c r="Q68" s="636">
        <v>33</v>
      </c>
    </row>
    <row r="69" spans="1:17" ht="14.4" customHeight="1" x14ac:dyDescent="0.3">
      <c r="A69" s="631" t="s">
        <v>2710</v>
      </c>
      <c r="B69" s="632" t="s">
        <v>2711</v>
      </c>
      <c r="C69" s="632" t="s">
        <v>2110</v>
      </c>
      <c r="D69" s="632" t="s">
        <v>2792</v>
      </c>
      <c r="E69" s="632" t="s">
        <v>2793</v>
      </c>
      <c r="F69" s="635"/>
      <c r="G69" s="635"/>
      <c r="H69" s="635"/>
      <c r="I69" s="635"/>
      <c r="J69" s="635">
        <v>1</v>
      </c>
      <c r="K69" s="635">
        <v>30</v>
      </c>
      <c r="L69" s="635"/>
      <c r="M69" s="635">
        <v>30</v>
      </c>
      <c r="N69" s="635">
        <v>1</v>
      </c>
      <c r="O69" s="635">
        <v>30</v>
      </c>
      <c r="P69" s="657"/>
      <c r="Q69" s="636">
        <v>30</v>
      </c>
    </row>
    <row r="70" spans="1:17" ht="14.4" customHeight="1" x14ac:dyDescent="0.3">
      <c r="A70" s="631" t="s">
        <v>2710</v>
      </c>
      <c r="B70" s="632" t="s">
        <v>2711</v>
      </c>
      <c r="C70" s="632" t="s">
        <v>2110</v>
      </c>
      <c r="D70" s="632" t="s">
        <v>2794</v>
      </c>
      <c r="E70" s="632" t="s">
        <v>2795</v>
      </c>
      <c r="F70" s="635">
        <v>104</v>
      </c>
      <c r="G70" s="635">
        <v>2704</v>
      </c>
      <c r="H70" s="635">
        <v>1</v>
      </c>
      <c r="I70" s="635">
        <v>26</v>
      </c>
      <c r="J70" s="635">
        <v>105</v>
      </c>
      <c r="K70" s="635">
        <v>2730</v>
      </c>
      <c r="L70" s="635">
        <v>1.0096153846153846</v>
      </c>
      <c r="M70" s="635">
        <v>26</v>
      </c>
      <c r="N70" s="635">
        <v>112</v>
      </c>
      <c r="O70" s="635">
        <v>2912</v>
      </c>
      <c r="P70" s="657">
        <v>1.0769230769230769</v>
      </c>
      <c r="Q70" s="636">
        <v>26</v>
      </c>
    </row>
    <row r="71" spans="1:17" ht="14.4" customHeight="1" x14ac:dyDescent="0.3">
      <c r="A71" s="631" t="s">
        <v>2710</v>
      </c>
      <c r="B71" s="632" t="s">
        <v>2711</v>
      </c>
      <c r="C71" s="632" t="s">
        <v>2110</v>
      </c>
      <c r="D71" s="632" t="s">
        <v>2796</v>
      </c>
      <c r="E71" s="632" t="s">
        <v>2797</v>
      </c>
      <c r="F71" s="635">
        <v>41</v>
      </c>
      <c r="G71" s="635">
        <v>3444</v>
      </c>
      <c r="H71" s="635">
        <v>1</v>
      </c>
      <c r="I71" s="635">
        <v>84</v>
      </c>
      <c r="J71" s="635">
        <v>22</v>
      </c>
      <c r="K71" s="635">
        <v>1848</v>
      </c>
      <c r="L71" s="635">
        <v>0.53658536585365857</v>
      </c>
      <c r="M71" s="635">
        <v>84</v>
      </c>
      <c r="N71" s="635">
        <v>28</v>
      </c>
      <c r="O71" s="635">
        <v>2352</v>
      </c>
      <c r="P71" s="657">
        <v>0.68292682926829273</v>
      </c>
      <c r="Q71" s="636">
        <v>84</v>
      </c>
    </row>
    <row r="72" spans="1:17" ht="14.4" customHeight="1" x14ac:dyDescent="0.3">
      <c r="A72" s="631" t="s">
        <v>2710</v>
      </c>
      <c r="B72" s="632" t="s">
        <v>2711</v>
      </c>
      <c r="C72" s="632" t="s">
        <v>2110</v>
      </c>
      <c r="D72" s="632" t="s">
        <v>2798</v>
      </c>
      <c r="E72" s="632" t="s">
        <v>2799</v>
      </c>
      <c r="F72" s="635">
        <v>1</v>
      </c>
      <c r="G72" s="635">
        <v>173</v>
      </c>
      <c r="H72" s="635">
        <v>1</v>
      </c>
      <c r="I72" s="635">
        <v>173</v>
      </c>
      <c r="J72" s="635">
        <v>1</v>
      </c>
      <c r="K72" s="635">
        <v>174</v>
      </c>
      <c r="L72" s="635">
        <v>1.0057803468208093</v>
      </c>
      <c r="M72" s="635">
        <v>174</v>
      </c>
      <c r="N72" s="635">
        <v>1</v>
      </c>
      <c r="O72" s="635">
        <v>174</v>
      </c>
      <c r="P72" s="657">
        <v>1.0057803468208093</v>
      </c>
      <c r="Q72" s="636">
        <v>174</v>
      </c>
    </row>
    <row r="73" spans="1:17" ht="14.4" customHeight="1" x14ac:dyDescent="0.3">
      <c r="A73" s="631" t="s">
        <v>2710</v>
      </c>
      <c r="B73" s="632" t="s">
        <v>2711</v>
      </c>
      <c r="C73" s="632" t="s">
        <v>2110</v>
      </c>
      <c r="D73" s="632" t="s">
        <v>2800</v>
      </c>
      <c r="E73" s="632" t="s">
        <v>2801</v>
      </c>
      <c r="F73" s="635">
        <v>55</v>
      </c>
      <c r="G73" s="635">
        <v>825</v>
      </c>
      <c r="H73" s="635">
        <v>1</v>
      </c>
      <c r="I73" s="635">
        <v>15</v>
      </c>
      <c r="J73" s="635">
        <v>42</v>
      </c>
      <c r="K73" s="635">
        <v>630</v>
      </c>
      <c r="L73" s="635">
        <v>0.76363636363636367</v>
      </c>
      <c r="M73" s="635">
        <v>15</v>
      </c>
      <c r="N73" s="635">
        <v>51</v>
      </c>
      <c r="O73" s="635">
        <v>765</v>
      </c>
      <c r="P73" s="657">
        <v>0.92727272727272725</v>
      </c>
      <c r="Q73" s="636">
        <v>15</v>
      </c>
    </row>
    <row r="74" spans="1:17" ht="14.4" customHeight="1" x14ac:dyDescent="0.3">
      <c r="A74" s="631" t="s">
        <v>2710</v>
      </c>
      <c r="B74" s="632" t="s">
        <v>2711</v>
      </c>
      <c r="C74" s="632" t="s">
        <v>2110</v>
      </c>
      <c r="D74" s="632" t="s">
        <v>2802</v>
      </c>
      <c r="E74" s="632" t="s">
        <v>2803</v>
      </c>
      <c r="F74" s="635">
        <v>36</v>
      </c>
      <c r="G74" s="635">
        <v>828</v>
      </c>
      <c r="H74" s="635">
        <v>1</v>
      </c>
      <c r="I74" s="635">
        <v>23</v>
      </c>
      <c r="J74" s="635">
        <v>27</v>
      </c>
      <c r="K74" s="635">
        <v>621</v>
      </c>
      <c r="L74" s="635">
        <v>0.75</v>
      </c>
      <c r="M74" s="635">
        <v>23</v>
      </c>
      <c r="N74" s="635">
        <v>23</v>
      </c>
      <c r="O74" s="635">
        <v>529</v>
      </c>
      <c r="P74" s="657">
        <v>0.63888888888888884</v>
      </c>
      <c r="Q74" s="636">
        <v>23</v>
      </c>
    </row>
    <row r="75" spans="1:17" ht="14.4" customHeight="1" x14ac:dyDescent="0.3">
      <c r="A75" s="631" t="s">
        <v>2710</v>
      </c>
      <c r="B75" s="632" t="s">
        <v>2711</v>
      </c>
      <c r="C75" s="632" t="s">
        <v>2110</v>
      </c>
      <c r="D75" s="632" t="s">
        <v>2804</v>
      </c>
      <c r="E75" s="632" t="s">
        <v>2805</v>
      </c>
      <c r="F75" s="635">
        <v>82</v>
      </c>
      <c r="G75" s="635">
        <v>3034</v>
      </c>
      <c r="H75" s="635">
        <v>1</v>
      </c>
      <c r="I75" s="635">
        <v>37</v>
      </c>
      <c r="J75" s="635">
        <v>100</v>
      </c>
      <c r="K75" s="635">
        <v>3700</v>
      </c>
      <c r="L75" s="635">
        <v>1.2195121951219512</v>
      </c>
      <c r="M75" s="635">
        <v>37</v>
      </c>
      <c r="N75" s="635">
        <v>104</v>
      </c>
      <c r="O75" s="635">
        <v>3848</v>
      </c>
      <c r="P75" s="657">
        <v>1.2682926829268293</v>
      </c>
      <c r="Q75" s="636">
        <v>37</v>
      </c>
    </row>
    <row r="76" spans="1:17" ht="14.4" customHeight="1" x14ac:dyDescent="0.3">
      <c r="A76" s="631" t="s">
        <v>2710</v>
      </c>
      <c r="B76" s="632" t="s">
        <v>2711</v>
      </c>
      <c r="C76" s="632" t="s">
        <v>2110</v>
      </c>
      <c r="D76" s="632" t="s">
        <v>2806</v>
      </c>
      <c r="E76" s="632" t="s">
        <v>2807</v>
      </c>
      <c r="F76" s="635">
        <v>179</v>
      </c>
      <c r="G76" s="635">
        <v>4117</v>
      </c>
      <c r="H76" s="635">
        <v>1</v>
      </c>
      <c r="I76" s="635">
        <v>23</v>
      </c>
      <c r="J76" s="635">
        <v>172</v>
      </c>
      <c r="K76" s="635">
        <v>3956</v>
      </c>
      <c r="L76" s="635">
        <v>0.96089385474860334</v>
      </c>
      <c r="M76" s="635">
        <v>23</v>
      </c>
      <c r="N76" s="635">
        <v>278</v>
      </c>
      <c r="O76" s="635">
        <v>6394</v>
      </c>
      <c r="P76" s="657">
        <v>1.553072625698324</v>
      </c>
      <c r="Q76" s="636">
        <v>23</v>
      </c>
    </row>
    <row r="77" spans="1:17" ht="14.4" customHeight="1" x14ac:dyDescent="0.3">
      <c r="A77" s="631" t="s">
        <v>2710</v>
      </c>
      <c r="B77" s="632" t="s">
        <v>2711</v>
      </c>
      <c r="C77" s="632" t="s">
        <v>2110</v>
      </c>
      <c r="D77" s="632" t="s">
        <v>2808</v>
      </c>
      <c r="E77" s="632" t="s">
        <v>2809</v>
      </c>
      <c r="F77" s="635"/>
      <c r="G77" s="635"/>
      <c r="H77" s="635"/>
      <c r="I77" s="635"/>
      <c r="J77" s="635">
        <v>3</v>
      </c>
      <c r="K77" s="635">
        <v>507</v>
      </c>
      <c r="L77" s="635"/>
      <c r="M77" s="635">
        <v>169</v>
      </c>
      <c r="N77" s="635"/>
      <c r="O77" s="635"/>
      <c r="P77" s="657"/>
      <c r="Q77" s="636"/>
    </row>
    <row r="78" spans="1:17" ht="14.4" customHeight="1" x14ac:dyDescent="0.3">
      <c r="A78" s="631" t="s">
        <v>2710</v>
      </c>
      <c r="B78" s="632" t="s">
        <v>2711</v>
      </c>
      <c r="C78" s="632" t="s">
        <v>2110</v>
      </c>
      <c r="D78" s="632" t="s">
        <v>2810</v>
      </c>
      <c r="E78" s="632" t="s">
        <v>2811</v>
      </c>
      <c r="F78" s="635">
        <v>61</v>
      </c>
      <c r="G78" s="635">
        <v>1769</v>
      </c>
      <c r="H78" s="635">
        <v>1</v>
      </c>
      <c r="I78" s="635">
        <v>29</v>
      </c>
      <c r="J78" s="635">
        <v>76</v>
      </c>
      <c r="K78" s="635">
        <v>2204</v>
      </c>
      <c r="L78" s="635">
        <v>1.2459016393442623</v>
      </c>
      <c r="M78" s="635">
        <v>29</v>
      </c>
      <c r="N78" s="635">
        <v>41</v>
      </c>
      <c r="O78" s="635">
        <v>1189</v>
      </c>
      <c r="P78" s="657">
        <v>0.67213114754098358</v>
      </c>
      <c r="Q78" s="636">
        <v>29</v>
      </c>
    </row>
    <row r="79" spans="1:17" ht="14.4" customHeight="1" x14ac:dyDescent="0.3">
      <c r="A79" s="631" t="s">
        <v>2710</v>
      </c>
      <c r="B79" s="632" t="s">
        <v>2711</v>
      </c>
      <c r="C79" s="632" t="s">
        <v>2110</v>
      </c>
      <c r="D79" s="632" t="s">
        <v>2812</v>
      </c>
      <c r="E79" s="632" t="s">
        <v>2813</v>
      </c>
      <c r="F79" s="635">
        <v>8</v>
      </c>
      <c r="G79" s="635">
        <v>1408</v>
      </c>
      <c r="H79" s="635">
        <v>1</v>
      </c>
      <c r="I79" s="635">
        <v>176</v>
      </c>
      <c r="J79" s="635">
        <v>64</v>
      </c>
      <c r="K79" s="635">
        <v>11264</v>
      </c>
      <c r="L79" s="635">
        <v>8</v>
      </c>
      <c r="M79" s="635">
        <v>176</v>
      </c>
      <c r="N79" s="635">
        <v>176</v>
      </c>
      <c r="O79" s="635">
        <v>30976</v>
      </c>
      <c r="P79" s="657">
        <v>22</v>
      </c>
      <c r="Q79" s="636">
        <v>176</v>
      </c>
    </row>
    <row r="80" spans="1:17" ht="14.4" customHeight="1" x14ac:dyDescent="0.3">
      <c r="A80" s="631" t="s">
        <v>2710</v>
      </c>
      <c r="B80" s="632" t="s">
        <v>2711</v>
      </c>
      <c r="C80" s="632" t="s">
        <v>2110</v>
      </c>
      <c r="D80" s="632" t="s">
        <v>2814</v>
      </c>
      <c r="E80" s="632" t="s">
        <v>2815</v>
      </c>
      <c r="F80" s="635">
        <v>2</v>
      </c>
      <c r="G80" s="635">
        <v>30</v>
      </c>
      <c r="H80" s="635">
        <v>1</v>
      </c>
      <c r="I80" s="635">
        <v>15</v>
      </c>
      <c r="J80" s="635"/>
      <c r="K80" s="635"/>
      <c r="L80" s="635"/>
      <c r="M80" s="635"/>
      <c r="N80" s="635"/>
      <c r="O80" s="635"/>
      <c r="P80" s="657"/>
      <c r="Q80" s="636"/>
    </row>
    <row r="81" spans="1:17" ht="14.4" customHeight="1" x14ac:dyDescent="0.3">
      <c r="A81" s="631" t="s">
        <v>2710</v>
      </c>
      <c r="B81" s="632" t="s">
        <v>2711</v>
      </c>
      <c r="C81" s="632" t="s">
        <v>2110</v>
      </c>
      <c r="D81" s="632" t="s">
        <v>2816</v>
      </c>
      <c r="E81" s="632" t="s">
        <v>2817</v>
      </c>
      <c r="F81" s="635">
        <v>116</v>
      </c>
      <c r="G81" s="635">
        <v>2204</v>
      </c>
      <c r="H81" s="635">
        <v>1</v>
      </c>
      <c r="I81" s="635">
        <v>19</v>
      </c>
      <c r="J81" s="635">
        <v>115</v>
      </c>
      <c r="K81" s="635">
        <v>2185</v>
      </c>
      <c r="L81" s="635">
        <v>0.99137931034482762</v>
      </c>
      <c r="M81" s="635">
        <v>19</v>
      </c>
      <c r="N81" s="635">
        <v>103</v>
      </c>
      <c r="O81" s="635">
        <v>1957</v>
      </c>
      <c r="P81" s="657">
        <v>0.88793103448275867</v>
      </c>
      <c r="Q81" s="636">
        <v>19</v>
      </c>
    </row>
    <row r="82" spans="1:17" ht="14.4" customHeight="1" x14ac:dyDescent="0.3">
      <c r="A82" s="631" t="s">
        <v>2710</v>
      </c>
      <c r="B82" s="632" t="s">
        <v>2711</v>
      </c>
      <c r="C82" s="632" t="s">
        <v>2110</v>
      </c>
      <c r="D82" s="632" t="s">
        <v>2818</v>
      </c>
      <c r="E82" s="632" t="s">
        <v>2819</v>
      </c>
      <c r="F82" s="635">
        <v>289</v>
      </c>
      <c r="G82" s="635">
        <v>5780</v>
      </c>
      <c r="H82" s="635">
        <v>1</v>
      </c>
      <c r="I82" s="635">
        <v>20</v>
      </c>
      <c r="J82" s="635">
        <v>298</v>
      </c>
      <c r="K82" s="635">
        <v>5960</v>
      </c>
      <c r="L82" s="635">
        <v>1.0311418685121108</v>
      </c>
      <c r="M82" s="635">
        <v>20</v>
      </c>
      <c r="N82" s="635">
        <v>241</v>
      </c>
      <c r="O82" s="635">
        <v>4820</v>
      </c>
      <c r="P82" s="657">
        <v>0.83391003460207613</v>
      </c>
      <c r="Q82" s="636">
        <v>20</v>
      </c>
    </row>
    <row r="83" spans="1:17" ht="14.4" customHeight="1" x14ac:dyDescent="0.3">
      <c r="A83" s="631" t="s">
        <v>2710</v>
      </c>
      <c r="B83" s="632" t="s">
        <v>2711</v>
      </c>
      <c r="C83" s="632" t="s">
        <v>2110</v>
      </c>
      <c r="D83" s="632" t="s">
        <v>2820</v>
      </c>
      <c r="E83" s="632" t="s">
        <v>2821</v>
      </c>
      <c r="F83" s="635"/>
      <c r="G83" s="635"/>
      <c r="H83" s="635"/>
      <c r="I83" s="635"/>
      <c r="J83" s="635">
        <v>3</v>
      </c>
      <c r="K83" s="635">
        <v>516</v>
      </c>
      <c r="L83" s="635"/>
      <c r="M83" s="635">
        <v>172</v>
      </c>
      <c r="N83" s="635"/>
      <c r="O83" s="635"/>
      <c r="P83" s="657"/>
      <c r="Q83" s="636"/>
    </row>
    <row r="84" spans="1:17" ht="14.4" customHeight="1" x14ac:dyDescent="0.3">
      <c r="A84" s="631" t="s">
        <v>2710</v>
      </c>
      <c r="B84" s="632" t="s">
        <v>2711</v>
      </c>
      <c r="C84" s="632" t="s">
        <v>2110</v>
      </c>
      <c r="D84" s="632" t="s">
        <v>2822</v>
      </c>
      <c r="E84" s="632" t="s">
        <v>2823</v>
      </c>
      <c r="F84" s="635">
        <v>56</v>
      </c>
      <c r="G84" s="635">
        <v>4704</v>
      </c>
      <c r="H84" s="635">
        <v>1</v>
      </c>
      <c r="I84" s="635">
        <v>84</v>
      </c>
      <c r="J84" s="635">
        <v>42</v>
      </c>
      <c r="K84" s="635">
        <v>3528</v>
      </c>
      <c r="L84" s="635">
        <v>0.75</v>
      </c>
      <c r="M84" s="635">
        <v>84</v>
      </c>
      <c r="N84" s="635">
        <v>39</v>
      </c>
      <c r="O84" s="635">
        <v>3276</v>
      </c>
      <c r="P84" s="657">
        <v>0.6964285714285714</v>
      </c>
      <c r="Q84" s="636">
        <v>84</v>
      </c>
    </row>
    <row r="85" spans="1:17" ht="14.4" customHeight="1" x14ac:dyDescent="0.3">
      <c r="A85" s="631" t="s">
        <v>2710</v>
      </c>
      <c r="B85" s="632" t="s">
        <v>2711</v>
      </c>
      <c r="C85" s="632" t="s">
        <v>2110</v>
      </c>
      <c r="D85" s="632" t="s">
        <v>2824</v>
      </c>
      <c r="E85" s="632" t="s">
        <v>2825</v>
      </c>
      <c r="F85" s="635"/>
      <c r="G85" s="635"/>
      <c r="H85" s="635"/>
      <c r="I85" s="635"/>
      <c r="J85" s="635">
        <v>2</v>
      </c>
      <c r="K85" s="635">
        <v>596</v>
      </c>
      <c r="L85" s="635"/>
      <c r="M85" s="635">
        <v>298</v>
      </c>
      <c r="N85" s="635"/>
      <c r="O85" s="635"/>
      <c r="P85" s="657"/>
      <c r="Q85" s="636"/>
    </row>
    <row r="86" spans="1:17" ht="14.4" customHeight="1" x14ac:dyDescent="0.3">
      <c r="A86" s="631" t="s">
        <v>2710</v>
      </c>
      <c r="B86" s="632" t="s">
        <v>2711</v>
      </c>
      <c r="C86" s="632" t="s">
        <v>2110</v>
      </c>
      <c r="D86" s="632" t="s">
        <v>2826</v>
      </c>
      <c r="E86" s="632" t="s">
        <v>2827</v>
      </c>
      <c r="F86" s="635">
        <v>37</v>
      </c>
      <c r="G86" s="635">
        <v>814</v>
      </c>
      <c r="H86" s="635">
        <v>1</v>
      </c>
      <c r="I86" s="635">
        <v>22</v>
      </c>
      <c r="J86" s="635">
        <v>22</v>
      </c>
      <c r="K86" s="635">
        <v>484</v>
      </c>
      <c r="L86" s="635">
        <v>0.59459459459459463</v>
      </c>
      <c r="M86" s="635">
        <v>22</v>
      </c>
      <c r="N86" s="635">
        <v>19</v>
      </c>
      <c r="O86" s="635">
        <v>418</v>
      </c>
      <c r="P86" s="657">
        <v>0.51351351351351349</v>
      </c>
      <c r="Q86" s="636">
        <v>22</v>
      </c>
    </row>
    <row r="87" spans="1:17" ht="14.4" customHeight="1" x14ac:dyDescent="0.3">
      <c r="A87" s="631" t="s">
        <v>2710</v>
      </c>
      <c r="B87" s="632" t="s">
        <v>2711</v>
      </c>
      <c r="C87" s="632" t="s">
        <v>2110</v>
      </c>
      <c r="D87" s="632" t="s">
        <v>2828</v>
      </c>
      <c r="E87" s="632" t="s">
        <v>2829</v>
      </c>
      <c r="F87" s="635"/>
      <c r="G87" s="635"/>
      <c r="H87" s="635"/>
      <c r="I87" s="635"/>
      <c r="J87" s="635">
        <v>1</v>
      </c>
      <c r="K87" s="635">
        <v>564</v>
      </c>
      <c r="L87" s="635"/>
      <c r="M87" s="635">
        <v>564</v>
      </c>
      <c r="N87" s="635"/>
      <c r="O87" s="635"/>
      <c r="P87" s="657"/>
      <c r="Q87" s="636"/>
    </row>
    <row r="88" spans="1:17" ht="14.4" customHeight="1" x14ac:dyDescent="0.3">
      <c r="A88" s="631" t="s">
        <v>2710</v>
      </c>
      <c r="B88" s="632" t="s">
        <v>2711</v>
      </c>
      <c r="C88" s="632" t="s">
        <v>2110</v>
      </c>
      <c r="D88" s="632" t="s">
        <v>2830</v>
      </c>
      <c r="E88" s="632" t="s">
        <v>2831</v>
      </c>
      <c r="F88" s="635"/>
      <c r="G88" s="635"/>
      <c r="H88" s="635"/>
      <c r="I88" s="635"/>
      <c r="J88" s="635">
        <v>1</v>
      </c>
      <c r="K88" s="635">
        <v>1002</v>
      </c>
      <c r="L88" s="635"/>
      <c r="M88" s="635">
        <v>1002</v>
      </c>
      <c r="N88" s="635"/>
      <c r="O88" s="635"/>
      <c r="P88" s="657"/>
      <c r="Q88" s="636"/>
    </row>
    <row r="89" spans="1:17" ht="14.4" customHeight="1" x14ac:dyDescent="0.3">
      <c r="A89" s="631" t="s">
        <v>2710</v>
      </c>
      <c r="B89" s="632" t="s">
        <v>2711</v>
      </c>
      <c r="C89" s="632" t="s">
        <v>2110</v>
      </c>
      <c r="D89" s="632" t="s">
        <v>2832</v>
      </c>
      <c r="E89" s="632" t="s">
        <v>2833</v>
      </c>
      <c r="F89" s="635">
        <v>2</v>
      </c>
      <c r="G89" s="635">
        <v>332</v>
      </c>
      <c r="H89" s="635">
        <v>1</v>
      </c>
      <c r="I89" s="635">
        <v>166</v>
      </c>
      <c r="J89" s="635">
        <v>1</v>
      </c>
      <c r="K89" s="635">
        <v>166</v>
      </c>
      <c r="L89" s="635">
        <v>0.5</v>
      </c>
      <c r="M89" s="635">
        <v>166</v>
      </c>
      <c r="N89" s="635"/>
      <c r="O89" s="635"/>
      <c r="P89" s="657"/>
      <c r="Q89" s="636"/>
    </row>
    <row r="90" spans="1:17" ht="14.4" customHeight="1" x14ac:dyDescent="0.3">
      <c r="A90" s="631" t="s">
        <v>2710</v>
      </c>
      <c r="B90" s="632" t="s">
        <v>2711</v>
      </c>
      <c r="C90" s="632" t="s">
        <v>2110</v>
      </c>
      <c r="D90" s="632" t="s">
        <v>2834</v>
      </c>
      <c r="E90" s="632" t="s">
        <v>2835</v>
      </c>
      <c r="F90" s="635"/>
      <c r="G90" s="635"/>
      <c r="H90" s="635"/>
      <c r="I90" s="635"/>
      <c r="J90" s="635"/>
      <c r="K90" s="635"/>
      <c r="L90" s="635"/>
      <c r="M90" s="635"/>
      <c r="N90" s="635">
        <v>1</v>
      </c>
      <c r="O90" s="635">
        <v>310</v>
      </c>
      <c r="P90" s="657"/>
      <c r="Q90" s="636">
        <v>310</v>
      </c>
    </row>
    <row r="91" spans="1:17" ht="14.4" customHeight="1" x14ac:dyDescent="0.3">
      <c r="A91" s="631" t="s">
        <v>2710</v>
      </c>
      <c r="B91" s="632" t="s">
        <v>2711</v>
      </c>
      <c r="C91" s="632" t="s">
        <v>2110</v>
      </c>
      <c r="D91" s="632" t="s">
        <v>2836</v>
      </c>
      <c r="E91" s="632" t="s">
        <v>2837</v>
      </c>
      <c r="F91" s="635">
        <v>1</v>
      </c>
      <c r="G91" s="635">
        <v>23</v>
      </c>
      <c r="H91" s="635">
        <v>1</v>
      </c>
      <c r="I91" s="635">
        <v>23</v>
      </c>
      <c r="J91" s="635">
        <v>1</v>
      </c>
      <c r="K91" s="635">
        <v>23</v>
      </c>
      <c r="L91" s="635">
        <v>1</v>
      </c>
      <c r="M91" s="635">
        <v>23</v>
      </c>
      <c r="N91" s="635">
        <v>2</v>
      </c>
      <c r="O91" s="635">
        <v>46</v>
      </c>
      <c r="P91" s="657">
        <v>2</v>
      </c>
      <c r="Q91" s="636">
        <v>23</v>
      </c>
    </row>
    <row r="92" spans="1:17" ht="14.4" customHeight="1" x14ac:dyDescent="0.3">
      <c r="A92" s="631" t="s">
        <v>2710</v>
      </c>
      <c r="B92" s="632" t="s">
        <v>2711</v>
      </c>
      <c r="C92" s="632" t="s">
        <v>2110</v>
      </c>
      <c r="D92" s="632" t="s">
        <v>2838</v>
      </c>
      <c r="E92" s="632" t="s">
        <v>2839</v>
      </c>
      <c r="F92" s="635">
        <v>14</v>
      </c>
      <c r="G92" s="635">
        <v>4074</v>
      </c>
      <c r="H92" s="635">
        <v>1</v>
      </c>
      <c r="I92" s="635">
        <v>291</v>
      </c>
      <c r="J92" s="635">
        <v>19</v>
      </c>
      <c r="K92" s="635">
        <v>5529</v>
      </c>
      <c r="L92" s="635">
        <v>1.3571428571428572</v>
      </c>
      <c r="M92" s="635">
        <v>291</v>
      </c>
      <c r="N92" s="635">
        <v>23</v>
      </c>
      <c r="O92" s="635">
        <v>6693</v>
      </c>
      <c r="P92" s="657">
        <v>1.6428571428571428</v>
      </c>
      <c r="Q92" s="636">
        <v>291</v>
      </c>
    </row>
    <row r="93" spans="1:17" ht="14.4" customHeight="1" x14ac:dyDescent="0.3">
      <c r="A93" s="631" t="s">
        <v>2710</v>
      </c>
      <c r="B93" s="632" t="s">
        <v>2711</v>
      </c>
      <c r="C93" s="632" t="s">
        <v>2110</v>
      </c>
      <c r="D93" s="632" t="s">
        <v>2840</v>
      </c>
      <c r="E93" s="632" t="s">
        <v>2841</v>
      </c>
      <c r="F93" s="635">
        <v>1</v>
      </c>
      <c r="G93" s="635">
        <v>45</v>
      </c>
      <c r="H93" s="635">
        <v>1</v>
      </c>
      <c r="I93" s="635">
        <v>45</v>
      </c>
      <c r="J93" s="635"/>
      <c r="K93" s="635"/>
      <c r="L93" s="635"/>
      <c r="M93" s="635"/>
      <c r="N93" s="635">
        <v>2</v>
      </c>
      <c r="O93" s="635">
        <v>90</v>
      </c>
      <c r="P93" s="657">
        <v>2</v>
      </c>
      <c r="Q93" s="636">
        <v>45</v>
      </c>
    </row>
    <row r="94" spans="1:17" ht="14.4" customHeight="1" x14ac:dyDescent="0.3">
      <c r="A94" s="631" t="s">
        <v>2710</v>
      </c>
      <c r="B94" s="632" t="s">
        <v>2711</v>
      </c>
      <c r="C94" s="632" t="s">
        <v>2110</v>
      </c>
      <c r="D94" s="632" t="s">
        <v>2842</v>
      </c>
      <c r="E94" s="632" t="s">
        <v>2843</v>
      </c>
      <c r="F94" s="635"/>
      <c r="G94" s="635"/>
      <c r="H94" s="635"/>
      <c r="I94" s="635"/>
      <c r="J94" s="635"/>
      <c r="K94" s="635"/>
      <c r="L94" s="635"/>
      <c r="M94" s="635"/>
      <c r="N94" s="635">
        <v>14</v>
      </c>
      <c r="O94" s="635">
        <v>644</v>
      </c>
      <c r="P94" s="657"/>
      <c r="Q94" s="636">
        <v>46</v>
      </c>
    </row>
    <row r="95" spans="1:17" ht="14.4" customHeight="1" x14ac:dyDescent="0.3">
      <c r="A95" s="631" t="s">
        <v>2710</v>
      </c>
      <c r="B95" s="632" t="s">
        <v>2711</v>
      </c>
      <c r="C95" s="632" t="s">
        <v>2110</v>
      </c>
      <c r="D95" s="632" t="s">
        <v>2844</v>
      </c>
      <c r="E95" s="632" t="s">
        <v>2845</v>
      </c>
      <c r="F95" s="635"/>
      <c r="G95" s="635"/>
      <c r="H95" s="635"/>
      <c r="I95" s="635"/>
      <c r="J95" s="635"/>
      <c r="K95" s="635"/>
      <c r="L95" s="635"/>
      <c r="M95" s="635"/>
      <c r="N95" s="635">
        <v>1</v>
      </c>
      <c r="O95" s="635">
        <v>308</v>
      </c>
      <c r="P95" s="657"/>
      <c r="Q95" s="636">
        <v>308</v>
      </c>
    </row>
    <row r="96" spans="1:17" ht="14.4" customHeight="1" x14ac:dyDescent="0.3">
      <c r="A96" s="631" t="s">
        <v>2710</v>
      </c>
      <c r="B96" s="632" t="s">
        <v>2711</v>
      </c>
      <c r="C96" s="632" t="s">
        <v>2110</v>
      </c>
      <c r="D96" s="632" t="s">
        <v>2846</v>
      </c>
      <c r="E96" s="632" t="s">
        <v>2847</v>
      </c>
      <c r="F96" s="635"/>
      <c r="G96" s="635"/>
      <c r="H96" s="635"/>
      <c r="I96" s="635"/>
      <c r="J96" s="635">
        <v>1</v>
      </c>
      <c r="K96" s="635">
        <v>26</v>
      </c>
      <c r="L96" s="635"/>
      <c r="M96" s="635">
        <v>26</v>
      </c>
      <c r="N96" s="635"/>
      <c r="O96" s="635"/>
      <c r="P96" s="657"/>
      <c r="Q96" s="636"/>
    </row>
    <row r="97" spans="1:17" ht="14.4" customHeight="1" x14ac:dyDescent="0.3">
      <c r="A97" s="631" t="s">
        <v>2710</v>
      </c>
      <c r="B97" s="632" t="s">
        <v>2848</v>
      </c>
      <c r="C97" s="632" t="s">
        <v>2110</v>
      </c>
      <c r="D97" s="632" t="s">
        <v>2849</v>
      </c>
      <c r="E97" s="632" t="s">
        <v>2850</v>
      </c>
      <c r="F97" s="635"/>
      <c r="G97" s="635"/>
      <c r="H97" s="635"/>
      <c r="I97" s="635"/>
      <c r="J97" s="635"/>
      <c r="K97" s="635"/>
      <c r="L97" s="635"/>
      <c r="M97" s="635"/>
      <c r="N97" s="635">
        <v>1</v>
      </c>
      <c r="O97" s="635">
        <v>1035</v>
      </c>
      <c r="P97" s="657"/>
      <c r="Q97" s="636">
        <v>1035</v>
      </c>
    </row>
    <row r="98" spans="1:17" ht="14.4" customHeight="1" x14ac:dyDescent="0.3">
      <c r="A98" s="631" t="s">
        <v>2710</v>
      </c>
      <c r="B98" s="632" t="s">
        <v>2848</v>
      </c>
      <c r="C98" s="632" t="s">
        <v>2110</v>
      </c>
      <c r="D98" s="632" t="s">
        <v>2851</v>
      </c>
      <c r="E98" s="632" t="s">
        <v>2852</v>
      </c>
      <c r="F98" s="635"/>
      <c r="G98" s="635"/>
      <c r="H98" s="635"/>
      <c r="I98" s="635"/>
      <c r="J98" s="635">
        <v>1</v>
      </c>
      <c r="K98" s="635">
        <v>1245</v>
      </c>
      <c r="L98" s="635"/>
      <c r="M98" s="635">
        <v>1245</v>
      </c>
      <c r="N98" s="635"/>
      <c r="O98" s="635"/>
      <c r="P98" s="657"/>
      <c r="Q98" s="636"/>
    </row>
    <row r="99" spans="1:17" ht="14.4" customHeight="1" x14ac:dyDescent="0.3">
      <c r="A99" s="631" t="s">
        <v>2853</v>
      </c>
      <c r="B99" s="632" t="s">
        <v>2666</v>
      </c>
      <c r="C99" s="632" t="s">
        <v>2328</v>
      </c>
      <c r="D99" s="632" t="s">
        <v>2854</v>
      </c>
      <c r="E99" s="632" t="s">
        <v>2855</v>
      </c>
      <c r="F99" s="635"/>
      <c r="G99" s="635"/>
      <c r="H99" s="635"/>
      <c r="I99" s="635"/>
      <c r="J99" s="635">
        <v>1</v>
      </c>
      <c r="K99" s="635">
        <v>2671.46</v>
      </c>
      <c r="L99" s="635"/>
      <c r="M99" s="635">
        <v>2671.46</v>
      </c>
      <c r="N99" s="635"/>
      <c r="O99" s="635"/>
      <c r="P99" s="657"/>
      <c r="Q99" s="636"/>
    </row>
    <row r="100" spans="1:17" ht="14.4" customHeight="1" x14ac:dyDescent="0.3">
      <c r="A100" s="631" t="s">
        <v>2853</v>
      </c>
      <c r="B100" s="632" t="s">
        <v>2666</v>
      </c>
      <c r="C100" s="632" t="s">
        <v>2328</v>
      </c>
      <c r="D100" s="632" t="s">
        <v>2856</v>
      </c>
      <c r="E100" s="632" t="s">
        <v>2855</v>
      </c>
      <c r="F100" s="635"/>
      <c r="G100" s="635"/>
      <c r="H100" s="635"/>
      <c r="I100" s="635"/>
      <c r="J100" s="635">
        <v>0.2</v>
      </c>
      <c r="K100" s="635">
        <v>1335.72</v>
      </c>
      <c r="L100" s="635"/>
      <c r="M100" s="635">
        <v>6678.5999999999995</v>
      </c>
      <c r="N100" s="635"/>
      <c r="O100" s="635"/>
      <c r="P100" s="657"/>
      <c r="Q100" s="636"/>
    </row>
    <row r="101" spans="1:17" ht="14.4" customHeight="1" x14ac:dyDescent="0.3">
      <c r="A101" s="631" t="s">
        <v>2853</v>
      </c>
      <c r="B101" s="632" t="s">
        <v>2666</v>
      </c>
      <c r="C101" s="632" t="s">
        <v>2328</v>
      </c>
      <c r="D101" s="632" t="s">
        <v>2857</v>
      </c>
      <c r="E101" s="632" t="s">
        <v>2858</v>
      </c>
      <c r="F101" s="635">
        <v>3.5999999999999996</v>
      </c>
      <c r="G101" s="635">
        <v>5579.3799999999992</v>
      </c>
      <c r="H101" s="635">
        <v>1</v>
      </c>
      <c r="I101" s="635">
        <v>1549.8277777777778</v>
      </c>
      <c r="J101" s="635">
        <v>6.3</v>
      </c>
      <c r="K101" s="635">
        <v>6213.68</v>
      </c>
      <c r="L101" s="635">
        <v>1.1136864669551099</v>
      </c>
      <c r="M101" s="635">
        <v>986.29841269841279</v>
      </c>
      <c r="N101" s="635">
        <v>9</v>
      </c>
      <c r="O101" s="635">
        <v>8901.25</v>
      </c>
      <c r="P101" s="657">
        <v>1.5953833580075207</v>
      </c>
      <c r="Q101" s="636">
        <v>989.02777777777783</v>
      </c>
    </row>
    <row r="102" spans="1:17" ht="14.4" customHeight="1" x14ac:dyDescent="0.3">
      <c r="A102" s="631" t="s">
        <v>2853</v>
      </c>
      <c r="B102" s="632" t="s">
        <v>2666</v>
      </c>
      <c r="C102" s="632" t="s">
        <v>2328</v>
      </c>
      <c r="D102" s="632" t="s">
        <v>2859</v>
      </c>
      <c r="E102" s="632" t="s">
        <v>2860</v>
      </c>
      <c r="F102" s="635">
        <v>0.77000000000000013</v>
      </c>
      <c r="G102" s="635">
        <v>9932.8799999999992</v>
      </c>
      <c r="H102" s="635">
        <v>1</v>
      </c>
      <c r="I102" s="635">
        <v>12899.844155844152</v>
      </c>
      <c r="J102" s="635">
        <v>2.0300000000000002</v>
      </c>
      <c r="K102" s="635">
        <v>20933.190000000002</v>
      </c>
      <c r="L102" s="635">
        <v>2.1074643003841791</v>
      </c>
      <c r="M102" s="635">
        <v>10311.916256157636</v>
      </c>
      <c r="N102" s="635">
        <v>2.2599999999999998</v>
      </c>
      <c r="O102" s="635">
        <v>23310.829999999998</v>
      </c>
      <c r="P102" s="657">
        <v>2.3468349562261901</v>
      </c>
      <c r="Q102" s="636">
        <v>10314.526548672566</v>
      </c>
    </row>
    <row r="103" spans="1:17" ht="14.4" customHeight="1" x14ac:dyDescent="0.3">
      <c r="A103" s="631" t="s">
        <v>2853</v>
      </c>
      <c r="B103" s="632" t="s">
        <v>2666</v>
      </c>
      <c r="C103" s="632" t="s">
        <v>2328</v>
      </c>
      <c r="D103" s="632" t="s">
        <v>2861</v>
      </c>
      <c r="E103" s="632" t="s">
        <v>2860</v>
      </c>
      <c r="F103" s="635"/>
      <c r="G103" s="635"/>
      <c r="H103" s="635"/>
      <c r="I103" s="635"/>
      <c r="J103" s="635">
        <v>0.06</v>
      </c>
      <c r="K103" s="635">
        <v>390.39</v>
      </c>
      <c r="L103" s="635"/>
      <c r="M103" s="635">
        <v>6506.5</v>
      </c>
      <c r="N103" s="635">
        <v>0.2</v>
      </c>
      <c r="O103" s="635">
        <v>1301.3</v>
      </c>
      <c r="P103" s="657"/>
      <c r="Q103" s="636">
        <v>6506.4999999999991</v>
      </c>
    </row>
    <row r="104" spans="1:17" ht="14.4" customHeight="1" x14ac:dyDescent="0.3">
      <c r="A104" s="631" t="s">
        <v>2853</v>
      </c>
      <c r="B104" s="632" t="s">
        <v>2666</v>
      </c>
      <c r="C104" s="632" t="s">
        <v>2328</v>
      </c>
      <c r="D104" s="632" t="s">
        <v>2862</v>
      </c>
      <c r="E104" s="632" t="s">
        <v>2863</v>
      </c>
      <c r="F104" s="635"/>
      <c r="G104" s="635"/>
      <c r="H104" s="635"/>
      <c r="I104" s="635"/>
      <c r="J104" s="635"/>
      <c r="K104" s="635"/>
      <c r="L104" s="635"/>
      <c r="M104" s="635"/>
      <c r="N104" s="635">
        <v>1</v>
      </c>
      <c r="O104" s="635">
        <v>416.3</v>
      </c>
      <c r="P104" s="657"/>
      <c r="Q104" s="636">
        <v>416.3</v>
      </c>
    </row>
    <row r="105" spans="1:17" ht="14.4" customHeight="1" x14ac:dyDescent="0.3">
      <c r="A105" s="631" t="s">
        <v>2853</v>
      </c>
      <c r="B105" s="632" t="s">
        <v>2666</v>
      </c>
      <c r="C105" s="632" t="s">
        <v>2328</v>
      </c>
      <c r="D105" s="632" t="s">
        <v>2864</v>
      </c>
      <c r="E105" s="632" t="s">
        <v>2673</v>
      </c>
      <c r="F105" s="635">
        <v>0.7</v>
      </c>
      <c r="G105" s="635">
        <v>3789.3100000000004</v>
      </c>
      <c r="H105" s="635">
        <v>1</v>
      </c>
      <c r="I105" s="635">
        <v>5413.3000000000011</v>
      </c>
      <c r="J105" s="635">
        <v>1.2200000000000002</v>
      </c>
      <c r="K105" s="635">
        <v>6646.97</v>
      </c>
      <c r="L105" s="635">
        <v>1.7541372967637907</v>
      </c>
      <c r="M105" s="635">
        <v>5448.3360655737697</v>
      </c>
      <c r="N105" s="635">
        <v>0.54</v>
      </c>
      <c r="O105" s="635">
        <v>2948.83</v>
      </c>
      <c r="P105" s="657">
        <v>0.77819708601302073</v>
      </c>
      <c r="Q105" s="636">
        <v>5460.7962962962956</v>
      </c>
    </row>
    <row r="106" spans="1:17" ht="14.4" customHeight="1" x14ac:dyDescent="0.3">
      <c r="A106" s="631" t="s">
        <v>2853</v>
      </c>
      <c r="B106" s="632" t="s">
        <v>2666</v>
      </c>
      <c r="C106" s="632" t="s">
        <v>2328</v>
      </c>
      <c r="D106" s="632" t="s">
        <v>2865</v>
      </c>
      <c r="E106" s="632" t="s">
        <v>2673</v>
      </c>
      <c r="F106" s="635">
        <v>1.5100000000000002</v>
      </c>
      <c r="G106" s="635">
        <v>16287.129999999996</v>
      </c>
      <c r="H106" s="635">
        <v>1</v>
      </c>
      <c r="I106" s="635">
        <v>10786.178807947015</v>
      </c>
      <c r="J106" s="635">
        <v>1.8</v>
      </c>
      <c r="K106" s="635">
        <v>19584.23</v>
      </c>
      <c r="L106" s="635">
        <v>1.2024359110536973</v>
      </c>
      <c r="M106" s="635">
        <v>10880.127777777778</v>
      </c>
      <c r="N106" s="635">
        <v>1.1299999999999999</v>
      </c>
      <c r="O106" s="635">
        <v>12341.36</v>
      </c>
      <c r="P106" s="657">
        <v>0.75773693707854017</v>
      </c>
      <c r="Q106" s="636">
        <v>10921.557522123896</v>
      </c>
    </row>
    <row r="107" spans="1:17" ht="14.4" customHeight="1" x14ac:dyDescent="0.3">
      <c r="A107" s="631" t="s">
        <v>2853</v>
      </c>
      <c r="B107" s="632" t="s">
        <v>2666</v>
      </c>
      <c r="C107" s="632" t="s">
        <v>2328</v>
      </c>
      <c r="D107" s="632" t="s">
        <v>2866</v>
      </c>
      <c r="E107" s="632" t="s">
        <v>2867</v>
      </c>
      <c r="F107" s="635">
        <v>1.8000000000000003</v>
      </c>
      <c r="G107" s="635">
        <v>3490.39</v>
      </c>
      <c r="H107" s="635">
        <v>1</v>
      </c>
      <c r="I107" s="635">
        <v>1939.1055555555552</v>
      </c>
      <c r="J107" s="635">
        <v>0.8</v>
      </c>
      <c r="K107" s="635">
        <v>1561.48</v>
      </c>
      <c r="L107" s="635">
        <v>0.44736548064829434</v>
      </c>
      <c r="M107" s="635">
        <v>1951.85</v>
      </c>
      <c r="N107" s="635">
        <v>1.1000000000000001</v>
      </c>
      <c r="O107" s="635">
        <v>2151.71</v>
      </c>
      <c r="P107" s="657">
        <v>0.61646692776451917</v>
      </c>
      <c r="Q107" s="636">
        <v>1956.1</v>
      </c>
    </row>
    <row r="108" spans="1:17" ht="14.4" customHeight="1" x14ac:dyDescent="0.3">
      <c r="A108" s="631" t="s">
        <v>2853</v>
      </c>
      <c r="B108" s="632" t="s">
        <v>2666</v>
      </c>
      <c r="C108" s="632" t="s">
        <v>2328</v>
      </c>
      <c r="D108" s="632" t="s">
        <v>2868</v>
      </c>
      <c r="E108" s="632" t="s">
        <v>2869</v>
      </c>
      <c r="F108" s="635">
        <v>0.5</v>
      </c>
      <c r="G108" s="635">
        <v>188.01000000000002</v>
      </c>
      <c r="H108" s="635">
        <v>1</v>
      </c>
      <c r="I108" s="635">
        <v>376.02000000000004</v>
      </c>
      <c r="J108" s="635">
        <v>0.3</v>
      </c>
      <c r="K108" s="635">
        <v>113.78999999999999</v>
      </c>
      <c r="L108" s="635">
        <v>0.60523376416148067</v>
      </c>
      <c r="M108" s="635">
        <v>379.3</v>
      </c>
      <c r="N108" s="635">
        <v>0.15</v>
      </c>
      <c r="O108" s="635">
        <v>56.9</v>
      </c>
      <c r="P108" s="657">
        <v>0.30264347641082917</v>
      </c>
      <c r="Q108" s="636">
        <v>379.33333333333331</v>
      </c>
    </row>
    <row r="109" spans="1:17" ht="14.4" customHeight="1" x14ac:dyDescent="0.3">
      <c r="A109" s="631" t="s">
        <v>2853</v>
      </c>
      <c r="B109" s="632" t="s">
        <v>2666</v>
      </c>
      <c r="C109" s="632" t="s">
        <v>2328</v>
      </c>
      <c r="D109" s="632" t="s">
        <v>2870</v>
      </c>
      <c r="E109" s="632" t="s">
        <v>2871</v>
      </c>
      <c r="F109" s="635"/>
      <c r="G109" s="635"/>
      <c r="H109" s="635"/>
      <c r="I109" s="635"/>
      <c r="J109" s="635"/>
      <c r="K109" s="635"/>
      <c r="L109" s="635"/>
      <c r="M109" s="635"/>
      <c r="N109" s="635">
        <v>0.05</v>
      </c>
      <c r="O109" s="635">
        <v>47.24</v>
      </c>
      <c r="P109" s="657"/>
      <c r="Q109" s="636">
        <v>944.8</v>
      </c>
    </row>
    <row r="110" spans="1:17" ht="14.4" customHeight="1" x14ac:dyDescent="0.3">
      <c r="A110" s="631" t="s">
        <v>2853</v>
      </c>
      <c r="B110" s="632" t="s">
        <v>2666</v>
      </c>
      <c r="C110" s="632" t="s">
        <v>2389</v>
      </c>
      <c r="D110" s="632" t="s">
        <v>2872</v>
      </c>
      <c r="E110" s="632" t="s">
        <v>2873</v>
      </c>
      <c r="F110" s="635"/>
      <c r="G110" s="635"/>
      <c r="H110" s="635"/>
      <c r="I110" s="635"/>
      <c r="J110" s="635">
        <v>1</v>
      </c>
      <c r="K110" s="635">
        <v>589.59</v>
      </c>
      <c r="L110" s="635"/>
      <c r="M110" s="635">
        <v>589.59</v>
      </c>
      <c r="N110" s="635">
        <v>1</v>
      </c>
      <c r="O110" s="635">
        <v>589.59</v>
      </c>
      <c r="P110" s="657"/>
      <c r="Q110" s="636">
        <v>589.59</v>
      </c>
    </row>
    <row r="111" spans="1:17" ht="14.4" customHeight="1" x14ac:dyDescent="0.3">
      <c r="A111" s="631" t="s">
        <v>2853</v>
      </c>
      <c r="B111" s="632" t="s">
        <v>2666</v>
      </c>
      <c r="C111" s="632" t="s">
        <v>2389</v>
      </c>
      <c r="D111" s="632" t="s">
        <v>2874</v>
      </c>
      <c r="E111" s="632" t="s">
        <v>2875</v>
      </c>
      <c r="F111" s="635"/>
      <c r="G111" s="635"/>
      <c r="H111" s="635"/>
      <c r="I111" s="635"/>
      <c r="J111" s="635">
        <v>1</v>
      </c>
      <c r="K111" s="635">
        <v>972.32</v>
      </c>
      <c r="L111" s="635"/>
      <c r="M111" s="635">
        <v>972.32</v>
      </c>
      <c r="N111" s="635">
        <v>2</v>
      </c>
      <c r="O111" s="635">
        <v>1944.64</v>
      </c>
      <c r="P111" s="657"/>
      <c r="Q111" s="636">
        <v>972.32</v>
      </c>
    </row>
    <row r="112" spans="1:17" ht="14.4" customHeight="1" x14ac:dyDescent="0.3">
      <c r="A112" s="631" t="s">
        <v>2853</v>
      </c>
      <c r="B112" s="632" t="s">
        <v>2666</v>
      </c>
      <c r="C112" s="632" t="s">
        <v>2389</v>
      </c>
      <c r="D112" s="632" t="s">
        <v>2876</v>
      </c>
      <c r="E112" s="632" t="s">
        <v>2875</v>
      </c>
      <c r="F112" s="635">
        <v>2</v>
      </c>
      <c r="G112" s="635">
        <v>3294.8</v>
      </c>
      <c r="H112" s="635">
        <v>1</v>
      </c>
      <c r="I112" s="635">
        <v>1647.4</v>
      </c>
      <c r="J112" s="635">
        <v>7</v>
      </c>
      <c r="K112" s="635">
        <v>11951.17</v>
      </c>
      <c r="L112" s="635">
        <v>3.6272823843632387</v>
      </c>
      <c r="M112" s="635">
        <v>1707.31</v>
      </c>
      <c r="N112" s="635">
        <v>9</v>
      </c>
      <c r="O112" s="635">
        <v>15365.79</v>
      </c>
      <c r="P112" s="657">
        <v>4.6636487798955928</v>
      </c>
      <c r="Q112" s="636">
        <v>1707.3100000000002</v>
      </c>
    </row>
    <row r="113" spans="1:17" ht="14.4" customHeight="1" x14ac:dyDescent="0.3">
      <c r="A113" s="631" t="s">
        <v>2853</v>
      </c>
      <c r="B113" s="632" t="s">
        <v>2666</v>
      </c>
      <c r="C113" s="632" t="s">
        <v>2389</v>
      </c>
      <c r="D113" s="632" t="s">
        <v>2877</v>
      </c>
      <c r="E113" s="632" t="s">
        <v>2875</v>
      </c>
      <c r="F113" s="635">
        <v>2</v>
      </c>
      <c r="G113" s="635">
        <v>3987.6</v>
      </c>
      <c r="H113" s="635">
        <v>1</v>
      </c>
      <c r="I113" s="635">
        <v>1993.8</v>
      </c>
      <c r="J113" s="635">
        <v>3</v>
      </c>
      <c r="K113" s="635">
        <v>6198.9000000000005</v>
      </c>
      <c r="L113" s="635">
        <v>1.5545440866686731</v>
      </c>
      <c r="M113" s="635">
        <v>2066.3000000000002</v>
      </c>
      <c r="N113" s="635">
        <v>3</v>
      </c>
      <c r="O113" s="635">
        <v>6198.9</v>
      </c>
      <c r="P113" s="657">
        <v>1.5545440866686728</v>
      </c>
      <c r="Q113" s="636">
        <v>2066.2999999999997</v>
      </c>
    </row>
    <row r="114" spans="1:17" ht="14.4" customHeight="1" x14ac:dyDescent="0.3">
      <c r="A114" s="631" t="s">
        <v>2853</v>
      </c>
      <c r="B114" s="632" t="s">
        <v>2666</v>
      </c>
      <c r="C114" s="632" t="s">
        <v>2389</v>
      </c>
      <c r="D114" s="632" t="s">
        <v>2878</v>
      </c>
      <c r="E114" s="632" t="s">
        <v>2879</v>
      </c>
      <c r="F114" s="635">
        <v>3</v>
      </c>
      <c r="G114" s="635">
        <v>5592.9</v>
      </c>
      <c r="H114" s="635">
        <v>1</v>
      </c>
      <c r="I114" s="635">
        <v>1864.3</v>
      </c>
      <c r="J114" s="635"/>
      <c r="K114" s="635"/>
      <c r="L114" s="635"/>
      <c r="M114" s="635"/>
      <c r="N114" s="635"/>
      <c r="O114" s="635"/>
      <c r="P114" s="657"/>
      <c r="Q114" s="636"/>
    </row>
    <row r="115" spans="1:17" ht="14.4" customHeight="1" x14ac:dyDescent="0.3">
      <c r="A115" s="631" t="s">
        <v>2853</v>
      </c>
      <c r="B115" s="632" t="s">
        <v>2666</v>
      </c>
      <c r="C115" s="632" t="s">
        <v>2389</v>
      </c>
      <c r="D115" s="632" t="s">
        <v>2880</v>
      </c>
      <c r="E115" s="632" t="s">
        <v>2881</v>
      </c>
      <c r="F115" s="635">
        <v>5</v>
      </c>
      <c r="G115" s="635">
        <v>4958.5</v>
      </c>
      <c r="H115" s="635">
        <v>1</v>
      </c>
      <c r="I115" s="635">
        <v>991.7</v>
      </c>
      <c r="J115" s="635">
        <v>3</v>
      </c>
      <c r="K115" s="635">
        <v>3083.2799999999997</v>
      </c>
      <c r="L115" s="635">
        <v>0.62181708177876371</v>
      </c>
      <c r="M115" s="635">
        <v>1027.76</v>
      </c>
      <c r="N115" s="635">
        <v>9</v>
      </c>
      <c r="O115" s="635">
        <v>9249.84</v>
      </c>
      <c r="P115" s="657">
        <v>1.8654512453362913</v>
      </c>
      <c r="Q115" s="636">
        <v>1027.76</v>
      </c>
    </row>
    <row r="116" spans="1:17" ht="14.4" customHeight="1" x14ac:dyDescent="0.3">
      <c r="A116" s="631" t="s">
        <v>2853</v>
      </c>
      <c r="B116" s="632" t="s">
        <v>2666</v>
      </c>
      <c r="C116" s="632" t="s">
        <v>2389</v>
      </c>
      <c r="D116" s="632" t="s">
        <v>2882</v>
      </c>
      <c r="E116" s="632" t="s">
        <v>2881</v>
      </c>
      <c r="F116" s="635">
        <v>1</v>
      </c>
      <c r="G116" s="635">
        <v>2066.6999999999998</v>
      </c>
      <c r="H116" s="635">
        <v>1</v>
      </c>
      <c r="I116" s="635">
        <v>2066.6999999999998</v>
      </c>
      <c r="J116" s="635">
        <v>4</v>
      </c>
      <c r="K116" s="635">
        <v>8567.4</v>
      </c>
      <c r="L116" s="635">
        <v>4.1454492669473071</v>
      </c>
      <c r="M116" s="635">
        <v>2141.85</v>
      </c>
      <c r="N116" s="635"/>
      <c r="O116" s="635"/>
      <c r="P116" s="657"/>
      <c r="Q116" s="636"/>
    </row>
    <row r="117" spans="1:17" ht="14.4" customHeight="1" x14ac:dyDescent="0.3">
      <c r="A117" s="631" t="s">
        <v>2853</v>
      </c>
      <c r="B117" s="632" t="s">
        <v>2666</v>
      </c>
      <c r="C117" s="632" t="s">
        <v>2389</v>
      </c>
      <c r="D117" s="632" t="s">
        <v>2883</v>
      </c>
      <c r="E117" s="632" t="s">
        <v>2884</v>
      </c>
      <c r="F117" s="635">
        <v>1</v>
      </c>
      <c r="G117" s="635">
        <v>20587</v>
      </c>
      <c r="H117" s="635">
        <v>1</v>
      </c>
      <c r="I117" s="635">
        <v>20587</v>
      </c>
      <c r="J117" s="635"/>
      <c r="K117" s="635"/>
      <c r="L117" s="635"/>
      <c r="M117" s="635"/>
      <c r="N117" s="635"/>
      <c r="O117" s="635"/>
      <c r="P117" s="657"/>
      <c r="Q117" s="636"/>
    </row>
    <row r="118" spans="1:17" ht="14.4" customHeight="1" x14ac:dyDescent="0.3">
      <c r="A118" s="631" t="s">
        <v>2853</v>
      </c>
      <c r="B118" s="632" t="s">
        <v>2666</v>
      </c>
      <c r="C118" s="632" t="s">
        <v>2389</v>
      </c>
      <c r="D118" s="632" t="s">
        <v>2885</v>
      </c>
      <c r="E118" s="632" t="s">
        <v>2886</v>
      </c>
      <c r="F118" s="635">
        <v>1</v>
      </c>
      <c r="G118" s="635">
        <v>2583</v>
      </c>
      <c r="H118" s="635">
        <v>1</v>
      </c>
      <c r="I118" s="635">
        <v>2583</v>
      </c>
      <c r="J118" s="635"/>
      <c r="K118" s="635"/>
      <c r="L118" s="635"/>
      <c r="M118" s="635"/>
      <c r="N118" s="635"/>
      <c r="O118" s="635"/>
      <c r="P118" s="657"/>
      <c r="Q118" s="636"/>
    </row>
    <row r="119" spans="1:17" ht="14.4" customHeight="1" x14ac:dyDescent="0.3">
      <c r="A119" s="631" t="s">
        <v>2853</v>
      </c>
      <c r="B119" s="632" t="s">
        <v>2666</v>
      </c>
      <c r="C119" s="632" t="s">
        <v>2389</v>
      </c>
      <c r="D119" s="632" t="s">
        <v>2887</v>
      </c>
      <c r="E119" s="632" t="s">
        <v>2888</v>
      </c>
      <c r="F119" s="635"/>
      <c r="G119" s="635"/>
      <c r="H119" s="635"/>
      <c r="I119" s="635"/>
      <c r="J119" s="635">
        <v>1</v>
      </c>
      <c r="K119" s="635">
        <v>3003.38</v>
      </c>
      <c r="L119" s="635"/>
      <c r="M119" s="635">
        <v>3003.38</v>
      </c>
      <c r="N119" s="635">
        <v>1</v>
      </c>
      <c r="O119" s="635">
        <v>3003.38</v>
      </c>
      <c r="P119" s="657"/>
      <c r="Q119" s="636">
        <v>3003.38</v>
      </c>
    </row>
    <row r="120" spans="1:17" ht="14.4" customHeight="1" x14ac:dyDescent="0.3">
      <c r="A120" s="631" t="s">
        <v>2853</v>
      </c>
      <c r="B120" s="632" t="s">
        <v>2666</v>
      </c>
      <c r="C120" s="632" t="s">
        <v>2389</v>
      </c>
      <c r="D120" s="632" t="s">
        <v>2889</v>
      </c>
      <c r="E120" s="632" t="s">
        <v>2890</v>
      </c>
      <c r="F120" s="635"/>
      <c r="G120" s="635"/>
      <c r="H120" s="635"/>
      <c r="I120" s="635"/>
      <c r="J120" s="635"/>
      <c r="K120" s="635"/>
      <c r="L120" s="635"/>
      <c r="M120" s="635"/>
      <c r="N120" s="635">
        <v>1</v>
      </c>
      <c r="O120" s="635">
        <v>2236.5</v>
      </c>
      <c r="P120" s="657"/>
      <c r="Q120" s="636">
        <v>2236.5</v>
      </c>
    </row>
    <row r="121" spans="1:17" ht="14.4" customHeight="1" x14ac:dyDescent="0.3">
      <c r="A121" s="631" t="s">
        <v>2853</v>
      </c>
      <c r="B121" s="632" t="s">
        <v>2666</v>
      </c>
      <c r="C121" s="632" t="s">
        <v>2389</v>
      </c>
      <c r="D121" s="632" t="s">
        <v>2891</v>
      </c>
      <c r="E121" s="632" t="s">
        <v>2892</v>
      </c>
      <c r="F121" s="635">
        <v>1</v>
      </c>
      <c r="G121" s="635">
        <v>28526.95</v>
      </c>
      <c r="H121" s="635">
        <v>1</v>
      </c>
      <c r="I121" s="635">
        <v>28526.95</v>
      </c>
      <c r="J121" s="635"/>
      <c r="K121" s="635"/>
      <c r="L121" s="635"/>
      <c r="M121" s="635"/>
      <c r="N121" s="635"/>
      <c r="O121" s="635"/>
      <c r="P121" s="657"/>
      <c r="Q121" s="636"/>
    </row>
    <row r="122" spans="1:17" ht="14.4" customHeight="1" x14ac:dyDescent="0.3">
      <c r="A122" s="631" t="s">
        <v>2853</v>
      </c>
      <c r="B122" s="632" t="s">
        <v>2666</v>
      </c>
      <c r="C122" s="632" t="s">
        <v>2389</v>
      </c>
      <c r="D122" s="632" t="s">
        <v>2893</v>
      </c>
      <c r="E122" s="632" t="s">
        <v>2894</v>
      </c>
      <c r="F122" s="635"/>
      <c r="G122" s="635"/>
      <c r="H122" s="635"/>
      <c r="I122" s="635"/>
      <c r="J122" s="635">
        <v>7</v>
      </c>
      <c r="K122" s="635">
        <v>48235.46</v>
      </c>
      <c r="L122" s="635"/>
      <c r="M122" s="635">
        <v>6890.78</v>
      </c>
      <c r="N122" s="635">
        <v>8</v>
      </c>
      <c r="O122" s="635">
        <v>55126.239999999998</v>
      </c>
      <c r="P122" s="657"/>
      <c r="Q122" s="636">
        <v>6890.78</v>
      </c>
    </row>
    <row r="123" spans="1:17" ht="14.4" customHeight="1" x14ac:dyDescent="0.3">
      <c r="A123" s="631" t="s">
        <v>2853</v>
      </c>
      <c r="B123" s="632" t="s">
        <v>2666</v>
      </c>
      <c r="C123" s="632" t="s">
        <v>2389</v>
      </c>
      <c r="D123" s="632" t="s">
        <v>2895</v>
      </c>
      <c r="E123" s="632" t="s">
        <v>2896</v>
      </c>
      <c r="F123" s="635"/>
      <c r="G123" s="635"/>
      <c r="H123" s="635"/>
      <c r="I123" s="635"/>
      <c r="J123" s="635">
        <v>1</v>
      </c>
      <c r="K123" s="635">
        <v>4137.8900000000003</v>
      </c>
      <c r="L123" s="635"/>
      <c r="M123" s="635">
        <v>4137.8900000000003</v>
      </c>
      <c r="N123" s="635">
        <v>1</v>
      </c>
      <c r="O123" s="635">
        <v>4137.8900000000003</v>
      </c>
      <c r="P123" s="657"/>
      <c r="Q123" s="636">
        <v>4137.8900000000003</v>
      </c>
    </row>
    <row r="124" spans="1:17" ht="14.4" customHeight="1" x14ac:dyDescent="0.3">
      <c r="A124" s="631" t="s">
        <v>2853</v>
      </c>
      <c r="B124" s="632" t="s">
        <v>2666</v>
      </c>
      <c r="C124" s="632" t="s">
        <v>2389</v>
      </c>
      <c r="D124" s="632" t="s">
        <v>2897</v>
      </c>
      <c r="E124" s="632" t="s">
        <v>2898</v>
      </c>
      <c r="F124" s="635"/>
      <c r="G124" s="635"/>
      <c r="H124" s="635"/>
      <c r="I124" s="635"/>
      <c r="J124" s="635"/>
      <c r="K124" s="635"/>
      <c r="L124" s="635"/>
      <c r="M124" s="635"/>
      <c r="N124" s="635">
        <v>1</v>
      </c>
      <c r="O124" s="635">
        <v>1123.73</v>
      </c>
      <c r="P124" s="657"/>
      <c r="Q124" s="636">
        <v>1123.73</v>
      </c>
    </row>
    <row r="125" spans="1:17" ht="14.4" customHeight="1" x14ac:dyDescent="0.3">
      <c r="A125" s="631" t="s">
        <v>2853</v>
      </c>
      <c r="B125" s="632" t="s">
        <v>2666</v>
      </c>
      <c r="C125" s="632" t="s">
        <v>2389</v>
      </c>
      <c r="D125" s="632" t="s">
        <v>2899</v>
      </c>
      <c r="E125" s="632" t="s">
        <v>2900</v>
      </c>
      <c r="F125" s="635">
        <v>1</v>
      </c>
      <c r="G125" s="635">
        <v>16474</v>
      </c>
      <c r="H125" s="635">
        <v>1</v>
      </c>
      <c r="I125" s="635">
        <v>16474</v>
      </c>
      <c r="J125" s="635"/>
      <c r="K125" s="635"/>
      <c r="L125" s="635"/>
      <c r="M125" s="635"/>
      <c r="N125" s="635">
        <v>2</v>
      </c>
      <c r="O125" s="635">
        <v>34146.1</v>
      </c>
      <c r="P125" s="657">
        <v>2.0727267208935292</v>
      </c>
      <c r="Q125" s="636">
        <v>17073.05</v>
      </c>
    </row>
    <row r="126" spans="1:17" ht="14.4" customHeight="1" x14ac:dyDescent="0.3">
      <c r="A126" s="631" t="s">
        <v>2853</v>
      </c>
      <c r="B126" s="632" t="s">
        <v>2666</v>
      </c>
      <c r="C126" s="632" t="s">
        <v>2389</v>
      </c>
      <c r="D126" s="632" t="s">
        <v>2901</v>
      </c>
      <c r="E126" s="632" t="s">
        <v>2902</v>
      </c>
      <c r="F126" s="635">
        <v>1</v>
      </c>
      <c r="G126" s="635">
        <v>11561.67</v>
      </c>
      <c r="H126" s="635">
        <v>1</v>
      </c>
      <c r="I126" s="635">
        <v>11561.67</v>
      </c>
      <c r="J126" s="635"/>
      <c r="K126" s="635"/>
      <c r="L126" s="635"/>
      <c r="M126" s="635"/>
      <c r="N126" s="635"/>
      <c r="O126" s="635"/>
      <c r="P126" s="657"/>
      <c r="Q126" s="636"/>
    </row>
    <row r="127" spans="1:17" ht="14.4" customHeight="1" x14ac:dyDescent="0.3">
      <c r="A127" s="631" t="s">
        <v>2853</v>
      </c>
      <c r="B127" s="632" t="s">
        <v>2666</v>
      </c>
      <c r="C127" s="632" t="s">
        <v>2389</v>
      </c>
      <c r="D127" s="632" t="s">
        <v>2903</v>
      </c>
      <c r="E127" s="632" t="s">
        <v>2904</v>
      </c>
      <c r="F127" s="635">
        <v>4</v>
      </c>
      <c r="G127" s="635">
        <v>4011.2</v>
      </c>
      <c r="H127" s="635">
        <v>1</v>
      </c>
      <c r="I127" s="635">
        <v>1002.8</v>
      </c>
      <c r="J127" s="635">
        <v>2</v>
      </c>
      <c r="K127" s="635">
        <v>2005.6</v>
      </c>
      <c r="L127" s="635">
        <v>0.5</v>
      </c>
      <c r="M127" s="635">
        <v>1002.8</v>
      </c>
      <c r="N127" s="635">
        <v>1</v>
      </c>
      <c r="O127" s="635">
        <v>1002.8</v>
      </c>
      <c r="P127" s="657">
        <v>0.25</v>
      </c>
      <c r="Q127" s="636">
        <v>1002.8</v>
      </c>
    </row>
    <row r="128" spans="1:17" ht="14.4" customHeight="1" x14ac:dyDescent="0.3">
      <c r="A128" s="631" t="s">
        <v>2853</v>
      </c>
      <c r="B128" s="632" t="s">
        <v>2666</v>
      </c>
      <c r="C128" s="632" t="s">
        <v>2389</v>
      </c>
      <c r="D128" s="632" t="s">
        <v>2905</v>
      </c>
      <c r="E128" s="632" t="s">
        <v>2906</v>
      </c>
      <c r="F128" s="635"/>
      <c r="G128" s="635"/>
      <c r="H128" s="635"/>
      <c r="I128" s="635"/>
      <c r="J128" s="635">
        <v>4</v>
      </c>
      <c r="K128" s="635">
        <v>30600</v>
      </c>
      <c r="L128" s="635"/>
      <c r="M128" s="635">
        <v>7650</v>
      </c>
      <c r="N128" s="635">
        <v>5</v>
      </c>
      <c r="O128" s="635">
        <v>38250</v>
      </c>
      <c r="P128" s="657"/>
      <c r="Q128" s="636">
        <v>7650</v>
      </c>
    </row>
    <row r="129" spans="1:17" ht="14.4" customHeight="1" x14ac:dyDescent="0.3">
      <c r="A129" s="631" t="s">
        <v>2853</v>
      </c>
      <c r="B129" s="632" t="s">
        <v>2666</v>
      </c>
      <c r="C129" s="632" t="s">
        <v>2389</v>
      </c>
      <c r="D129" s="632" t="s">
        <v>2907</v>
      </c>
      <c r="E129" s="632" t="s">
        <v>2908</v>
      </c>
      <c r="F129" s="635"/>
      <c r="G129" s="635"/>
      <c r="H129" s="635"/>
      <c r="I129" s="635"/>
      <c r="J129" s="635"/>
      <c r="K129" s="635"/>
      <c r="L129" s="635"/>
      <c r="M129" s="635"/>
      <c r="N129" s="635">
        <v>2</v>
      </c>
      <c r="O129" s="635">
        <v>26569.040000000001</v>
      </c>
      <c r="P129" s="657"/>
      <c r="Q129" s="636">
        <v>13284.52</v>
      </c>
    </row>
    <row r="130" spans="1:17" ht="14.4" customHeight="1" x14ac:dyDescent="0.3">
      <c r="A130" s="631" t="s">
        <v>2853</v>
      </c>
      <c r="B130" s="632" t="s">
        <v>2666</v>
      </c>
      <c r="C130" s="632" t="s">
        <v>2389</v>
      </c>
      <c r="D130" s="632" t="s">
        <v>2909</v>
      </c>
      <c r="E130" s="632" t="s">
        <v>2910</v>
      </c>
      <c r="F130" s="635"/>
      <c r="G130" s="635"/>
      <c r="H130" s="635"/>
      <c r="I130" s="635"/>
      <c r="J130" s="635"/>
      <c r="K130" s="635"/>
      <c r="L130" s="635"/>
      <c r="M130" s="635"/>
      <c r="N130" s="635">
        <v>1</v>
      </c>
      <c r="O130" s="635">
        <v>2170.9699999999998</v>
      </c>
      <c r="P130" s="657"/>
      <c r="Q130" s="636">
        <v>2170.9699999999998</v>
      </c>
    </row>
    <row r="131" spans="1:17" ht="14.4" customHeight="1" x14ac:dyDescent="0.3">
      <c r="A131" s="631" t="s">
        <v>2853</v>
      </c>
      <c r="B131" s="632" t="s">
        <v>2666</v>
      </c>
      <c r="C131" s="632" t="s">
        <v>2389</v>
      </c>
      <c r="D131" s="632" t="s">
        <v>2911</v>
      </c>
      <c r="E131" s="632" t="s">
        <v>2912</v>
      </c>
      <c r="F131" s="635"/>
      <c r="G131" s="635"/>
      <c r="H131" s="635"/>
      <c r="I131" s="635"/>
      <c r="J131" s="635">
        <v>1</v>
      </c>
      <c r="K131" s="635">
        <v>797</v>
      </c>
      <c r="L131" s="635"/>
      <c r="M131" s="635">
        <v>797</v>
      </c>
      <c r="N131" s="635">
        <v>2</v>
      </c>
      <c r="O131" s="635">
        <v>1594</v>
      </c>
      <c r="P131" s="657"/>
      <c r="Q131" s="636">
        <v>797</v>
      </c>
    </row>
    <row r="132" spans="1:17" ht="14.4" customHeight="1" x14ac:dyDescent="0.3">
      <c r="A132" s="631" t="s">
        <v>2853</v>
      </c>
      <c r="B132" s="632" t="s">
        <v>2666</v>
      </c>
      <c r="C132" s="632" t="s">
        <v>2389</v>
      </c>
      <c r="D132" s="632" t="s">
        <v>2913</v>
      </c>
      <c r="E132" s="632" t="s">
        <v>2914</v>
      </c>
      <c r="F132" s="635"/>
      <c r="G132" s="635"/>
      <c r="H132" s="635"/>
      <c r="I132" s="635"/>
      <c r="J132" s="635"/>
      <c r="K132" s="635"/>
      <c r="L132" s="635"/>
      <c r="M132" s="635"/>
      <c r="N132" s="635">
        <v>1</v>
      </c>
      <c r="O132" s="635">
        <v>10072.94</v>
      </c>
      <c r="P132" s="657"/>
      <c r="Q132" s="636">
        <v>10072.94</v>
      </c>
    </row>
    <row r="133" spans="1:17" ht="14.4" customHeight="1" x14ac:dyDescent="0.3">
      <c r="A133" s="631" t="s">
        <v>2853</v>
      </c>
      <c r="B133" s="632" t="s">
        <v>2666</v>
      </c>
      <c r="C133" s="632" t="s">
        <v>2389</v>
      </c>
      <c r="D133" s="632" t="s">
        <v>2915</v>
      </c>
      <c r="E133" s="632" t="s">
        <v>2916</v>
      </c>
      <c r="F133" s="635"/>
      <c r="G133" s="635"/>
      <c r="H133" s="635"/>
      <c r="I133" s="635"/>
      <c r="J133" s="635"/>
      <c r="K133" s="635"/>
      <c r="L133" s="635"/>
      <c r="M133" s="635"/>
      <c r="N133" s="635">
        <v>2</v>
      </c>
      <c r="O133" s="635">
        <v>5948.72</v>
      </c>
      <c r="P133" s="657"/>
      <c r="Q133" s="636">
        <v>2974.36</v>
      </c>
    </row>
    <row r="134" spans="1:17" ht="14.4" customHeight="1" x14ac:dyDescent="0.3">
      <c r="A134" s="631" t="s">
        <v>2853</v>
      </c>
      <c r="B134" s="632" t="s">
        <v>2666</v>
      </c>
      <c r="C134" s="632" t="s">
        <v>2389</v>
      </c>
      <c r="D134" s="632" t="s">
        <v>2917</v>
      </c>
      <c r="E134" s="632" t="s">
        <v>2918</v>
      </c>
      <c r="F134" s="635"/>
      <c r="G134" s="635"/>
      <c r="H134" s="635"/>
      <c r="I134" s="635"/>
      <c r="J134" s="635">
        <v>1</v>
      </c>
      <c r="K134" s="635">
        <v>5259.23</v>
      </c>
      <c r="L134" s="635"/>
      <c r="M134" s="635">
        <v>5259.23</v>
      </c>
      <c r="N134" s="635">
        <v>2</v>
      </c>
      <c r="O134" s="635">
        <v>10518.46</v>
      </c>
      <c r="P134" s="657"/>
      <c r="Q134" s="636">
        <v>5259.23</v>
      </c>
    </row>
    <row r="135" spans="1:17" ht="14.4" customHeight="1" x14ac:dyDescent="0.3">
      <c r="A135" s="631" t="s">
        <v>2853</v>
      </c>
      <c r="B135" s="632" t="s">
        <v>2666</v>
      </c>
      <c r="C135" s="632" t="s">
        <v>2389</v>
      </c>
      <c r="D135" s="632" t="s">
        <v>2919</v>
      </c>
      <c r="E135" s="632" t="s">
        <v>2920</v>
      </c>
      <c r="F135" s="635"/>
      <c r="G135" s="635"/>
      <c r="H135" s="635"/>
      <c r="I135" s="635"/>
      <c r="J135" s="635">
        <v>1</v>
      </c>
      <c r="K135" s="635">
        <v>605.65</v>
      </c>
      <c r="L135" s="635"/>
      <c r="M135" s="635">
        <v>605.65</v>
      </c>
      <c r="N135" s="635"/>
      <c r="O135" s="635"/>
      <c r="P135" s="657"/>
      <c r="Q135" s="636"/>
    </row>
    <row r="136" spans="1:17" ht="14.4" customHeight="1" x14ac:dyDescent="0.3">
      <c r="A136" s="631" t="s">
        <v>2853</v>
      </c>
      <c r="B136" s="632" t="s">
        <v>2666</v>
      </c>
      <c r="C136" s="632" t="s">
        <v>2389</v>
      </c>
      <c r="D136" s="632" t="s">
        <v>2921</v>
      </c>
      <c r="E136" s="632" t="s">
        <v>2922</v>
      </c>
      <c r="F136" s="635"/>
      <c r="G136" s="635"/>
      <c r="H136" s="635"/>
      <c r="I136" s="635"/>
      <c r="J136" s="635"/>
      <c r="K136" s="635"/>
      <c r="L136" s="635"/>
      <c r="M136" s="635"/>
      <c r="N136" s="635">
        <v>2</v>
      </c>
      <c r="O136" s="635">
        <v>34763.980000000003</v>
      </c>
      <c r="P136" s="657"/>
      <c r="Q136" s="636">
        <v>17381.990000000002</v>
      </c>
    </row>
    <row r="137" spans="1:17" ht="14.4" customHeight="1" x14ac:dyDescent="0.3">
      <c r="A137" s="631" t="s">
        <v>2853</v>
      </c>
      <c r="B137" s="632" t="s">
        <v>2666</v>
      </c>
      <c r="C137" s="632" t="s">
        <v>2389</v>
      </c>
      <c r="D137" s="632" t="s">
        <v>2923</v>
      </c>
      <c r="E137" s="632" t="s">
        <v>2924</v>
      </c>
      <c r="F137" s="635">
        <v>1</v>
      </c>
      <c r="G137" s="635">
        <v>802</v>
      </c>
      <c r="H137" s="635">
        <v>1</v>
      </c>
      <c r="I137" s="635">
        <v>802</v>
      </c>
      <c r="J137" s="635">
        <v>1</v>
      </c>
      <c r="K137" s="635">
        <v>831.16</v>
      </c>
      <c r="L137" s="635">
        <v>1.036359102244389</v>
      </c>
      <c r="M137" s="635">
        <v>831.16</v>
      </c>
      <c r="N137" s="635">
        <v>2</v>
      </c>
      <c r="O137" s="635">
        <v>1662.32</v>
      </c>
      <c r="P137" s="657">
        <v>2.072718204488778</v>
      </c>
      <c r="Q137" s="636">
        <v>831.16</v>
      </c>
    </row>
    <row r="138" spans="1:17" ht="14.4" customHeight="1" x14ac:dyDescent="0.3">
      <c r="A138" s="631" t="s">
        <v>2853</v>
      </c>
      <c r="B138" s="632" t="s">
        <v>2666</v>
      </c>
      <c r="C138" s="632" t="s">
        <v>2389</v>
      </c>
      <c r="D138" s="632" t="s">
        <v>2925</v>
      </c>
      <c r="E138" s="632" t="s">
        <v>2924</v>
      </c>
      <c r="F138" s="635"/>
      <c r="G138" s="635"/>
      <c r="H138" s="635"/>
      <c r="I138" s="635"/>
      <c r="J138" s="635">
        <v>2</v>
      </c>
      <c r="K138" s="635">
        <v>1776.12</v>
      </c>
      <c r="L138" s="635"/>
      <c r="M138" s="635">
        <v>888.06</v>
      </c>
      <c r="N138" s="635">
        <v>5</v>
      </c>
      <c r="O138" s="635">
        <v>4440.2999999999993</v>
      </c>
      <c r="P138" s="657"/>
      <c r="Q138" s="636">
        <v>888.05999999999983</v>
      </c>
    </row>
    <row r="139" spans="1:17" ht="14.4" customHeight="1" x14ac:dyDescent="0.3">
      <c r="A139" s="631" t="s">
        <v>2853</v>
      </c>
      <c r="B139" s="632" t="s">
        <v>2666</v>
      </c>
      <c r="C139" s="632" t="s">
        <v>2389</v>
      </c>
      <c r="D139" s="632" t="s">
        <v>2926</v>
      </c>
      <c r="E139" s="632" t="s">
        <v>2927</v>
      </c>
      <c r="F139" s="635"/>
      <c r="G139" s="635"/>
      <c r="H139" s="635"/>
      <c r="I139" s="635"/>
      <c r="J139" s="635"/>
      <c r="K139" s="635"/>
      <c r="L139" s="635"/>
      <c r="M139" s="635"/>
      <c r="N139" s="635">
        <v>3</v>
      </c>
      <c r="O139" s="635">
        <v>2664.18</v>
      </c>
      <c r="P139" s="657"/>
      <c r="Q139" s="636">
        <v>888.06</v>
      </c>
    </row>
    <row r="140" spans="1:17" ht="14.4" customHeight="1" x14ac:dyDescent="0.3">
      <c r="A140" s="631" t="s">
        <v>2853</v>
      </c>
      <c r="B140" s="632" t="s">
        <v>2666</v>
      </c>
      <c r="C140" s="632" t="s">
        <v>2389</v>
      </c>
      <c r="D140" s="632" t="s">
        <v>2928</v>
      </c>
      <c r="E140" s="632" t="s">
        <v>2929</v>
      </c>
      <c r="F140" s="635"/>
      <c r="G140" s="635"/>
      <c r="H140" s="635"/>
      <c r="I140" s="635"/>
      <c r="J140" s="635"/>
      <c r="K140" s="635"/>
      <c r="L140" s="635"/>
      <c r="M140" s="635"/>
      <c r="N140" s="635">
        <v>2</v>
      </c>
      <c r="O140" s="635">
        <v>1662.32</v>
      </c>
      <c r="P140" s="657"/>
      <c r="Q140" s="636">
        <v>831.16</v>
      </c>
    </row>
    <row r="141" spans="1:17" ht="14.4" customHeight="1" x14ac:dyDescent="0.3">
      <c r="A141" s="631" t="s">
        <v>2853</v>
      </c>
      <c r="B141" s="632" t="s">
        <v>2666</v>
      </c>
      <c r="C141" s="632" t="s">
        <v>2389</v>
      </c>
      <c r="D141" s="632" t="s">
        <v>2930</v>
      </c>
      <c r="E141" s="632" t="s">
        <v>2931</v>
      </c>
      <c r="F141" s="635"/>
      <c r="G141" s="635"/>
      <c r="H141" s="635"/>
      <c r="I141" s="635"/>
      <c r="J141" s="635">
        <v>2</v>
      </c>
      <c r="K141" s="635">
        <v>7797.6</v>
      </c>
      <c r="L141" s="635"/>
      <c r="M141" s="635">
        <v>3898.8</v>
      </c>
      <c r="N141" s="635">
        <v>6</v>
      </c>
      <c r="O141" s="635">
        <v>23392.799999999999</v>
      </c>
      <c r="P141" s="657"/>
      <c r="Q141" s="636">
        <v>3898.7999999999997</v>
      </c>
    </row>
    <row r="142" spans="1:17" ht="14.4" customHeight="1" x14ac:dyDescent="0.3">
      <c r="A142" s="631" t="s">
        <v>2853</v>
      </c>
      <c r="B142" s="632" t="s">
        <v>2666</v>
      </c>
      <c r="C142" s="632" t="s">
        <v>2389</v>
      </c>
      <c r="D142" s="632" t="s">
        <v>2932</v>
      </c>
      <c r="E142" s="632" t="s">
        <v>2933</v>
      </c>
      <c r="F142" s="635">
        <v>3</v>
      </c>
      <c r="G142" s="635">
        <v>4263.6000000000004</v>
      </c>
      <c r="H142" s="635">
        <v>1</v>
      </c>
      <c r="I142" s="635">
        <v>1421.2</v>
      </c>
      <c r="J142" s="635">
        <v>1</v>
      </c>
      <c r="K142" s="635">
        <v>1472.88</v>
      </c>
      <c r="L142" s="635">
        <v>0.34545454545454546</v>
      </c>
      <c r="M142" s="635">
        <v>1472.88</v>
      </c>
      <c r="N142" s="635">
        <v>4</v>
      </c>
      <c r="O142" s="635">
        <v>5891.52</v>
      </c>
      <c r="P142" s="657">
        <v>1.3818181818181818</v>
      </c>
      <c r="Q142" s="636">
        <v>1472.88</v>
      </c>
    </row>
    <row r="143" spans="1:17" ht="14.4" customHeight="1" x14ac:dyDescent="0.3">
      <c r="A143" s="631" t="s">
        <v>2853</v>
      </c>
      <c r="B143" s="632" t="s">
        <v>2666</v>
      </c>
      <c r="C143" s="632" t="s">
        <v>2389</v>
      </c>
      <c r="D143" s="632" t="s">
        <v>2934</v>
      </c>
      <c r="E143" s="632" t="s">
        <v>2935</v>
      </c>
      <c r="F143" s="635">
        <v>3</v>
      </c>
      <c r="G143" s="635">
        <v>215400</v>
      </c>
      <c r="H143" s="635">
        <v>1</v>
      </c>
      <c r="I143" s="635">
        <v>71800</v>
      </c>
      <c r="J143" s="635"/>
      <c r="K143" s="635"/>
      <c r="L143" s="635"/>
      <c r="M143" s="635"/>
      <c r="N143" s="635"/>
      <c r="O143" s="635"/>
      <c r="P143" s="657"/>
      <c r="Q143" s="636"/>
    </row>
    <row r="144" spans="1:17" ht="14.4" customHeight="1" x14ac:dyDescent="0.3">
      <c r="A144" s="631" t="s">
        <v>2853</v>
      </c>
      <c r="B144" s="632" t="s">
        <v>2666</v>
      </c>
      <c r="C144" s="632" t="s">
        <v>2389</v>
      </c>
      <c r="D144" s="632" t="s">
        <v>2936</v>
      </c>
      <c r="E144" s="632" t="s">
        <v>2937</v>
      </c>
      <c r="F144" s="635"/>
      <c r="G144" s="635"/>
      <c r="H144" s="635"/>
      <c r="I144" s="635"/>
      <c r="J144" s="635"/>
      <c r="K144" s="635"/>
      <c r="L144" s="635"/>
      <c r="M144" s="635"/>
      <c r="N144" s="635">
        <v>11</v>
      </c>
      <c r="O144" s="635">
        <v>40090.379999999997</v>
      </c>
      <c r="P144" s="657"/>
      <c r="Q144" s="636">
        <v>3644.58</v>
      </c>
    </row>
    <row r="145" spans="1:17" ht="14.4" customHeight="1" x14ac:dyDescent="0.3">
      <c r="A145" s="631" t="s">
        <v>2853</v>
      </c>
      <c r="B145" s="632" t="s">
        <v>2666</v>
      </c>
      <c r="C145" s="632" t="s">
        <v>2389</v>
      </c>
      <c r="D145" s="632" t="s">
        <v>2938</v>
      </c>
      <c r="E145" s="632" t="s">
        <v>2939</v>
      </c>
      <c r="F145" s="635">
        <v>1</v>
      </c>
      <c r="G145" s="635">
        <v>9719.6</v>
      </c>
      <c r="H145" s="635">
        <v>1</v>
      </c>
      <c r="I145" s="635">
        <v>9719.6</v>
      </c>
      <c r="J145" s="635"/>
      <c r="K145" s="635"/>
      <c r="L145" s="635"/>
      <c r="M145" s="635"/>
      <c r="N145" s="635"/>
      <c r="O145" s="635"/>
      <c r="P145" s="657"/>
      <c r="Q145" s="636"/>
    </row>
    <row r="146" spans="1:17" ht="14.4" customHeight="1" x14ac:dyDescent="0.3">
      <c r="A146" s="631" t="s">
        <v>2853</v>
      </c>
      <c r="B146" s="632" t="s">
        <v>2666</v>
      </c>
      <c r="C146" s="632" t="s">
        <v>2389</v>
      </c>
      <c r="D146" s="632" t="s">
        <v>2940</v>
      </c>
      <c r="E146" s="632" t="s">
        <v>2941</v>
      </c>
      <c r="F146" s="635">
        <v>2</v>
      </c>
      <c r="G146" s="635">
        <v>2611.64</v>
      </c>
      <c r="H146" s="635">
        <v>1</v>
      </c>
      <c r="I146" s="635">
        <v>1305.82</v>
      </c>
      <c r="J146" s="635">
        <v>7</v>
      </c>
      <c r="K146" s="635">
        <v>9140.74</v>
      </c>
      <c r="L146" s="635">
        <v>3.5</v>
      </c>
      <c r="M146" s="635">
        <v>1305.82</v>
      </c>
      <c r="N146" s="635">
        <v>10</v>
      </c>
      <c r="O146" s="635">
        <v>13058.2</v>
      </c>
      <c r="P146" s="657">
        <v>5.0000000000000009</v>
      </c>
      <c r="Q146" s="636">
        <v>1305.8200000000002</v>
      </c>
    </row>
    <row r="147" spans="1:17" ht="14.4" customHeight="1" x14ac:dyDescent="0.3">
      <c r="A147" s="631" t="s">
        <v>2853</v>
      </c>
      <c r="B147" s="632" t="s">
        <v>2666</v>
      </c>
      <c r="C147" s="632" t="s">
        <v>2389</v>
      </c>
      <c r="D147" s="632" t="s">
        <v>2942</v>
      </c>
      <c r="E147" s="632" t="s">
        <v>2943</v>
      </c>
      <c r="F147" s="635"/>
      <c r="G147" s="635"/>
      <c r="H147" s="635"/>
      <c r="I147" s="635"/>
      <c r="J147" s="635"/>
      <c r="K147" s="635"/>
      <c r="L147" s="635"/>
      <c r="M147" s="635"/>
      <c r="N147" s="635">
        <v>2</v>
      </c>
      <c r="O147" s="635">
        <v>160000</v>
      </c>
      <c r="P147" s="657"/>
      <c r="Q147" s="636">
        <v>80000</v>
      </c>
    </row>
    <row r="148" spans="1:17" ht="14.4" customHeight="1" x14ac:dyDescent="0.3">
      <c r="A148" s="631" t="s">
        <v>2853</v>
      </c>
      <c r="B148" s="632" t="s">
        <v>2666</v>
      </c>
      <c r="C148" s="632" t="s">
        <v>2389</v>
      </c>
      <c r="D148" s="632" t="s">
        <v>2944</v>
      </c>
      <c r="E148" s="632" t="s">
        <v>2945</v>
      </c>
      <c r="F148" s="635"/>
      <c r="G148" s="635"/>
      <c r="H148" s="635"/>
      <c r="I148" s="635"/>
      <c r="J148" s="635">
        <v>5</v>
      </c>
      <c r="K148" s="635">
        <v>1795.5000000000002</v>
      </c>
      <c r="L148" s="635"/>
      <c r="M148" s="635">
        <v>359.1</v>
      </c>
      <c r="N148" s="635">
        <v>6</v>
      </c>
      <c r="O148" s="635">
        <v>2154.6000000000004</v>
      </c>
      <c r="P148" s="657"/>
      <c r="Q148" s="636">
        <v>359.10000000000008</v>
      </c>
    </row>
    <row r="149" spans="1:17" ht="14.4" customHeight="1" x14ac:dyDescent="0.3">
      <c r="A149" s="631" t="s">
        <v>2853</v>
      </c>
      <c r="B149" s="632" t="s">
        <v>2666</v>
      </c>
      <c r="C149" s="632" t="s">
        <v>2389</v>
      </c>
      <c r="D149" s="632" t="s">
        <v>2946</v>
      </c>
      <c r="E149" s="632" t="s">
        <v>2947</v>
      </c>
      <c r="F149" s="635">
        <v>1</v>
      </c>
      <c r="G149" s="635">
        <v>34960</v>
      </c>
      <c r="H149" s="635">
        <v>1</v>
      </c>
      <c r="I149" s="635">
        <v>34960</v>
      </c>
      <c r="J149" s="635"/>
      <c r="K149" s="635"/>
      <c r="L149" s="635"/>
      <c r="M149" s="635"/>
      <c r="N149" s="635"/>
      <c r="O149" s="635"/>
      <c r="P149" s="657"/>
      <c r="Q149" s="636"/>
    </row>
    <row r="150" spans="1:17" ht="14.4" customHeight="1" x14ac:dyDescent="0.3">
      <c r="A150" s="631" t="s">
        <v>2853</v>
      </c>
      <c r="B150" s="632" t="s">
        <v>2666</v>
      </c>
      <c r="C150" s="632" t="s">
        <v>2389</v>
      </c>
      <c r="D150" s="632" t="s">
        <v>2948</v>
      </c>
      <c r="E150" s="632" t="s">
        <v>2949</v>
      </c>
      <c r="F150" s="635"/>
      <c r="G150" s="635"/>
      <c r="H150" s="635"/>
      <c r="I150" s="635"/>
      <c r="J150" s="635">
        <v>1</v>
      </c>
      <c r="K150" s="635">
        <v>16831.689999999999</v>
      </c>
      <c r="L150" s="635"/>
      <c r="M150" s="635">
        <v>16831.689999999999</v>
      </c>
      <c r="N150" s="635">
        <v>1</v>
      </c>
      <c r="O150" s="635">
        <v>16831.689999999999</v>
      </c>
      <c r="P150" s="657"/>
      <c r="Q150" s="636">
        <v>16831.689999999999</v>
      </c>
    </row>
    <row r="151" spans="1:17" ht="14.4" customHeight="1" x14ac:dyDescent="0.3">
      <c r="A151" s="631" t="s">
        <v>2853</v>
      </c>
      <c r="B151" s="632" t="s">
        <v>2666</v>
      </c>
      <c r="C151" s="632" t="s">
        <v>2389</v>
      </c>
      <c r="D151" s="632" t="s">
        <v>2950</v>
      </c>
      <c r="E151" s="632" t="s">
        <v>2951</v>
      </c>
      <c r="F151" s="635"/>
      <c r="G151" s="635"/>
      <c r="H151" s="635"/>
      <c r="I151" s="635"/>
      <c r="J151" s="635"/>
      <c r="K151" s="635"/>
      <c r="L151" s="635"/>
      <c r="M151" s="635"/>
      <c r="N151" s="635">
        <v>4</v>
      </c>
      <c r="O151" s="635">
        <v>26348.52</v>
      </c>
      <c r="P151" s="657"/>
      <c r="Q151" s="636">
        <v>6587.13</v>
      </c>
    </row>
    <row r="152" spans="1:17" ht="14.4" customHeight="1" x14ac:dyDescent="0.3">
      <c r="A152" s="631" t="s">
        <v>2853</v>
      </c>
      <c r="B152" s="632" t="s">
        <v>2666</v>
      </c>
      <c r="C152" s="632" t="s">
        <v>2389</v>
      </c>
      <c r="D152" s="632" t="s">
        <v>2952</v>
      </c>
      <c r="E152" s="632" t="s">
        <v>2953</v>
      </c>
      <c r="F152" s="635">
        <v>1</v>
      </c>
      <c r="G152" s="635">
        <v>1841.62</v>
      </c>
      <c r="H152" s="635">
        <v>1</v>
      </c>
      <c r="I152" s="635">
        <v>1841.62</v>
      </c>
      <c r="J152" s="635">
        <v>1</v>
      </c>
      <c r="K152" s="635">
        <v>1841.62</v>
      </c>
      <c r="L152" s="635">
        <v>1</v>
      </c>
      <c r="M152" s="635">
        <v>1841.62</v>
      </c>
      <c r="N152" s="635"/>
      <c r="O152" s="635"/>
      <c r="P152" s="657"/>
      <c r="Q152" s="636"/>
    </row>
    <row r="153" spans="1:17" ht="14.4" customHeight="1" x14ac:dyDescent="0.3">
      <c r="A153" s="631" t="s">
        <v>2853</v>
      </c>
      <c r="B153" s="632" t="s">
        <v>2666</v>
      </c>
      <c r="C153" s="632" t="s">
        <v>2389</v>
      </c>
      <c r="D153" s="632" t="s">
        <v>2954</v>
      </c>
      <c r="E153" s="632" t="s">
        <v>2955</v>
      </c>
      <c r="F153" s="635"/>
      <c r="G153" s="635"/>
      <c r="H153" s="635"/>
      <c r="I153" s="635"/>
      <c r="J153" s="635">
        <v>1</v>
      </c>
      <c r="K153" s="635">
        <v>32601.31</v>
      </c>
      <c r="L153" s="635"/>
      <c r="M153" s="635">
        <v>32601.31</v>
      </c>
      <c r="N153" s="635"/>
      <c r="O153" s="635"/>
      <c r="P153" s="657"/>
      <c r="Q153" s="636"/>
    </row>
    <row r="154" spans="1:17" ht="14.4" customHeight="1" x14ac:dyDescent="0.3">
      <c r="A154" s="631" t="s">
        <v>2853</v>
      </c>
      <c r="B154" s="632" t="s">
        <v>2666</v>
      </c>
      <c r="C154" s="632" t="s">
        <v>2389</v>
      </c>
      <c r="D154" s="632" t="s">
        <v>2956</v>
      </c>
      <c r="E154" s="632" t="s">
        <v>2957</v>
      </c>
      <c r="F154" s="635"/>
      <c r="G154" s="635"/>
      <c r="H154" s="635"/>
      <c r="I154" s="635"/>
      <c r="J154" s="635">
        <v>2</v>
      </c>
      <c r="K154" s="635">
        <v>52999.64</v>
      </c>
      <c r="L154" s="635"/>
      <c r="M154" s="635">
        <v>26499.82</v>
      </c>
      <c r="N154" s="635">
        <v>2</v>
      </c>
      <c r="O154" s="635">
        <v>52999.64</v>
      </c>
      <c r="P154" s="657"/>
      <c r="Q154" s="636">
        <v>26499.82</v>
      </c>
    </row>
    <row r="155" spans="1:17" ht="14.4" customHeight="1" x14ac:dyDescent="0.3">
      <c r="A155" s="631" t="s">
        <v>2853</v>
      </c>
      <c r="B155" s="632" t="s">
        <v>2666</v>
      </c>
      <c r="C155" s="632" t="s">
        <v>2389</v>
      </c>
      <c r="D155" s="632" t="s">
        <v>2958</v>
      </c>
      <c r="E155" s="632" t="s">
        <v>2959</v>
      </c>
      <c r="F155" s="635"/>
      <c r="G155" s="635"/>
      <c r="H155" s="635"/>
      <c r="I155" s="635"/>
      <c r="J155" s="635"/>
      <c r="K155" s="635"/>
      <c r="L155" s="635"/>
      <c r="M155" s="635"/>
      <c r="N155" s="635">
        <v>1</v>
      </c>
      <c r="O155" s="635">
        <v>4360</v>
      </c>
      <c r="P155" s="657"/>
      <c r="Q155" s="636">
        <v>4360</v>
      </c>
    </row>
    <row r="156" spans="1:17" ht="14.4" customHeight="1" x14ac:dyDescent="0.3">
      <c r="A156" s="631" t="s">
        <v>2853</v>
      </c>
      <c r="B156" s="632" t="s">
        <v>2666</v>
      </c>
      <c r="C156" s="632" t="s">
        <v>2389</v>
      </c>
      <c r="D156" s="632" t="s">
        <v>2960</v>
      </c>
      <c r="E156" s="632" t="s">
        <v>2961</v>
      </c>
      <c r="F156" s="635"/>
      <c r="G156" s="635"/>
      <c r="H156" s="635"/>
      <c r="I156" s="635"/>
      <c r="J156" s="635"/>
      <c r="K156" s="635"/>
      <c r="L156" s="635"/>
      <c r="M156" s="635"/>
      <c r="N156" s="635">
        <v>2</v>
      </c>
      <c r="O156" s="635">
        <v>66250.52</v>
      </c>
      <c r="P156" s="657"/>
      <c r="Q156" s="636">
        <v>33125.26</v>
      </c>
    </row>
    <row r="157" spans="1:17" ht="14.4" customHeight="1" x14ac:dyDescent="0.3">
      <c r="A157" s="631" t="s">
        <v>2853</v>
      </c>
      <c r="B157" s="632" t="s">
        <v>2666</v>
      </c>
      <c r="C157" s="632" t="s">
        <v>2389</v>
      </c>
      <c r="D157" s="632" t="s">
        <v>2962</v>
      </c>
      <c r="E157" s="632" t="s">
        <v>2963</v>
      </c>
      <c r="F157" s="635"/>
      <c r="G157" s="635"/>
      <c r="H157" s="635"/>
      <c r="I157" s="635"/>
      <c r="J157" s="635"/>
      <c r="K157" s="635"/>
      <c r="L157" s="635"/>
      <c r="M157" s="635"/>
      <c r="N157" s="635">
        <v>1</v>
      </c>
      <c r="O157" s="635">
        <v>38086.36</v>
      </c>
      <c r="P157" s="657"/>
      <c r="Q157" s="636">
        <v>38086.36</v>
      </c>
    </row>
    <row r="158" spans="1:17" ht="14.4" customHeight="1" x14ac:dyDescent="0.3">
      <c r="A158" s="631" t="s">
        <v>2853</v>
      </c>
      <c r="B158" s="632" t="s">
        <v>2666</v>
      </c>
      <c r="C158" s="632" t="s">
        <v>2389</v>
      </c>
      <c r="D158" s="632" t="s">
        <v>2964</v>
      </c>
      <c r="E158" s="632" t="s">
        <v>2965</v>
      </c>
      <c r="F158" s="635">
        <v>1</v>
      </c>
      <c r="G158" s="635">
        <v>110246.9</v>
      </c>
      <c r="H158" s="635">
        <v>1</v>
      </c>
      <c r="I158" s="635">
        <v>110246.9</v>
      </c>
      <c r="J158" s="635"/>
      <c r="K158" s="635"/>
      <c r="L158" s="635"/>
      <c r="M158" s="635"/>
      <c r="N158" s="635"/>
      <c r="O158" s="635"/>
      <c r="P158" s="657"/>
      <c r="Q158" s="636"/>
    </row>
    <row r="159" spans="1:17" ht="14.4" customHeight="1" x14ac:dyDescent="0.3">
      <c r="A159" s="631" t="s">
        <v>2853</v>
      </c>
      <c r="B159" s="632" t="s">
        <v>2666</v>
      </c>
      <c r="C159" s="632" t="s">
        <v>2389</v>
      </c>
      <c r="D159" s="632" t="s">
        <v>2966</v>
      </c>
      <c r="E159" s="632" t="s">
        <v>2967</v>
      </c>
      <c r="F159" s="635">
        <v>1</v>
      </c>
      <c r="G159" s="635">
        <v>5424</v>
      </c>
      <c r="H159" s="635">
        <v>1</v>
      </c>
      <c r="I159" s="635">
        <v>5424</v>
      </c>
      <c r="J159" s="635"/>
      <c r="K159" s="635"/>
      <c r="L159" s="635"/>
      <c r="M159" s="635"/>
      <c r="N159" s="635"/>
      <c r="O159" s="635"/>
      <c r="P159" s="657"/>
      <c r="Q159" s="636"/>
    </row>
    <row r="160" spans="1:17" ht="14.4" customHeight="1" x14ac:dyDescent="0.3">
      <c r="A160" s="631" t="s">
        <v>2853</v>
      </c>
      <c r="B160" s="632" t="s">
        <v>2666</v>
      </c>
      <c r="C160" s="632" t="s">
        <v>2110</v>
      </c>
      <c r="D160" s="632" t="s">
        <v>2968</v>
      </c>
      <c r="E160" s="632" t="s">
        <v>2969</v>
      </c>
      <c r="F160" s="635"/>
      <c r="G160" s="635"/>
      <c r="H160" s="635"/>
      <c r="I160" s="635"/>
      <c r="J160" s="635">
        <v>1</v>
      </c>
      <c r="K160" s="635">
        <v>150</v>
      </c>
      <c r="L160" s="635"/>
      <c r="M160" s="635">
        <v>150</v>
      </c>
      <c r="N160" s="635"/>
      <c r="O160" s="635"/>
      <c r="P160" s="657"/>
      <c r="Q160" s="636"/>
    </row>
    <row r="161" spans="1:17" ht="14.4" customHeight="1" x14ac:dyDescent="0.3">
      <c r="A161" s="631" t="s">
        <v>2853</v>
      </c>
      <c r="B161" s="632" t="s">
        <v>2666</v>
      </c>
      <c r="C161" s="632" t="s">
        <v>2110</v>
      </c>
      <c r="D161" s="632" t="s">
        <v>2970</v>
      </c>
      <c r="E161" s="632" t="s">
        <v>2971</v>
      </c>
      <c r="F161" s="635">
        <v>7</v>
      </c>
      <c r="G161" s="635">
        <v>868</v>
      </c>
      <c r="H161" s="635">
        <v>1</v>
      </c>
      <c r="I161" s="635">
        <v>124</v>
      </c>
      <c r="J161" s="635">
        <v>2</v>
      </c>
      <c r="K161" s="635">
        <v>248</v>
      </c>
      <c r="L161" s="635">
        <v>0.2857142857142857</v>
      </c>
      <c r="M161" s="635">
        <v>124</v>
      </c>
      <c r="N161" s="635">
        <v>5</v>
      </c>
      <c r="O161" s="635">
        <v>620</v>
      </c>
      <c r="P161" s="657">
        <v>0.7142857142857143</v>
      </c>
      <c r="Q161" s="636">
        <v>124</v>
      </c>
    </row>
    <row r="162" spans="1:17" ht="14.4" customHeight="1" x14ac:dyDescent="0.3">
      <c r="A162" s="631" t="s">
        <v>2853</v>
      </c>
      <c r="B162" s="632" t="s">
        <v>2666</v>
      </c>
      <c r="C162" s="632" t="s">
        <v>2110</v>
      </c>
      <c r="D162" s="632" t="s">
        <v>2972</v>
      </c>
      <c r="E162" s="632" t="s">
        <v>2973</v>
      </c>
      <c r="F162" s="635"/>
      <c r="G162" s="635"/>
      <c r="H162" s="635"/>
      <c r="I162" s="635"/>
      <c r="J162" s="635">
        <v>9</v>
      </c>
      <c r="K162" s="635">
        <v>1953</v>
      </c>
      <c r="L162" s="635"/>
      <c r="M162" s="635">
        <v>217</v>
      </c>
      <c r="N162" s="635">
        <v>22</v>
      </c>
      <c r="O162" s="635">
        <v>4774</v>
      </c>
      <c r="P162" s="657"/>
      <c r="Q162" s="636">
        <v>217</v>
      </c>
    </row>
    <row r="163" spans="1:17" ht="14.4" customHeight="1" x14ac:dyDescent="0.3">
      <c r="A163" s="631" t="s">
        <v>2853</v>
      </c>
      <c r="B163" s="632" t="s">
        <v>2666</v>
      </c>
      <c r="C163" s="632" t="s">
        <v>2110</v>
      </c>
      <c r="D163" s="632" t="s">
        <v>2667</v>
      </c>
      <c r="E163" s="632" t="s">
        <v>2668</v>
      </c>
      <c r="F163" s="635">
        <v>9</v>
      </c>
      <c r="G163" s="635">
        <v>1962</v>
      </c>
      <c r="H163" s="635">
        <v>1</v>
      </c>
      <c r="I163" s="635">
        <v>218</v>
      </c>
      <c r="J163" s="635">
        <v>11</v>
      </c>
      <c r="K163" s="635">
        <v>2409</v>
      </c>
      <c r="L163" s="635">
        <v>1.22782874617737</v>
      </c>
      <c r="M163" s="635">
        <v>219</v>
      </c>
      <c r="N163" s="635">
        <v>12</v>
      </c>
      <c r="O163" s="635">
        <v>2628</v>
      </c>
      <c r="P163" s="657">
        <v>1.3394495412844036</v>
      </c>
      <c r="Q163" s="636">
        <v>219</v>
      </c>
    </row>
    <row r="164" spans="1:17" ht="14.4" customHeight="1" x14ac:dyDescent="0.3">
      <c r="A164" s="631" t="s">
        <v>2853</v>
      </c>
      <c r="B164" s="632" t="s">
        <v>2666</v>
      </c>
      <c r="C164" s="632" t="s">
        <v>2110</v>
      </c>
      <c r="D164" s="632" t="s">
        <v>2974</v>
      </c>
      <c r="E164" s="632" t="s">
        <v>2975</v>
      </c>
      <c r="F164" s="635">
        <v>4</v>
      </c>
      <c r="G164" s="635">
        <v>2432</v>
      </c>
      <c r="H164" s="635">
        <v>1</v>
      </c>
      <c r="I164" s="635">
        <v>608</v>
      </c>
      <c r="J164" s="635">
        <v>3</v>
      </c>
      <c r="K164" s="635">
        <v>1827</v>
      </c>
      <c r="L164" s="635">
        <v>0.75123355263157898</v>
      </c>
      <c r="M164" s="635">
        <v>609</v>
      </c>
      <c r="N164" s="635">
        <v>1</v>
      </c>
      <c r="O164" s="635">
        <v>609</v>
      </c>
      <c r="P164" s="657">
        <v>0.25041118421052633</v>
      </c>
      <c r="Q164" s="636">
        <v>609</v>
      </c>
    </row>
    <row r="165" spans="1:17" ht="14.4" customHeight="1" x14ac:dyDescent="0.3">
      <c r="A165" s="631" t="s">
        <v>2853</v>
      </c>
      <c r="B165" s="632" t="s">
        <v>2666</v>
      </c>
      <c r="C165" s="632" t="s">
        <v>2110</v>
      </c>
      <c r="D165" s="632" t="s">
        <v>2976</v>
      </c>
      <c r="E165" s="632" t="s">
        <v>2977</v>
      </c>
      <c r="F165" s="635"/>
      <c r="G165" s="635"/>
      <c r="H165" s="635"/>
      <c r="I165" s="635"/>
      <c r="J165" s="635">
        <v>1</v>
      </c>
      <c r="K165" s="635">
        <v>257</v>
      </c>
      <c r="L165" s="635"/>
      <c r="M165" s="635">
        <v>257</v>
      </c>
      <c r="N165" s="635"/>
      <c r="O165" s="635"/>
      <c r="P165" s="657"/>
      <c r="Q165" s="636"/>
    </row>
    <row r="166" spans="1:17" ht="14.4" customHeight="1" x14ac:dyDescent="0.3">
      <c r="A166" s="631" t="s">
        <v>2853</v>
      </c>
      <c r="B166" s="632" t="s">
        <v>2666</v>
      </c>
      <c r="C166" s="632" t="s">
        <v>2110</v>
      </c>
      <c r="D166" s="632" t="s">
        <v>2978</v>
      </c>
      <c r="E166" s="632" t="s">
        <v>2979</v>
      </c>
      <c r="F166" s="635"/>
      <c r="G166" s="635"/>
      <c r="H166" s="635"/>
      <c r="I166" s="635"/>
      <c r="J166" s="635">
        <v>1</v>
      </c>
      <c r="K166" s="635">
        <v>326</v>
      </c>
      <c r="L166" s="635"/>
      <c r="M166" s="635">
        <v>326</v>
      </c>
      <c r="N166" s="635">
        <v>2</v>
      </c>
      <c r="O166" s="635">
        <v>652</v>
      </c>
      <c r="P166" s="657"/>
      <c r="Q166" s="636">
        <v>326</v>
      </c>
    </row>
    <row r="167" spans="1:17" ht="14.4" customHeight="1" x14ac:dyDescent="0.3">
      <c r="A167" s="631" t="s">
        <v>2853</v>
      </c>
      <c r="B167" s="632" t="s">
        <v>2666</v>
      </c>
      <c r="C167" s="632" t="s">
        <v>2110</v>
      </c>
      <c r="D167" s="632" t="s">
        <v>2980</v>
      </c>
      <c r="E167" s="632" t="s">
        <v>2981</v>
      </c>
      <c r="F167" s="635">
        <v>1</v>
      </c>
      <c r="G167" s="635">
        <v>13691</v>
      </c>
      <c r="H167" s="635">
        <v>1</v>
      </c>
      <c r="I167" s="635">
        <v>13691</v>
      </c>
      <c r="J167" s="635"/>
      <c r="K167" s="635"/>
      <c r="L167" s="635"/>
      <c r="M167" s="635"/>
      <c r="N167" s="635"/>
      <c r="O167" s="635"/>
      <c r="P167" s="657"/>
      <c r="Q167" s="636"/>
    </row>
    <row r="168" spans="1:17" ht="14.4" customHeight="1" x14ac:dyDescent="0.3">
      <c r="A168" s="631" t="s">
        <v>2853</v>
      </c>
      <c r="B168" s="632" t="s">
        <v>2666</v>
      </c>
      <c r="C168" s="632" t="s">
        <v>2110</v>
      </c>
      <c r="D168" s="632" t="s">
        <v>2982</v>
      </c>
      <c r="E168" s="632" t="s">
        <v>2983</v>
      </c>
      <c r="F168" s="635">
        <v>2</v>
      </c>
      <c r="G168" s="635">
        <v>8244</v>
      </c>
      <c r="H168" s="635">
        <v>1</v>
      </c>
      <c r="I168" s="635">
        <v>4122</v>
      </c>
      <c r="J168" s="635">
        <v>1</v>
      </c>
      <c r="K168" s="635">
        <v>4127</v>
      </c>
      <c r="L168" s="635">
        <v>0.50060650169820475</v>
      </c>
      <c r="M168" s="635">
        <v>4127</v>
      </c>
      <c r="N168" s="635">
        <v>6</v>
      </c>
      <c r="O168" s="635">
        <v>24762</v>
      </c>
      <c r="P168" s="657">
        <v>3.0036390101892287</v>
      </c>
      <c r="Q168" s="636">
        <v>4127</v>
      </c>
    </row>
    <row r="169" spans="1:17" ht="14.4" customHeight="1" x14ac:dyDescent="0.3">
      <c r="A169" s="631" t="s">
        <v>2853</v>
      </c>
      <c r="B169" s="632" t="s">
        <v>2666</v>
      </c>
      <c r="C169" s="632" t="s">
        <v>2110</v>
      </c>
      <c r="D169" s="632" t="s">
        <v>2984</v>
      </c>
      <c r="E169" s="632" t="s">
        <v>2985</v>
      </c>
      <c r="F169" s="635">
        <v>2</v>
      </c>
      <c r="G169" s="635">
        <v>554</v>
      </c>
      <c r="H169" s="635">
        <v>1</v>
      </c>
      <c r="I169" s="635">
        <v>277</v>
      </c>
      <c r="J169" s="635">
        <v>3</v>
      </c>
      <c r="K169" s="635">
        <v>834</v>
      </c>
      <c r="L169" s="635">
        <v>1.5054151624548737</v>
      </c>
      <c r="M169" s="635">
        <v>278</v>
      </c>
      <c r="N169" s="635">
        <v>1</v>
      </c>
      <c r="O169" s="635">
        <v>278</v>
      </c>
      <c r="P169" s="657">
        <v>0.50180505415162457</v>
      </c>
      <c r="Q169" s="636">
        <v>278</v>
      </c>
    </row>
    <row r="170" spans="1:17" ht="14.4" customHeight="1" x14ac:dyDescent="0.3">
      <c r="A170" s="631" t="s">
        <v>2853</v>
      </c>
      <c r="B170" s="632" t="s">
        <v>2666</v>
      </c>
      <c r="C170" s="632" t="s">
        <v>2110</v>
      </c>
      <c r="D170" s="632" t="s">
        <v>2986</v>
      </c>
      <c r="E170" s="632" t="s">
        <v>2987</v>
      </c>
      <c r="F170" s="635"/>
      <c r="G170" s="635"/>
      <c r="H170" s="635"/>
      <c r="I170" s="635"/>
      <c r="J170" s="635">
        <v>1</v>
      </c>
      <c r="K170" s="635">
        <v>6250</v>
      </c>
      <c r="L170" s="635"/>
      <c r="M170" s="635">
        <v>6250</v>
      </c>
      <c r="N170" s="635">
        <v>1</v>
      </c>
      <c r="O170" s="635">
        <v>6250</v>
      </c>
      <c r="P170" s="657"/>
      <c r="Q170" s="636">
        <v>6250</v>
      </c>
    </row>
    <row r="171" spans="1:17" ht="14.4" customHeight="1" x14ac:dyDescent="0.3">
      <c r="A171" s="631" t="s">
        <v>2853</v>
      </c>
      <c r="B171" s="632" t="s">
        <v>2666</v>
      </c>
      <c r="C171" s="632" t="s">
        <v>2110</v>
      </c>
      <c r="D171" s="632" t="s">
        <v>2988</v>
      </c>
      <c r="E171" s="632" t="s">
        <v>2989</v>
      </c>
      <c r="F171" s="635">
        <v>1</v>
      </c>
      <c r="G171" s="635">
        <v>1510</v>
      </c>
      <c r="H171" s="635">
        <v>1</v>
      </c>
      <c r="I171" s="635">
        <v>1510</v>
      </c>
      <c r="J171" s="635">
        <v>1</v>
      </c>
      <c r="K171" s="635">
        <v>1515</v>
      </c>
      <c r="L171" s="635">
        <v>1.0033112582781456</v>
      </c>
      <c r="M171" s="635">
        <v>1515</v>
      </c>
      <c r="N171" s="635">
        <v>2</v>
      </c>
      <c r="O171" s="635">
        <v>3030</v>
      </c>
      <c r="P171" s="657">
        <v>2.0066225165562912</v>
      </c>
      <c r="Q171" s="636">
        <v>1515</v>
      </c>
    </row>
    <row r="172" spans="1:17" ht="14.4" customHeight="1" x14ac:dyDescent="0.3">
      <c r="A172" s="631" t="s">
        <v>2853</v>
      </c>
      <c r="B172" s="632" t="s">
        <v>2666</v>
      </c>
      <c r="C172" s="632" t="s">
        <v>2110</v>
      </c>
      <c r="D172" s="632" t="s">
        <v>2990</v>
      </c>
      <c r="E172" s="632" t="s">
        <v>2991</v>
      </c>
      <c r="F172" s="635">
        <v>1</v>
      </c>
      <c r="G172" s="635">
        <v>15040</v>
      </c>
      <c r="H172" s="635">
        <v>1</v>
      </c>
      <c r="I172" s="635">
        <v>15040</v>
      </c>
      <c r="J172" s="635">
        <v>1</v>
      </c>
      <c r="K172" s="635">
        <v>15049</v>
      </c>
      <c r="L172" s="635">
        <v>1.0005984042553191</v>
      </c>
      <c r="M172" s="635">
        <v>15049</v>
      </c>
      <c r="N172" s="635">
        <v>3</v>
      </c>
      <c r="O172" s="635">
        <v>45147</v>
      </c>
      <c r="P172" s="657">
        <v>3.0017952127659573</v>
      </c>
      <c r="Q172" s="636">
        <v>15049</v>
      </c>
    </row>
    <row r="173" spans="1:17" ht="14.4" customHeight="1" x14ac:dyDescent="0.3">
      <c r="A173" s="631" t="s">
        <v>2853</v>
      </c>
      <c r="B173" s="632" t="s">
        <v>2666</v>
      </c>
      <c r="C173" s="632" t="s">
        <v>2110</v>
      </c>
      <c r="D173" s="632" t="s">
        <v>2992</v>
      </c>
      <c r="E173" s="632" t="s">
        <v>2993</v>
      </c>
      <c r="F173" s="635">
        <v>6</v>
      </c>
      <c r="G173" s="635">
        <v>22866</v>
      </c>
      <c r="H173" s="635">
        <v>1</v>
      </c>
      <c r="I173" s="635">
        <v>3811</v>
      </c>
      <c r="J173" s="635">
        <v>21</v>
      </c>
      <c r="K173" s="635">
        <v>80115</v>
      </c>
      <c r="L173" s="635">
        <v>3.5036735764891103</v>
      </c>
      <c r="M173" s="635">
        <v>3815</v>
      </c>
      <c r="N173" s="635">
        <v>28</v>
      </c>
      <c r="O173" s="635">
        <v>106820</v>
      </c>
      <c r="P173" s="657">
        <v>4.6715647686521473</v>
      </c>
      <c r="Q173" s="636">
        <v>3815</v>
      </c>
    </row>
    <row r="174" spans="1:17" ht="14.4" customHeight="1" x14ac:dyDescent="0.3">
      <c r="A174" s="631" t="s">
        <v>2853</v>
      </c>
      <c r="B174" s="632" t="s">
        <v>2666</v>
      </c>
      <c r="C174" s="632" t="s">
        <v>2110</v>
      </c>
      <c r="D174" s="632" t="s">
        <v>2994</v>
      </c>
      <c r="E174" s="632" t="s">
        <v>2995</v>
      </c>
      <c r="F174" s="635">
        <v>1</v>
      </c>
      <c r="G174" s="635">
        <v>5145</v>
      </c>
      <c r="H174" s="635">
        <v>1</v>
      </c>
      <c r="I174" s="635">
        <v>5145</v>
      </c>
      <c r="J174" s="635"/>
      <c r="K174" s="635"/>
      <c r="L174" s="635"/>
      <c r="M174" s="635"/>
      <c r="N174" s="635">
        <v>3</v>
      </c>
      <c r="O174" s="635">
        <v>15450</v>
      </c>
      <c r="P174" s="657">
        <v>3.0029154518950438</v>
      </c>
      <c r="Q174" s="636">
        <v>5150</v>
      </c>
    </row>
    <row r="175" spans="1:17" ht="14.4" customHeight="1" x14ac:dyDescent="0.3">
      <c r="A175" s="631" t="s">
        <v>2853</v>
      </c>
      <c r="B175" s="632" t="s">
        <v>2666</v>
      </c>
      <c r="C175" s="632" t="s">
        <v>2110</v>
      </c>
      <c r="D175" s="632" t="s">
        <v>2996</v>
      </c>
      <c r="E175" s="632" t="s">
        <v>2997</v>
      </c>
      <c r="F175" s="635">
        <v>2</v>
      </c>
      <c r="G175" s="635">
        <v>15656</v>
      </c>
      <c r="H175" s="635">
        <v>1</v>
      </c>
      <c r="I175" s="635">
        <v>7828</v>
      </c>
      <c r="J175" s="635">
        <v>10</v>
      </c>
      <c r="K175" s="635">
        <v>78350</v>
      </c>
      <c r="L175" s="635">
        <v>5.0044711292795094</v>
      </c>
      <c r="M175" s="635">
        <v>7835</v>
      </c>
      <c r="N175" s="635">
        <v>16</v>
      </c>
      <c r="O175" s="635">
        <v>125360</v>
      </c>
      <c r="P175" s="657">
        <v>8.0071538068472154</v>
      </c>
      <c r="Q175" s="636">
        <v>7835</v>
      </c>
    </row>
    <row r="176" spans="1:17" ht="14.4" customHeight="1" x14ac:dyDescent="0.3">
      <c r="A176" s="631" t="s">
        <v>2853</v>
      </c>
      <c r="B176" s="632" t="s">
        <v>2666</v>
      </c>
      <c r="C176" s="632" t="s">
        <v>2110</v>
      </c>
      <c r="D176" s="632" t="s">
        <v>2998</v>
      </c>
      <c r="E176" s="632" t="s">
        <v>2999</v>
      </c>
      <c r="F176" s="635"/>
      <c r="G176" s="635"/>
      <c r="H176" s="635"/>
      <c r="I176" s="635"/>
      <c r="J176" s="635">
        <v>1</v>
      </c>
      <c r="K176" s="635">
        <v>1657</v>
      </c>
      <c r="L176" s="635"/>
      <c r="M176" s="635">
        <v>1657</v>
      </c>
      <c r="N176" s="635">
        <v>1</v>
      </c>
      <c r="O176" s="635">
        <v>1657</v>
      </c>
      <c r="P176" s="657"/>
      <c r="Q176" s="636">
        <v>1657</v>
      </c>
    </row>
    <row r="177" spans="1:17" ht="14.4" customHeight="1" x14ac:dyDescent="0.3">
      <c r="A177" s="631" t="s">
        <v>2853</v>
      </c>
      <c r="B177" s="632" t="s">
        <v>2666</v>
      </c>
      <c r="C177" s="632" t="s">
        <v>2110</v>
      </c>
      <c r="D177" s="632" t="s">
        <v>3000</v>
      </c>
      <c r="E177" s="632" t="s">
        <v>3001</v>
      </c>
      <c r="F177" s="635">
        <v>13</v>
      </c>
      <c r="G177" s="635">
        <v>16588</v>
      </c>
      <c r="H177" s="635">
        <v>1</v>
      </c>
      <c r="I177" s="635">
        <v>1276</v>
      </c>
      <c r="J177" s="635">
        <v>15</v>
      </c>
      <c r="K177" s="635">
        <v>19155</v>
      </c>
      <c r="L177" s="635">
        <v>1.1547504219918012</v>
      </c>
      <c r="M177" s="635">
        <v>1277</v>
      </c>
      <c r="N177" s="635">
        <v>14</v>
      </c>
      <c r="O177" s="635">
        <v>17878</v>
      </c>
      <c r="P177" s="657">
        <v>1.0777670605256813</v>
      </c>
      <c r="Q177" s="636">
        <v>1277</v>
      </c>
    </row>
    <row r="178" spans="1:17" ht="14.4" customHeight="1" x14ac:dyDescent="0.3">
      <c r="A178" s="631" t="s">
        <v>2853</v>
      </c>
      <c r="B178" s="632" t="s">
        <v>2666</v>
      </c>
      <c r="C178" s="632" t="s">
        <v>2110</v>
      </c>
      <c r="D178" s="632" t="s">
        <v>3002</v>
      </c>
      <c r="E178" s="632" t="s">
        <v>3003</v>
      </c>
      <c r="F178" s="635">
        <v>12</v>
      </c>
      <c r="G178" s="635">
        <v>13956</v>
      </c>
      <c r="H178" s="635">
        <v>1</v>
      </c>
      <c r="I178" s="635">
        <v>1163</v>
      </c>
      <c r="J178" s="635">
        <v>14</v>
      </c>
      <c r="K178" s="635">
        <v>16296</v>
      </c>
      <c r="L178" s="635">
        <v>1.1676698194325021</v>
      </c>
      <c r="M178" s="635">
        <v>1164</v>
      </c>
      <c r="N178" s="635">
        <v>12</v>
      </c>
      <c r="O178" s="635">
        <v>13968</v>
      </c>
      <c r="P178" s="657">
        <v>1.000859845227859</v>
      </c>
      <c r="Q178" s="636">
        <v>1164</v>
      </c>
    </row>
    <row r="179" spans="1:17" ht="14.4" customHeight="1" x14ac:dyDescent="0.3">
      <c r="A179" s="631" t="s">
        <v>2853</v>
      </c>
      <c r="B179" s="632" t="s">
        <v>2666</v>
      </c>
      <c r="C179" s="632" t="s">
        <v>2110</v>
      </c>
      <c r="D179" s="632" t="s">
        <v>3004</v>
      </c>
      <c r="E179" s="632" t="s">
        <v>3005</v>
      </c>
      <c r="F179" s="635">
        <v>2</v>
      </c>
      <c r="G179" s="635">
        <v>10130</v>
      </c>
      <c r="H179" s="635">
        <v>1</v>
      </c>
      <c r="I179" s="635">
        <v>5065</v>
      </c>
      <c r="J179" s="635">
        <v>1</v>
      </c>
      <c r="K179" s="635">
        <v>5068</v>
      </c>
      <c r="L179" s="635">
        <v>0.50029615004935835</v>
      </c>
      <c r="M179" s="635">
        <v>5068</v>
      </c>
      <c r="N179" s="635"/>
      <c r="O179" s="635"/>
      <c r="P179" s="657"/>
      <c r="Q179" s="636"/>
    </row>
    <row r="180" spans="1:17" ht="14.4" customHeight="1" x14ac:dyDescent="0.3">
      <c r="A180" s="631" t="s">
        <v>2853</v>
      </c>
      <c r="B180" s="632" t="s">
        <v>2666</v>
      </c>
      <c r="C180" s="632" t="s">
        <v>2110</v>
      </c>
      <c r="D180" s="632" t="s">
        <v>3006</v>
      </c>
      <c r="E180" s="632" t="s">
        <v>3007</v>
      </c>
      <c r="F180" s="635"/>
      <c r="G180" s="635"/>
      <c r="H180" s="635"/>
      <c r="I180" s="635"/>
      <c r="J180" s="635">
        <v>1</v>
      </c>
      <c r="K180" s="635">
        <v>7673</v>
      </c>
      <c r="L180" s="635"/>
      <c r="M180" s="635">
        <v>7673</v>
      </c>
      <c r="N180" s="635"/>
      <c r="O180" s="635"/>
      <c r="P180" s="657"/>
      <c r="Q180" s="636"/>
    </row>
    <row r="181" spans="1:17" ht="14.4" customHeight="1" x14ac:dyDescent="0.3">
      <c r="A181" s="631" t="s">
        <v>2853</v>
      </c>
      <c r="B181" s="632" t="s">
        <v>2666</v>
      </c>
      <c r="C181" s="632" t="s">
        <v>2110</v>
      </c>
      <c r="D181" s="632" t="s">
        <v>3008</v>
      </c>
      <c r="E181" s="632" t="s">
        <v>3009</v>
      </c>
      <c r="F181" s="635">
        <v>1</v>
      </c>
      <c r="G181" s="635">
        <v>5505</v>
      </c>
      <c r="H181" s="635">
        <v>1</v>
      </c>
      <c r="I181" s="635">
        <v>5505</v>
      </c>
      <c r="J181" s="635"/>
      <c r="K181" s="635"/>
      <c r="L181" s="635"/>
      <c r="M181" s="635"/>
      <c r="N181" s="635"/>
      <c r="O181" s="635"/>
      <c r="P181" s="657"/>
      <c r="Q181" s="636"/>
    </row>
    <row r="182" spans="1:17" ht="14.4" customHeight="1" x14ac:dyDescent="0.3">
      <c r="A182" s="631" t="s">
        <v>2853</v>
      </c>
      <c r="B182" s="632" t="s">
        <v>2666</v>
      </c>
      <c r="C182" s="632" t="s">
        <v>2110</v>
      </c>
      <c r="D182" s="632" t="s">
        <v>3010</v>
      </c>
      <c r="E182" s="632" t="s">
        <v>3011</v>
      </c>
      <c r="F182" s="635">
        <v>1</v>
      </c>
      <c r="G182" s="635">
        <v>738</v>
      </c>
      <c r="H182" s="635">
        <v>1</v>
      </c>
      <c r="I182" s="635">
        <v>738</v>
      </c>
      <c r="J182" s="635"/>
      <c r="K182" s="635"/>
      <c r="L182" s="635"/>
      <c r="M182" s="635"/>
      <c r="N182" s="635"/>
      <c r="O182" s="635"/>
      <c r="P182" s="657"/>
      <c r="Q182" s="636"/>
    </row>
    <row r="183" spans="1:17" ht="14.4" customHeight="1" x14ac:dyDescent="0.3">
      <c r="A183" s="631" t="s">
        <v>2853</v>
      </c>
      <c r="B183" s="632" t="s">
        <v>2666</v>
      </c>
      <c r="C183" s="632" t="s">
        <v>2110</v>
      </c>
      <c r="D183" s="632" t="s">
        <v>3012</v>
      </c>
      <c r="E183" s="632" t="s">
        <v>3013</v>
      </c>
      <c r="F183" s="635">
        <v>204</v>
      </c>
      <c r="G183" s="635">
        <v>35088</v>
      </c>
      <c r="H183" s="635">
        <v>1</v>
      </c>
      <c r="I183" s="635">
        <v>172</v>
      </c>
      <c r="J183" s="635">
        <v>254</v>
      </c>
      <c r="K183" s="635">
        <v>43942</v>
      </c>
      <c r="L183" s="635">
        <v>1.2523369813041496</v>
      </c>
      <c r="M183" s="635">
        <v>173</v>
      </c>
      <c r="N183" s="635">
        <v>238</v>
      </c>
      <c r="O183" s="635">
        <v>41174</v>
      </c>
      <c r="P183" s="657">
        <v>1.1734496124031009</v>
      </c>
      <c r="Q183" s="636">
        <v>173</v>
      </c>
    </row>
    <row r="184" spans="1:17" ht="14.4" customHeight="1" x14ac:dyDescent="0.3">
      <c r="A184" s="631" t="s">
        <v>2853</v>
      </c>
      <c r="B184" s="632" t="s">
        <v>2666</v>
      </c>
      <c r="C184" s="632" t="s">
        <v>2110</v>
      </c>
      <c r="D184" s="632" t="s">
        <v>3014</v>
      </c>
      <c r="E184" s="632" t="s">
        <v>3015</v>
      </c>
      <c r="F184" s="635">
        <v>18</v>
      </c>
      <c r="G184" s="635">
        <v>35892</v>
      </c>
      <c r="H184" s="635">
        <v>1</v>
      </c>
      <c r="I184" s="635">
        <v>1994</v>
      </c>
      <c r="J184" s="635">
        <v>10</v>
      </c>
      <c r="K184" s="635">
        <v>19960</v>
      </c>
      <c r="L184" s="635">
        <v>0.55611278279282295</v>
      </c>
      <c r="M184" s="635">
        <v>1996</v>
      </c>
      <c r="N184" s="635">
        <v>10</v>
      </c>
      <c r="O184" s="635">
        <v>19960</v>
      </c>
      <c r="P184" s="657">
        <v>0.55611278279282295</v>
      </c>
      <c r="Q184" s="636">
        <v>1996</v>
      </c>
    </row>
    <row r="185" spans="1:17" ht="14.4" customHeight="1" x14ac:dyDescent="0.3">
      <c r="A185" s="631" t="s">
        <v>2853</v>
      </c>
      <c r="B185" s="632" t="s">
        <v>2666</v>
      </c>
      <c r="C185" s="632" t="s">
        <v>2110</v>
      </c>
      <c r="D185" s="632" t="s">
        <v>3016</v>
      </c>
      <c r="E185" s="632" t="s">
        <v>3017</v>
      </c>
      <c r="F185" s="635"/>
      <c r="G185" s="635"/>
      <c r="H185" s="635"/>
      <c r="I185" s="635"/>
      <c r="J185" s="635">
        <v>3</v>
      </c>
      <c r="K185" s="635">
        <v>8076</v>
      </c>
      <c r="L185" s="635"/>
      <c r="M185" s="635">
        <v>2692</v>
      </c>
      <c r="N185" s="635"/>
      <c r="O185" s="635"/>
      <c r="P185" s="657"/>
      <c r="Q185" s="636"/>
    </row>
    <row r="186" spans="1:17" ht="14.4" customHeight="1" x14ac:dyDescent="0.3">
      <c r="A186" s="631" t="s">
        <v>2853</v>
      </c>
      <c r="B186" s="632" t="s">
        <v>2666</v>
      </c>
      <c r="C186" s="632" t="s">
        <v>2110</v>
      </c>
      <c r="D186" s="632" t="s">
        <v>3018</v>
      </c>
      <c r="E186" s="632" t="s">
        <v>3019</v>
      </c>
      <c r="F186" s="635"/>
      <c r="G186" s="635"/>
      <c r="H186" s="635"/>
      <c r="I186" s="635"/>
      <c r="J186" s="635">
        <v>1</v>
      </c>
      <c r="K186" s="635">
        <v>5180</v>
      </c>
      <c r="L186" s="635"/>
      <c r="M186" s="635">
        <v>5180</v>
      </c>
      <c r="N186" s="635">
        <v>1</v>
      </c>
      <c r="O186" s="635">
        <v>5180</v>
      </c>
      <c r="P186" s="657"/>
      <c r="Q186" s="636">
        <v>5180</v>
      </c>
    </row>
    <row r="187" spans="1:17" ht="14.4" customHeight="1" x14ac:dyDescent="0.3">
      <c r="A187" s="631" t="s">
        <v>2853</v>
      </c>
      <c r="B187" s="632" t="s">
        <v>2666</v>
      </c>
      <c r="C187" s="632" t="s">
        <v>2110</v>
      </c>
      <c r="D187" s="632" t="s">
        <v>3020</v>
      </c>
      <c r="E187" s="632" t="s">
        <v>3021</v>
      </c>
      <c r="F187" s="635">
        <v>1</v>
      </c>
      <c r="G187" s="635">
        <v>657</v>
      </c>
      <c r="H187" s="635">
        <v>1</v>
      </c>
      <c r="I187" s="635">
        <v>657</v>
      </c>
      <c r="J187" s="635">
        <v>3</v>
      </c>
      <c r="K187" s="635">
        <v>1974</v>
      </c>
      <c r="L187" s="635">
        <v>3.0045662100456623</v>
      </c>
      <c r="M187" s="635">
        <v>658</v>
      </c>
      <c r="N187" s="635"/>
      <c r="O187" s="635"/>
      <c r="P187" s="657"/>
      <c r="Q187" s="636"/>
    </row>
    <row r="188" spans="1:17" ht="14.4" customHeight="1" x14ac:dyDescent="0.3">
      <c r="A188" s="631" t="s">
        <v>2853</v>
      </c>
      <c r="B188" s="632" t="s">
        <v>2666</v>
      </c>
      <c r="C188" s="632" t="s">
        <v>2110</v>
      </c>
      <c r="D188" s="632" t="s">
        <v>3022</v>
      </c>
      <c r="E188" s="632" t="s">
        <v>3023</v>
      </c>
      <c r="F188" s="635"/>
      <c r="G188" s="635"/>
      <c r="H188" s="635"/>
      <c r="I188" s="635"/>
      <c r="J188" s="635">
        <v>1</v>
      </c>
      <c r="K188" s="635">
        <v>2076</v>
      </c>
      <c r="L188" s="635"/>
      <c r="M188" s="635">
        <v>2076</v>
      </c>
      <c r="N188" s="635">
        <v>2</v>
      </c>
      <c r="O188" s="635">
        <v>4152</v>
      </c>
      <c r="P188" s="657"/>
      <c r="Q188" s="636">
        <v>2076</v>
      </c>
    </row>
    <row r="189" spans="1:17" ht="14.4" customHeight="1" x14ac:dyDescent="0.3">
      <c r="A189" s="631" t="s">
        <v>2853</v>
      </c>
      <c r="B189" s="632" t="s">
        <v>2666</v>
      </c>
      <c r="C189" s="632" t="s">
        <v>2110</v>
      </c>
      <c r="D189" s="632" t="s">
        <v>3024</v>
      </c>
      <c r="E189" s="632" t="s">
        <v>3025</v>
      </c>
      <c r="F189" s="635"/>
      <c r="G189" s="635"/>
      <c r="H189" s="635"/>
      <c r="I189" s="635"/>
      <c r="J189" s="635"/>
      <c r="K189" s="635"/>
      <c r="L189" s="635"/>
      <c r="M189" s="635"/>
      <c r="N189" s="635">
        <v>1</v>
      </c>
      <c r="O189" s="635">
        <v>150</v>
      </c>
      <c r="P189" s="657"/>
      <c r="Q189" s="636">
        <v>150</v>
      </c>
    </row>
    <row r="190" spans="1:17" ht="14.4" customHeight="1" x14ac:dyDescent="0.3">
      <c r="A190" s="631" t="s">
        <v>2853</v>
      </c>
      <c r="B190" s="632" t="s">
        <v>2666</v>
      </c>
      <c r="C190" s="632" t="s">
        <v>2110</v>
      </c>
      <c r="D190" s="632" t="s">
        <v>3026</v>
      </c>
      <c r="E190" s="632" t="s">
        <v>3027</v>
      </c>
      <c r="F190" s="635">
        <v>16</v>
      </c>
      <c r="G190" s="635">
        <v>3152</v>
      </c>
      <c r="H190" s="635">
        <v>1</v>
      </c>
      <c r="I190" s="635">
        <v>197</v>
      </c>
      <c r="J190" s="635">
        <v>21</v>
      </c>
      <c r="K190" s="635">
        <v>4158</v>
      </c>
      <c r="L190" s="635">
        <v>1.3191624365482233</v>
      </c>
      <c r="M190" s="635">
        <v>198</v>
      </c>
      <c r="N190" s="635">
        <v>54</v>
      </c>
      <c r="O190" s="635">
        <v>10692</v>
      </c>
      <c r="P190" s="657">
        <v>3.3921319796954315</v>
      </c>
      <c r="Q190" s="636">
        <v>198</v>
      </c>
    </row>
    <row r="191" spans="1:17" ht="14.4" customHeight="1" x14ac:dyDescent="0.3">
      <c r="A191" s="631" t="s">
        <v>2853</v>
      </c>
      <c r="B191" s="632" t="s">
        <v>2666</v>
      </c>
      <c r="C191" s="632" t="s">
        <v>2110</v>
      </c>
      <c r="D191" s="632" t="s">
        <v>3028</v>
      </c>
      <c r="E191" s="632" t="s">
        <v>3029</v>
      </c>
      <c r="F191" s="635">
        <v>8</v>
      </c>
      <c r="G191" s="635">
        <v>3312</v>
      </c>
      <c r="H191" s="635">
        <v>1</v>
      </c>
      <c r="I191" s="635">
        <v>414</v>
      </c>
      <c r="J191" s="635">
        <v>15</v>
      </c>
      <c r="K191" s="635">
        <v>6225</v>
      </c>
      <c r="L191" s="635">
        <v>1.8795289855072463</v>
      </c>
      <c r="M191" s="635">
        <v>415</v>
      </c>
      <c r="N191" s="635">
        <v>6</v>
      </c>
      <c r="O191" s="635">
        <v>2490</v>
      </c>
      <c r="P191" s="657">
        <v>0.75181159420289856</v>
      </c>
      <c r="Q191" s="636">
        <v>415</v>
      </c>
    </row>
    <row r="192" spans="1:17" ht="14.4" customHeight="1" x14ac:dyDescent="0.3">
      <c r="A192" s="631" t="s">
        <v>2853</v>
      </c>
      <c r="B192" s="632" t="s">
        <v>2666</v>
      </c>
      <c r="C192" s="632" t="s">
        <v>2110</v>
      </c>
      <c r="D192" s="632" t="s">
        <v>3030</v>
      </c>
      <c r="E192" s="632" t="s">
        <v>3031</v>
      </c>
      <c r="F192" s="635">
        <v>2</v>
      </c>
      <c r="G192" s="635">
        <v>848</v>
      </c>
      <c r="H192" s="635">
        <v>1</v>
      </c>
      <c r="I192" s="635">
        <v>424</v>
      </c>
      <c r="J192" s="635">
        <v>3</v>
      </c>
      <c r="K192" s="635">
        <v>1275</v>
      </c>
      <c r="L192" s="635">
        <v>1.5035377358490567</v>
      </c>
      <c r="M192" s="635">
        <v>425</v>
      </c>
      <c r="N192" s="635"/>
      <c r="O192" s="635"/>
      <c r="P192" s="657"/>
      <c r="Q192" s="636"/>
    </row>
    <row r="193" spans="1:17" ht="14.4" customHeight="1" x14ac:dyDescent="0.3">
      <c r="A193" s="631" t="s">
        <v>2853</v>
      </c>
      <c r="B193" s="632" t="s">
        <v>2666</v>
      </c>
      <c r="C193" s="632" t="s">
        <v>2110</v>
      </c>
      <c r="D193" s="632" t="s">
        <v>3032</v>
      </c>
      <c r="E193" s="632" t="s">
        <v>3033</v>
      </c>
      <c r="F193" s="635">
        <v>2</v>
      </c>
      <c r="G193" s="635">
        <v>4232</v>
      </c>
      <c r="H193" s="635">
        <v>1</v>
      </c>
      <c r="I193" s="635">
        <v>2116</v>
      </c>
      <c r="J193" s="635">
        <v>27</v>
      </c>
      <c r="K193" s="635">
        <v>57186</v>
      </c>
      <c r="L193" s="635">
        <v>13.512759924385634</v>
      </c>
      <c r="M193" s="635">
        <v>2118</v>
      </c>
      <c r="N193" s="635">
        <v>20</v>
      </c>
      <c r="O193" s="635">
        <v>42360</v>
      </c>
      <c r="P193" s="657">
        <v>10.00945179584121</v>
      </c>
      <c r="Q193" s="636">
        <v>2118</v>
      </c>
    </row>
    <row r="194" spans="1:17" ht="14.4" customHeight="1" x14ac:dyDescent="0.3">
      <c r="A194" s="631" t="s">
        <v>2853</v>
      </c>
      <c r="B194" s="632" t="s">
        <v>2666</v>
      </c>
      <c r="C194" s="632" t="s">
        <v>2110</v>
      </c>
      <c r="D194" s="632" t="s">
        <v>3034</v>
      </c>
      <c r="E194" s="632" t="s">
        <v>2993</v>
      </c>
      <c r="F194" s="635">
        <v>6</v>
      </c>
      <c r="G194" s="635">
        <v>11172</v>
      </c>
      <c r="H194" s="635">
        <v>1</v>
      </c>
      <c r="I194" s="635">
        <v>1862</v>
      </c>
      <c r="J194" s="635">
        <v>22</v>
      </c>
      <c r="K194" s="635">
        <v>41008</v>
      </c>
      <c r="L194" s="635">
        <v>3.6706050841389186</v>
      </c>
      <c r="M194" s="635">
        <v>1864</v>
      </c>
      <c r="N194" s="635">
        <v>29</v>
      </c>
      <c r="O194" s="635">
        <v>54056</v>
      </c>
      <c r="P194" s="657">
        <v>4.8385248836376658</v>
      </c>
      <c r="Q194" s="636">
        <v>1864</v>
      </c>
    </row>
    <row r="195" spans="1:17" ht="14.4" customHeight="1" x14ac:dyDescent="0.3">
      <c r="A195" s="631" t="s">
        <v>2853</v>
      </c>
      <c r="B195" s="632" t="s">
        <v>2666</v>
      </c>
      <c r="C195" s="632" t="s">
        <v>2110</v>
      </c>
      <c r="D195" s="632" t="s">
        <v>3035</v>
      </c>
      <c r="E195" s="632" t="s">
        <v>3036</v>
      </c>
      <c r="F195" s="635">
        <v>2</v>
      </c>
      <c r="G195" s="635">
        <v>1820</v>
      </c>
      <c r="H195" s="635">
        <v>1</v>
      </c>
      <c r="I195" s="635">
        <v>910</v>
      </c>
      <c r="J195" s="635">
        <v>2</v>
      </c>
      <c r="K195" s="635">
        <v>1824</v>
      </c>
      <c r="L195" s="635">
        <v>1.0021978021978022</v>
      </c>
      <c r="M195" s="635">
        <v>912</v>
      </c>
      <c r="N195" s="635">
        <v>1</v>
      </c>
      <c r="O195" s="635">
        <v>912</v>
      </c>
      <c r="P195" s="657">
        <v>0.50109890109890109</v>
      </c>
      <c r="Q195" s="636">
        <v>912</v>
      </c>
    </row>
    <row r="196" spans="1:17" ht="14.4" customHeight="1" x14ac:dyDescent="0.3">
      <c r="A196" s="631" t="s">
        <v>2853</v>
      </c>
      <c r="B196" s="632" t="s">
        <v>2666</v>
      </c>
      <c r="C196" s="632" t="s">
        <v>2110</v>
      </c>
      <c r="D196" s="632" t="s">
        <v>3037</v>
      </c>
      <c r="E196" s="632" t="s">
        <v>3038</v>
      </c>
      <c r="F196" s="635">
        <v>5</v>
      </c>
      <c r="G196" s="635">
        <v>41890</v>
      </c>
      <c r="H196" s="635">
        <v>1</v>
      </c>
      <c r="I196" s="635">
        <v>8378</v>
      </c>
      <c r="J196" s="635">
        <v>14</v>
      </c>
      <c r="K196" s="635">
        <v>117376</v>
      </c>
      <c r="L196" s="635">
        <v>2.8020052518500838</v>
      </c>
      <c r="M196" s="635">
        <v>8384</v>
      </c>
      <c r="N196" s="635">
        <v>20</v>
      </c>
      <c r="O196" s="635">
        <v>167680</v>
      </c>
      <c r="P196" s="657">
        <v>4.0028646455001198</v>
      </c>
      <c r="Q196" s="636">
        <v>8384</v>
      </c>
    </row>
    <row r="197" spans="1:17" ht="14.4" customHeight="1" x14ac:dyDescent="0.3">
      <c r="A197" s="631" t="s">
        <v>2853</v>
      </c>
      <c r="B197" s="632" t="s">
        <v>2666</v>
      </c>
      <c r="C197" s="632" t="s">
        <v>2110</v>
      </c>
      <c r="D197" s="632" t="s">
        <v>3039</v>
      </c>
      <c r="E197" s="632" t="s">
        <v>3040</v>
      </c>
      <c r="F197" s="635">
        <v>1</v>
      </c>
      <c r="G197" s="635">
        <v>1988</v>
      </c>
      <c r="H197" s="635">
        <v>1</v>
      </c>
      <c r="I197" s="635">
        <v>1988</v>
      </c>
      <c r="J197" s="635">
        <v>2</v>
      </c>
      <c r="K197" s="635">
        <v>3986</v>
      </c>
      <c r="L197" s="635">
        <v>2.0050301810865192</v>
      </c>
      <c r="M197" s="635">
        <v>1993</v>
      </c>
      <c r="N197" s="635"/>
      <c r="O197" s="635"/>
      <c r="P197" s="657"/>
      <c r="Q197" s="636"/>
    </row>
    <row r="198" spans="1:17" ht="14.4" customHeight="1" x14ac:dyDescent="0.3">
      <c r="A198" s="631" t="s">
        <v>2853</v>
      </c>
      <c r="B198" s="632" t="s">
        <v>2666</v>
      </c>
      <c r="C198" s="632" t="s">
        <v>2110</v>
      </c>
      <c r="D198" s="632" t="s">
        <v>3041</v>
      </c>
      <c r="E198" s="632" t="s">
        <v>3042</v>
      </c>
      <c r="F198" s="635"/>
      <c r="G198" s="635"/>
      <c r="H198" s="635"/>
      <c r="I198" s="635"/>
      <c r="J198" s="635"/>
      <c r="K198" s="635"/>
      <c r="L198" s="635"/>
      <c r="M198" s="635"/>
      <c r="N198" s="635">
        <v>2</v>
      </c>
      <c r="O198" s="635">
        <v>11386</v>
      </c>
      <c r="P198" s="657"/>
      <c r="Q198" s="636">
        <v>5693</v>
      </c>
    </row>
    <row r="199" spans="1:17" ht="14.4" customHeight="1" x14ac:dyDescent="0.3">
      <c r="A199" s="631" t="s">
        <v>2853</v>
      </c>
      <c r="B199" s="632" t="s">
        <v>2666</v>
      </c>
      <c r="C199" s="632" t="s">
        <v>2110</v>
      </c>
      <c r="D199" s="632" t="s">
        <v>3043</v>
      </c>
      <c r="E199" s="632" t="s">
        <v>3044</v>
      </c>
      <c r="F199" s="635"/>
      <c r="G199" s="635"/>
      <c r="H199" s="635"/>
      <c r="I199" s="635"/>
      <c r="J199" s="635"/>
      <c r="K199" s="635"/>
      <c r="L199" s="635"/>
      <c r="M199" s="635"/>
      <c r="N199" s="635">
        <v>2</v>
      </c>
      <c r="O199" s="635">
        <v>1118</v>
      </c>
      <c r="P199" s="657"/>
      <c r="Q199" s="636">
        <v>559</v>
      </c>
    </row>
    <row r="200" spans="1:17" ht="14.4" customHeight="1" x14ac:dyDescent="0.3">
      <c r="A200" s="631" t="s">
        <v>2853</v>
      </c>
      <c r="B200" s="632" t="s">
        <v>2666</v>
      </c>
      <c r="C200" s="632" t="s">
        <v>2110</v>
      </c>
      <c r="D200" s="632" t="s">
        <v>3045</v>
      </c>
      <c r="E200" s="632" t="s">
        <v>3046</v>
      </c>
      <c r="F200" s="635"/>
      <c r="G200" s="635"/>
      <c r="H200" s="635"/>
      <c r="I200" s="635"/>
      <c r="J200" s="635">
        <v>1</v>
      </c>
      <c r="K200" s="635">
        <v>365</v>
      </c>
      <c r="L200" s="635"/>
      <c r="M200" s="635">
        <v>365</v>
      </c>
      <c r="N200" s="635"/>
      <c r="O200" s="635"/>
      <c r="P200" s="657"/>
      <c r="Q200" s="636"/>
    </row>
    <row r="201" spans="1:17" ht="14.4" customHeight="1" x14ac:dyDescent="0.3">
      <c r="A201" s="631" t="s">
        <v>3047</v>
      </c>
      <c r="B201" s="632" t="s">
        <v>3048</v>
      </c>
      <c r="C201" s="632" t="s">
        <v>2110</v>
      </c>
      <c r="D201" s="632" t="s">
        <v>3049</v>
      </c>
      <c r="E201" s="632" t="s">
        <v>3050</v>
      </c>
      <c r="F201" s="635">
        <v>158</v>
      </c>
      <c r="G201" s="635">
        <v>31916</v>
      </c>
      <c r="H201" s="635">
        <v>1</v>
      </c>
      <c r="I201" s="635">
        <v>202</v>
      </c>
      <c r="J201" s="635">
        <v>260</v>
      </c>
      <c r="K201" s="635">
        <v>52780</v>
      </c>
      <c r="L201" s="635">
        <v>1.6537160045118435</v>
      </c>
      <c r="M201" s="635">
        <v>203</v>
      </c>
      <c r="N201" s="635">
        <v>275</v>
      </c>
      <c r="O201" s="635">
        <v>55825</v>
      </c>
      <c r="P201" s="657">
        <v>1.7491226970798346</v>
      </c>
      <c r="Q201" s="636">
        <v>203</v>
      </c>
    </row>
    <row r="202" spans="1:17" ht="14.4" customHeight="1" x14ac:dyDescent="0.3">
      <c r="A202" s="631" t="s">
        <v>3047</v>
      </c>
      <c r="B202" s="632" t="s">
        <v>3048</v>
      </c>
      <c r="C202" s="632" t="s">
        <v>2110</v>
      </c>
      <c r="D202" s="632" t="s">
        <v>3051</v>
      </c>
      <c r="E202" s="632" t="s">
        <v>3050</v>
      </c>
      <c r="F202" s="635"/>
      <c r="G202" s="635"/>
      <c r="H202" s="635"/>
      <c r="I202" s="635"/>
      <c r="J202" s="635"/>
      <c r="K202" s="635"/>
      <c r="L202" s="635"/>
      <c r="M202" s="635"/>
      <c r="N202" s="635">
        <v>1</v>
      </c>
      <c r="O202" s="635">
        <v>84</v>
      </c>
      <c r="P202" s="657"/>
      <c r="Q202" s="636">
        <v>84</v>
      </c>
    </row>
    <row r="203" spans="1:17" ht="14.4" customHeight="1" x14ac:dyDescent="0.3">
      <c r="A203" s="631" t="s">
        <v>3047</v>
      </c>
      <c r="B203" s="632" t="s">
        <v>3048</v>
      </c>
      <c r="C203" s="632" t="s">
        <v>2110</v>
      </c>
      <c r="D203" s="632" t="s">
        <v>3052</v>
      </c>
      <c r="E203" s="632" t="s">
        <v>3053</v>
      </c>
      <c r="F203" s="635">
        <v>29</v>
      </c>
      <c r="G203" s="635">
        <v>8439</v>
      </c>
      <c r="H203" s="635">
        <v>1</v>
      </c>
      <c r="I203" s="635">
        <v>291</v>
      </c>
      <c r="J203" s="635">
        <v>59</v>
      </c>
      <c r="K203" s="635">
        <v>17228</v>
      </c>
      <c r="L203" s="635">
        <v>2.0414741083066712</v>
      </c>
      <c r="M203" s="635">
        <v>292</v>
      </c>
      <c r="N203" s="635">
        <v>142</v>
      </c>
      <c r="O203" s="635">
        <v>41464</v>
      </c>
      <c r="P203" s="657">
        <v>4.9133783623652088</v>
      </c>
      <c r="Q203" s="636">
        <v>292</v>
      </c>
    </row>
    <row r="204" spans="1:17" ht="14.4" customHeight="1" x14ac:dyDescent="0.3">
      <c r="A204" s="631" t="s">
        <v>3047</v>
      </c>
      <c r="B204" s="632" t="s">
        <v>3048</v>
      </c>
      <c r="C204" s="632" t="s">
        <v>2110</v>
      </c>
      <c r="D204" s="632" t="s">
        <v>3054</v>
      </c>
      <c r="E204" s="632" t="s">
        <v>3055</v>
      </c>
      <c r="F204" s="635"/>
      <c r="G204" s="635"/>
      <c r="H204" s="635"/>
      <c r="I204" s="635"/>
      <c r="J204" s="635">
        <v>3</v>
      </c>
      <c r="K204" s="635">
        <v>279</v>
      </c>
      <c r="L204" s="635"/>
      <c r="M204" s="635">
        <v>93</v>
      </c>
      <c r="N204" s="635">
        <v>6</v>
      </c>
      <c r="O204" s="635">
        <v>558</v>
      </c>
      <c r="P204" s="657"/>
      <c r="Q204" s="636">
        <v>93</v>
      </c>
    </row>
    <row r="205" spans="1:17" ht="14.4" customHeight="1" x14ac:dyDescent="0.3">
      <c r="A205" s="631" t="s">
        <v>3047</v>
      </c>
      <c r="B205" s="632" t="s">
        <v>3048</v>
      </c>
      <c r="C205" s="632" t="s">
        <v>2110</v>
      </c>
      <c r="D205" s="632" t="s">
        <v>3056</v>
      </c>
      <c r="E205" s="632" t="s">
        <v>3057</v>
      </c>
      <c r="F205" s="635">
        <v>32</v>
      </c>
      <c r="G205" s="635">
        <v>4256</v>
      </c>
      <c r="H205" s="635">
        <v>1</v>
      </c>
      <c r="I205" s="635">
        <v>133</v>
      </c>
      <c r="J205" s="635">
        <v>52</v>
      </c>
      <c r="K205" s="635">
        <v>6968</v>
      </c>
      <c r="L205" s="635">
        <v>1.637218045112782</v>
      </c>
      <c r="M205" s="635">
        <v>134</v>
      </c>
      <c r="N205" s="635">
        <v>51</v>
      </c>
      <c r="O205" s="635">
        <v>6834</v>
      </c>
      <c r="P205" s="657">
        <v>1.6057330827067668</v>
      </c>
      <c r="Q205" s="636">
        <v>134</v>
      </c>
    </row>
    <row r="206" spans="1:17" ht="14.4" customHeight="1" x14ac:dyDescent="0.3">
      <c r="A206" s="631" t="s">
        <v>3047</v>
      </c>
      <c r="B206" s="632" t="s">
        <v>3048</v>
      </c>
      <c r="C206" s="632" t="s">
        <v>2110</v>
      </c>
      <c r="D206" s="632" t="s">
        <v>3058</v>
      </c>
      <c r="E206" s="632" t="s">
        <v>3057</v>
      </c>
      <c r="F206" s="635"/>
      <c r="G206" s="635"/>
      <c r="H206" s="635"/>
      <c r="I206" s="635"/>
      <c r="J206" s="635">
        <v>1</v>
      </c>
      <c r="K206" s="635">
        <v>175</v>
      </c>
      <c r="L206" s="635"/>
      <c r="M206" s="635">
        <v>175</v>
      </c>
      <c r="N206" s="635">
        <v>1</v>
      </c>
      <c r="O206" s="635">
        <v>175</v>
      </c>
      <c r="P206" s="657"/>
      <c r="Q206" s="636">
        <v>175</v>
      </c>
    </row>
    <row r="207" spans="1:17" ht="14.4" customHeight="1" x14ac:dyDescent="0.3">
      <c r="A207" s="631" t="s">
        <v>3047</v>
      </c>
      <c r="B207" s="632" t="s">
        <v>3048</v>
      </c>
      <c r="C207" s="632" t="s">
        <v>2110</v>
      </c>
      <c r="D207" s="632" t="s">
        <v>3059</v>
      </c>
      <c r="E207" s="632" t="s">
        <v>3060</v>
      </c>
      <c r="F207" s="635"/>
      <c r="G207" s="635"/>
      <c r="H207" s="635"/>
      <c r="I207" s="635"/>
      <c r="J207" s="635">
        <v>2</v>
      </c>
      <c r="K207" s="635">
        <v>318</v>
      </c>
      <c r="L207" s="635"/>
      <c r="M207" s="635">
        <v>159</v>
      </c>
      <c r="N207" s="635">
        <v>5</v>
      </c>
      <c r="O207" s="635">
        <v>795</v>
      </c>
      <c r="P207" s="657"/>
      <c r="Q207" s="636">
        <v>159</v>
      </c>
    </row>
    <row r="208" spans="1:17" ht="14.4" customHeight="1" x14ac:dyDescent="0.3">
      <c r="A208" s="631" t="s">
        <v>3047</v>
      </c>
      <c r="B208" s="632" t="s">
        <v>3048</v>
      </c>
      <c r="C208" s="632" t="s">
        <v>2110</v>
      </c>
      <c r="D208" s="632" t="s">
        <v>3061</v>
      </c>
      <c r="E208" s="632" t="s">
        <v>3062</v>
      </c>
      <c r="F208" s="635">
        <v>1</v>
      </c>
      <c r="G208" s="635">
        <v>382</v>
      </c>
      <c r="H208" s="635">
        <v>1</v>
      </c>
      <c r="I208" s="635">
        <v>382</v>
      </c>
      <c r="J208" s="635"/>
      <c r="K208" s="635"/>
      <c r="L208" s="635"/>
      <c r="M208" s="635"/>
      <c r="N208" s="635"/>
      <c r="O208" s="635"/>
      <c r="P208" s="657"/>
      <c r="Q208" s="636"/>
    </row>
    <row r="209" spans="1:17" ht="14.4" customHeight="1" x14ac:dyDescent="0.3">
      <c r="A209" s="631" t="s">
        <v>3047</v>
      </c>
      <c r="B209" s="632" t="s">
        <v>3048</v>
      </c>
      <c r="C209" s="632" t="s">
        <v>2110</v>
      </c>
      <c r="D209" s="632" t="s">
        <v>3063</v>
      </c>
      <c r="E209" s="632" t="s">
        <v>3064</v>
      </c>
      <c r="F209" s="635">
        <v>18</v>
      </c>
      <c r="G209" s="635">
        <v>4698</v>
      </c>
      <c r="H209" s="635">
        <v>1</v>
      </c>
      <c r="I209" s="635">
        <v>261</v>
      </c>
      <c r="J209" s="635">
        <v>43</v>
      </c>
      <c r="K209" s="635">
        <v>11266</v>
      </c>
      <c r="L209" s="635">
        <v>2.3980417198808004</v>
      </c>
      <c r="M209" s="635">
        <v>262</v>
      </c>
      <c r="N209" s="635">
        <v>50</v>
      </c>
      <c r="O209" s="635">
        <v>13100</v>
      </c>
      <c r="P209" s="657">
        <v>2.7884206045125586</v>
      </c>
      <c r="Q209" s="636">
        <v>262</v>
      </c>
    </row>
    <row r="210" spans="1:17" ht="14.4" customHeight="1" x14ac:dyDescent="0.3">
      <c r="A210" s="631" t="s">
        <v>3047</v>
      </c>
      <c r="B210" s="632" t="s">
        <v>3048</v>
      </c>
      <c r="C210" s="632" t="s">
        <v>2110</v>
      </c>
      <c r="D210" s="632" t="s">
        <v>3065</v>
      </c>
      <c r="E210" s="632" t="s">
        <v>3066</v>
      </c>
      <c r="F210" s="635">
        <v>41</v>
      </c>
      <c r="G210" s="635">
        <v>5740</v>
      </c>
      <c r="H210" s="635">
        <v>1</v>
      </c>
      <c r="I210" s="635">
        <v>140</v>
      </c>
      <c r="J210" s="635">
        <v>50</v>
      </c>
      <c r="K210" s="635">
        <v>7050</v>
      </c>
      <c r="L210" s="635">
        <v>1.2282229965156795</v>
      </c>
      <c r="M210" s="635">
        <v>141</v>
      </c>
      <c r="N210" s="635">
        <v>54</v>
      </c>
      <c r="O210" s="635">
        <v>7614</v>
      </c>
      <c r="P210" s="657">
        <v>1.3264808362369338</v>
      </c>
      <c r="Q210" s="636">
        <v>141</v>
      </c>
    </row>
    <row r="211" spans="1:17" ht="14.4" customHeight="1" x14ac:dyDescent="0.3">
      <c r="A211" s="631" t="s">
        <v>3047</v>
      </c>
      <c r="B211" s="632" t="s">
        <v>3048</v>
      </c>
      <c r="C211" s="632" t="s">
        <v>2110</v>
      </c>
      <c r="D211" s="632" t="s">
        <v>3067</v>
      </c>
      <c r="E211" s="632" t="s">
        <v>3066</v>
      </c>
      <c r="F211" s="635">
        <v>32</v>
      </c>
      <c r="G211" s="635">
        <v>2496</v>
      </c>
      <c r="H211" s="635">
        <v>1</v>
      </c>
      <c r="I211" s="635">
        <v>78</v>
      </c>
      <c r="J211" s="635">
        <v>52</v>
      </c>
      <c r="K211" s="635">
        <v>4056</v>
      </c>
      <c r="L211" s="635">
        <v>1.625</v>
      </c>
      <c r="M211" s="635">
        <v>78</v>
      </c>
      <c r="N211" s="635">
        <v>51</v>
      </c>
      <c r="O211" s="635">
        <v>3978</v>
      </c>
      <c r="P211" s="657">
        <v>1.59375</v>
      </c>
      <c r="Q211" s="636">
        <v>78</v>
      </c>
    </row>
    <row r="212" spans="1:17" ht="14.4" customHeight="1" x14ac:dyDescent="0.3">
      <c r="A212" s="631" t="s">
        <v>3047</v>
      </c>
      <c r="B212" s="632" t="s">
        <v>3048</v>
      </c>
      <c r="C212" s="632" t="s">
        <v>2110</v>
      </c>
      <c r="D212" s="632" t="s">
        <v>3068</v>
      </c>
      <c r="E212" s="632" t="s">
        <v>3069</v>
      </c>
      <c r="F212" s="635">
        <v>41</v>
      </c>
      <c r="G212" s="635">
        <v>12382</v>
      </c>
      <c r="H212" s="635">
        <v>1</v>
      </c>
      <c r="I212" s="635">
        <v>302</v>
      </c>
      <c r="J212" s="635">
        <v>50</v>
      </c>
      <c r="K212" s="635">
        <v>15150</v>
      </c>
      <c r="L212" s="635">
        <v>1.2235503149733484</v>
      </c>
      <c r="M212" s="635">
        <v>303</v>
      </c>
      <c r="N212" s="635">
        <v>54</v>
      </c>
      <c r="O212" s="635">
        <v>16362</v>
      </c>
      <c r="P212" s="657">
        <v>1.3214343401712163</v>
      </c>
      <c r="Q212" s="636">
        <v>303</v>
      </c>
    </row>
    <row r="213" spans="1:17" ht="14.4" customHeight="1" x14ac:dyDescent="0.3">
      <c r="A213" s="631" t="s">
        <v>3047</v>
      </c>
      <c r="B213" s="632" t="s">
        <v>3048</v>
      </c>
      <c r="C213" s="632" t="s">
        <v>2110</v>
      </c>
      <c r="D213" s="632" t="s">
        <v>3070</v>
      </c>
      <c r="E213" s="632" t="s">
        <v>3071</v>
      </c>
      <c r="F213" s="635">
        <v>7</v>
      </c>
      <c r="G213" s="635">
        <v>1113</v>
      </c>
      <c r="H213" s="635">
        <v>1</v>
      </c>
      <c r="I213" s="635">
        <v>159</v>
      </c>
      <c r="J213" s="635">
        <v>8</v>
      </c>
      <c r="K213" s="635">
        <v>1280</v>
      </c>
      <c r="L213" s="635">
        <v>1.1500449236298294</v>
      </c>
      <c r="M213" s="635">
        <v>160</v>
      </c>
      <c r="N213" s="635">
        <v>14</v>
      </c>
      <c r="O213" s="635">
        <v>2240</v>
      </c>
      <c r="P213" s="657">
        <v>2.0125786163522013</v>
      </c>
      <c r="Q213" s="636">
        <v>160</v>
      </c>
    </row>
    <row r="214" spans="1:17" ht="14.4" customHeight="1" x14ac:dyDescent="0.3">
      <c r="A214" s="631" t="s">
        <v>3047</v>
      </c>
      <c r="B214" s="632" t="s">
        <v>3048</v>
      </c>
      <c r="C214" s="632" t="s">
        <v>2110</v>
      </c>
      <c r="D214" s="632" t="s">
        <v>3072</v>
      </c>
      <c r="E214" s="632" t="s">
        <v>3050</v>
      </c>
      <c r="F214" s="635">
        <v>80</v>
      </c>
      <c r="G214" s="635">
        <v>5600</v>
      </c>
      <c r="H214" s="635">
        <v>1</v>
      </c>
      <c r="I214" s="635">
        <v>70</v>
      </c>
      <c r="J214" s="635">
        <v>153</v>
      </c>
      <c r="K214" s="635">
        <v>10710</v>
      </c>
      <c r="L214" s="635">
        <v>1.9125000000000001</v>
      </c>
      <c r="M214" s="635">
        <v>70</v>
      </c>
      <c r="N214" s="635">
        <v>140</v>
      </c>
      <c r="O214" s="635">
        <v>9800</v>
      </c>
      <c r="P214" s="657">
        <v>1.75</v>
      </c>
      <c r="Q214" s="636">
        <v>70</v>
      </c>
    </row>
    <row r="215" spans="1:17" ht="14.4" customHeight="1" x14ac:dyDescent="0.3">
      <c r="A215" s="631" t="s">
        <v>3047</v>
      </c>
      <c r="B215" s="632" t="s">
        <v>3048</v>
      </c>
      <c r="C215" s="632" t="s">
        <v>2110</v>
      </c>
      <c r="D215" s="632" t="s">
        <v>3073</v>
      </c>
      <c r="E215" s="632" t="s">
        <v>3074</v>
      </c>
      <c r="F215" s="635">
        <v>1</v>
      </c>
      <c r="G215" s="635">
        <v>215</v>
      </c>
      <c r="H215" s="635">
        <v>1</v>
      </c>
      <c r="I215" s="635">
        <v>215</v>
      </c>
      <c r="J215" s="635">
        <v>3</v>
      </c>
      <c r="K215" s="635">
        <v>648</v>
      </c>
      <c r="L215" s="635">
        <v>3.0139534883720929</v>
      </c>
      <c r="M215" s="635">
        <v>216</v>
      </c>
      <c r="N215" s="635">
        <v>1</v>
      </c>
      <c r="O215" s="635">
        <v>216</v>
      </c>
      <c r="P215" s="657">
        <v>1.0046511627906978</v>
      </c>
      <c r="Q215" s="636">
        <v>216</v>
      </c>
    </row>
    <row r="216" spans="1:17" ht="14.4" customHeight="1" x14ac:dyDescent="0.3">
      <c r="A216" s="631" t="s">
        <v>3047</v>
      </c>
      <c r="B216" s="632" t="s">
        <v>3048</v>
      </c>
      <c r="C216" s="632" t="s">
        <v>2110</v>
      </c>
      <c r="D216" s="632" t="s">
        <v>3075</v>
      </c>
      <c r="E216" s="632" t="s">
        <v>3076</v>
      </c>
      <c r="F216" s="635"/>
      <c r="G216" s="635"/>
      <c r="H216" s="635"/>
      <c r="I216" s="635"/>
      <c r="J216" s="635">
        <v>1</v>
      </c>
      <c r="K216" s="635">
        <v>1189</v>
      </c>
      <c r="L216" s="635"/>
      <c r="M216" s="635">
        <v>1189</v>
      </c>
      <c r="N216" s="635">
        <v>5</v>
      </c>
      <c r="O216" s="635">
        <v>5945</v>
      </c>
      <c r="P216" s="657"/>
      <c r="Q216" s="636">
        <v>1189</v>
      </c>
    </row>
    <row r="217" spans="1:17" ht="14.4" customHeight="1" x14ac:dyDescent="0.3">
      <c r="A217" s="631" t="s">
        <v>3047</v>
      </c>
      <c r="B217" s="632" t="s">
        <v>3048</v>
      </c>
      <c r="C217" s="632" t="s">
        <v>2110</v>
      </c>
      <c r="D217" s="632" t="s">
        <v>3077</v>
      </c>
      <c r="E217" s="632" t="s">
        <v>3078</v>
      </c>
      <c r="F217" s="635">
        <v>1</v>
      </c>
      <c r="G217" s="635">
        <v>107</v>
      </c>
      <c r="H217" s="635">
        <v>1</v>
      </c>
      <c r="I217" s="635">
        <v>107</v>
      </c>
      <c r="J217" s="635">
        <v>2</v>
      </c>
      <c r="K217" s="635">
        <v>216</v>
      </c>
      <c r="L217" s="635">
        <v>2.0186915887850465</v>
      </c>
      <c r="M217" s="635">
        <v>108</v>
      </c>
      <c r="N217" s="635">
        <v>4</v>
      </c>
      <c r="O217" s="635">
        <v>432</v>
      </c>
      <c r="P217" s="657">
        <v>4.037383177570093</v>
      </c>
      <c r="Q217" s="636">
        <v>108</v>
      </c>
    </row>
    <row r="218" spans="1:17" ht="14.4" customHeight="1" x14ac:dyDescent="0.3">
      <c r="A218" s="631" t="s">
        <v>3047</v>
      </c>
      <c r="B218" s="632" t="s">
        <v>3048</v>
      </c>
      <c r="C218" s="632" t="s">
        <v>2110</v>
      </c>
      <c r="D218" s="632" t="s">
        <v>3079</v>
      </c>
      <c r="E218" s="632" t="s">
        <v>3080</v>
      </c>
      <c r="F218" s="635">
        <v>1</v>
      </c>
      <c r="G218" s="635">
        <v>318</v>
      </c>
      <c r="H218" s="635">
        <v>1</v>
      </c>
      <c r="I218" s="635">
        <v>318</v>
      </c>
      <c r="J218" s="635">
        <v>1</v>
      </c>
      <c r="K218" s="635">
        <v>319</v>
      </c>
      <c r="L218" s="635">
        <v>1.0031446540880504</v>
      </c>
      <c r="M218" s="635">
        <v>319</v>
      </c>
      <c r="N218" s="635"/>
      <c r="O218" s="635"/>
      <c r="P218" s="657"/>
      <c r="Q218" s="636"/>
    </row>
    <row r="219" spans="1:17" ht="14.4" customHeight="1" x14ac:dyDescent="0.3">
      <c r="A219" s="631" t="s">
        <v>3047</v>
      </c>
      <c r="B219" s="632" t="s">
        <v>3048</v>
      </c>
      <c r="C219" s="632" t="s">
        <v>2110</v>
      </c>
      <c r="D219" s="632" t="s">
        <v>3081</v>
      </c>
      <c r="E219" s="632" t="s">
        <v>3082</v>
      </c>
      <c r="F219" s="635"/>
      <c r="G219" s="635"/>
      <c r="H219" s="635"/>
      <c r="I219" s="635"/>
      <c r="J219" s="635"/>
      <c r="K219" s="635"/>
      <c r="L219" s="635"/>
      <c r="M219" s="635"/>
      <c r="N219" s="635">
        <v>1</v>
      </c>
      <c r="O219" s="635">
        <v>144</v>
      </c>
      <c r="P219" s="657"/>
      <c r="Q219" s="636">
        <v>144</v>
      </c>
    </row>
    <row r="220" spans="1:17" ht="14.4" customHeight="1" x14ac:dyDescent="0.3">
      <c r="A220" s="631" t="s">
        <v>3047</v>
      </c>
      <c r="B220" s="632" t="s">
        <v>3048</v>
      </c>
      <c r="C220" s="632" t="s">
        <v>2110</v>
      </c>
      <c r="D220" s="632" t="s">
        <v>3083</v>
      </c>
      <c r="E220" s="632" t="s">
        <v>3084</v>
      </c>
      <c r="F220" s="635">
        <v>1</v>
      </c>
      <c r="G220" s="635">
        <v>1015</v>
      </c>
      <c r="H220" s="635">
        <v>1</v>
      </c>
      <c r="I220" s="635">
        <v>1015</v>
      </c>
      <c r="J220" s="635"/>
      <c r="K220" s="635"/>
      <c r="L220" s="635"/>
      <c r="M220" s="635"/>
      <c r="N220" s="635">
        <v>1</v>
      </c>
      <c r="O220" s="635">
        <v>1020</v>
      </c>
      <c r="P220" s="657">
        <v>1.0049261083743843</v>
      </c>
      <c r="Q220" s="636">
        <v>1020</v>
      </c>
    </row>
    <row r="221" spans="1:17" ht="14.4" customHeight="1" x14ac:dyDescent="0.3">
      <c r="A221" s="631" t="s">
        <v>3047</v>
      </c>
      <c r="B221" s="632" t="s">
        <v>3048</v>
      </c>
      <c r="C221" s="632" t="s">
        <v>2110</v>
      </c>
      <c r="D221" s="632" t="s">
        <v>3085</v>
      </c>
      <c r="E221" s="632" t="s">
        <v>3086</v>
      </c>
      <c r="F221" s="635"/>
      <c r="G221" s="635"/>
      <c r="H221" s="635"/>
      <c r="I221" s="635"/>
      <c r="J221" s="635"/>
      <c r="K221" s="635"/>
      <c r="L221" s="635"/>
      <c r="M221" s="635"/>
      <c r="N221" s="635">
        <v>1</v>
      </c>
      <c r="O221" s="635">
        <v>291</v>
      </c>
      <c r="P221" s="657"/>
      <c r="Q221" s="636">
        <v>291</v>
      </c>
    </row>
    <row r="222" spans="1:17" ht="14.4" customHeight="1" x14ac:dyDescent="0.3">
      <c r="A222" s="631" t="s">
        <v>3087</v>
      </c>
      <c r="B222" s="632" t="s">
        <v>3088</v>
      </c>
      <c r="C222" s="632" t="s">
        <v>2110</v>
      </c>
      <c r="D222" s="632" t="s">
        <v>3089</v>
      </c>
      <c r="E222" s="632" t="s">
        <v>3090</v>
      </c>
      <c r="F222" s="635">
        <v>168</v>
      </c>
      <c r="G222" s="635">
        <v>8904</v>
      </c>
      <c r="H222" s="635">
        <v>1</v>
      </c>
      <c r="I222" s="635">
        <v>53</v>
      </c>
      <c r="J222" s="635">
        <v>178</v>
      </c>
      <c r="K222" s="635">
        <v>9434</v>
      </c>
      <c r="L222" s="635">
        <v>1.0595238095238095</v>
      </c>
      <c r="M222" s="635">
        <v>53</v>
      </c>
      <c r="N222" s="635">
        <v>236</v>
      </c>
      <c r="O222" s="635">
        <v>12508</v>
      </c>
      <c r="P222" s="657">
        <v>1.4047619047619047</v>
      </c>
      <c r="Q222" s="636">
        <v>53</v>
      </c>
    </row>
    <row r="223" spans="1:17" ht="14.4" customHeight="1" x14ac:dyDescent="0.3">
      <c r="A223" s="631" t="s">
        <v>3087</v>
      </c>
      <c r="B223" s="632" t="s">
        <v>3088</v>
      </c>
      <c r="C223" s="632" t="s">
        <v>2110</v>
      </c>
      <c r="D223" s="632" t="s">
        <v>3091</v>
      </c>
      <c r="E223" s="632" t="s">
        <v>3092</v>
      </c>
      <c r="F223" s="635">
        <v>331</v>
      </c>
      <c r="G223" s="635">
        <v>39720</v>
      </c>
      <c r="H223" s="635">
        <v>1</v>
      </c>
      <c r="I223" s="635">
        <v>120</v>
      </c>
      <c r="J223" s="635">
        <v>317</v>
      </c>
      <c r="K223" s="635">
        <v>38357</v>
      </c>
      <c r="L223" s="635">
        <v>0.96568479355488424</v>
      </c>
      <c r="M223" s="635">
        <v>121</v>
      </c>
      <c r="N223" s="635">
        <v>335</v>
      </c>
      <c r="O223" s="635">
        <v>40535</v>
      </c>
      <c r="P223" s="657">
        <v>1.0205186304128901</v>
      </c>
      <c r="Q223" s="636">
        <v>121</v>
      </c>
    </row>
    <row r="224" spans="1:17" ht="14.4" customHeight="1" x14ac:dyDescent="0.3">
      <c r="A224" s="631" t="s">
        <v>3087</v>
      </c>
      <c r="B224" s="632" t="s">
        <v>3088</v>
      </c>
      <c r="C224" s="632" t="s">
        <v>2110</v>
      </c>
      <c r="D224" s="632" t="s">
        <v>3093</v>
      </c>
      <c r="E224" s="632" t="s">
        <v>3094</v>
      </c>
      <c r="F224" s="635">
        <v>23</v>
      </c>
      <c r="G224" s="635">
        <v>3979</v>
      </c>
      <c r="H224" s="635">
        <v>1</v>
      </c>
      <c r="I224" s="635">
        <v>173</v>
      </c>
      <c r="J224" s="635">
        <v>23</v>
      </c>
      <c r="K224" s="635">
        <v>4002</v>
      </c>
      <c r="L224" s="635">
        <v>1.0057803468208093</v>
      </c>
      <c r="M224" s="635">
        <v>174</v>
      </c>
      <c r="N224" s="635">
        <v>24</v>
      </c>
      <c r="O224" s="635">
        <v>4176</v>
      </c>
      <c r="P224" s="657">
        <v>1.0495099271173662</v>
      </c>
      <c r="Q224" s="636">
        <v>174</v>
      </c>
    </row>
    <row r="225" spans="1:17" ht="14.4" customHeight="1" x14ac:dyDescent="0.3">
      <c r="A225" s="631" t="s">
        <v>3087</v>
      </c>
      <c r="B225" s="632" t="s">
        <v>3088</v>
      </c>
      <c r="C225" s="632" t="s">
        <v>2110</v>
      </c>
      <c r="D225" s="632" t="s">
        <v>3095</v>
      </c>
      <c r="E225" s="632" t="s">
        <v>3096</v>
      </c>
      <c r="F225" s="635">
        <v>41</v>
      </c>
      <c r="G225" s="635">
        <v>15539</v>
      </c>
      <c r="H225" s="635">
        <v>1</v>
      </c>
      <c r="I225" s="635">
        <v>379</v>
      </c>
      <c r="J225" s="635">
        <v>34</v>
      </c>
      <c r="K225" s="635">
        <v>12920</v>
      </c>
      <c r="L225" s="635">
        <v>0.8314563356715361</v>
      </c>
      <c r="M225" s="635">
        <v>380</v>
      </c>
      <c r="N225" s="635">
        <v>53</v>
      </c>
      <c r="O225" s="635">
        <v>20140</v>
      </c>
      <c r="P225" s="657">
        <v>1.2960936997232768</v>
      </c>
      <c r="Q225" s="636">
        <v>380</v>
      </c>
    </row>
    <row r="226" spans="1:17" ht="14.4" customHeight="1" x14ac:dyDescent="0.3">
      <c r="A226" s="631" t="s">
        <v>3087</v>
      </c>
      <c r="B226" s="632" t="s">
        <v>3088</v>
      </c>
      <c r="C226" s="632" t="s">
        <v>2110</v>
      </c>
      <c r="D226" s="632" t="s">
        <v>3097</v>
      </c>
      <c r="E226" s="632" t="s">
        <v>3098</v>
      </c>
      <c r="F226" s="635">
        <v>32</v>
      </c>
      <c r="G226" s="635">
        <v>5344</v>
      </c>
      <c r="H226" s="635">
        <v>1</v>
      </c>
      <c r="I226" s="635">
        <v>167</v>
      </c>
      <c r="J226" s="635">
        <v>31</v>
      </c>
      <c r="K226" s="635">
        <v>5208</v>
      </c>
      <c r="L226" s="635">
        <v>0.97455089820359286</v>
      </c>
      <c r="M226" s="635">
        <v>168</v>
      </c>
      <c r="N226" s="635">
        <v>13</v>
      </c>
      <c r="O226" s="635">
        <v>2184</v>
      </c>
      <c r="P226" s="657">
        <v>0.4086826347305389</v>
      </c>
      <c r="Q226" s="636">
        <v>168</v>
      </c>
    </row>
    <row r="227" spans="1:17" ht="14.4" customHeight="1" x14ac:dyDescent="0.3">
      <c r="A227" s="631" t="s">
        <v>3087</v>
      </c>
      <c r="B227" s="632" t="s">
        <v>3088</v>
      </c>
      <c r="C227" s="632" t="s">
        <v>2110</v>
      </c>
      <c r="D227" s="632" t="s">
        <v>3099</v>
      </c>
      <c r="E227" s="632" t="s">
        <v>3100</v>
      </c>
      <c r="F227" s="635">
        <v>22</v>
      </c>
      <c r="G227" s="635">
        <v>6886</v>
      </c>
      <c r="H227" s="635">
        <v>1</v>
      </c>
      <c r="I227" s="635">
        <v>313</v>
      </c>
      <c r="J227" s="635">
        <v>27</v>
      </c>
      <c r="K227" s="635">
        <v>8532</v>
      </c>
      <c r="L227" s="635">
        <v>1.2390357246587278</v>
      </c>
      <c r="M227" s="635">
        <v>316</v>
      </c>
      <c r="N227" s="635">
        <v>9</v>
      </c>
      <c r="O227" s="635">
        <v>2844</v>
      </c>
      <c r="P227" s="657">
        <v>0.41301190821957595</v>
      </c>
      <c r="Q227" s="636">
        <v>316</v>
      </c>
    </row>
    <row r="228" spans="1:17" ht="14.4" customHeight="1" x14ac:dyDescent="0.3">
      <c r="A228" s="631" t="s">
        <v>3087</v>
      </c>
      <c r="B228" s="632" t="s">
        <v>3088</v>
      </c>
      <c r="C228" s="632" t="s">
        <v>2110</v>
      </c>
      <c r="D228" s="632" t="s">
        <v>3101</v>
      </c>
      <c r="E228" s="632" t="s">
        <v>3102</v>
      </c>
      <c r="F228" s="635">
        <v>69</v>
      </c>
      <c r="G228" s="635">
        <v>23253</v>
      </c>
      <c r="H228" s="635">
        <v>1</v>
      </c>
      <c r="I228" s="635">
        <v>337</v>
      </c>
      <c r="J228" s="635">
        <v>149</v>
      </c>
      <c r="K228" s="635">
        <v>50362</v>
      </c>
      <c r="L228" s="635">
        <v>2.1658280651958886</v>
      </c>
      <c r="M228" s="635">
        <v>338</v>
      </c>
      <c r="N228" s="635">
        <v>149</v>
      </c>
      <c r="O228" s="635">
        <v>50362</v>
      </c>
      <c r="P228" s="657">
        <v>2.1658280651958886</v>
      </c>
      <c r="Q228" s="636">
        <v>338</v>
      </c>
    </row>
    <row r="229" spans="1:17" ht="14.4" customHeight="1" x14ac:dyDescent="0.3">
      <c r="A229" s="631" t="s">
        <v>3087</v>
      </c>
      <c r="B229" s="632" t="s">
        <v>3088</v>
      </c>
      <c r="C229" s="632" t="s">
        <v>2110</v>
      </c>
      <c r="D229" s="632" t="s">
        <v>3103</v>
      </c>
      <c r="E229" s="632" t="s">
        <v>3104</v>
      </c>
      <c r="F229" s="635">
        <v>16</v>
      </c>
      <c r="G229" s="635">
        <v>1712</v>
      </c>
      <c r="H229" s="635">
        <v>1</v>
      </c>
      <c r="I229" s="635">
        <v>107</v>
      </c>
      <c r="J229" s="635">
        <v>16</v>
      </c>
      <c r="K229" s="635">
        <v>1728</v>
      </c>
      <c r="L229" s="635">
        <v>1.0093457943925233</v>
      </c>
      <c r="M229" s="635">
        <v>108</v>
      </c>
      <c r="N229" s="635">
        <v>22</v>
      </c>
      <c r="O229" s="635">
        <v>2376</v>
      </c>
      <c r="P229" s="657">
        <v>1.3878504672897196</v>
      </c>
      <c r="Q229" s="636">
        <v>108</v>
      </c>
    </row>
    <row r="230" spans="1:17" ht="14.4" customHeight="1" x14ac:dyDescent="0.3">
      <c r="A230" s="631" t="s">
        <v>3087</v>
      </c>
      <c r="B230" s="632" t="s">
        <v>3088</v>
      </c>
      <c r="C230" s="632" t="s">
        <v>2110</v>
      </c>
      <c r="D230" s="632" t="s">
        <v>3105</v>
      </c>
      <c r="E230" s="632" t="s">
        <v>3106</v>
      </c>
      <c r="F230" s="635">
        <v>1</v>
      </c>
      <c r="G230" s="635">
        <v>361</v>
      </c>
      <c r="H230" s="635">
        <v>1</v>
      </c>
      <c r="I230" s="635">
        <v>361</v>
      </c>
      <c r="J230" s="635">
        <v>2</v>
      </c>
      <c r="K230" s="635">
        <v>730</v>
      </c>
      <c r="L230" s="635">
        <v>2.0221606648199444</v>
      </c>
      <c r="M230" s="635">
        <v>365</v>
      </c>
      <c r="N230" s="635"/>
      <c r="O230" s="635"/>
      <c r="P230" s="657"/>
      <c r="Q230" s="636"/>
    </row>
    <row r="231" spans="1:17" ht="14.4" customHeight="1" x14ac:dyDescent="0.3">
      <c r="A231" s="631" t="s">
        <v>3087</v>
      </c>
      <c r="B231" s="632" t="s">
        <v>3088</v>
      </c>
      <c r="C231" s="632" t="s">
        <v>2110</v>
      </c>
      <c r="D231" s="632" t="s">
        <v>3107</v>
      </c>
      <c r="E231" s="632" t="s">
        <v>3108</v>
      </c>
      <c r="F231" s="635">
        <v>12</v>
      </c>
      <c r="G231" s="635">
        <v>432</v>
      </c>
      <c r="H231" s="635">
        <v>1</v>
      </c>
      <c r="I231" s="635">
        <v>36</v>
      </c>
      <c r="J231" s="635">
        <v>12</v>
      </c>
      <c r="K231" s="635">
        <v>444</v>
      </c>
      <c r="L231" s="635">
        <v>1.0277777777777777</v>
      </c>
      <c r="M231" s="635">
        <v>37</v>
      </c>
      <c r="N231" s="635">
        <v>15</v>
      </c>
      <c r="O231" s="635">
        <v>555</v>
      </c>
      <c r="P231" s="657">
        <v>1.2847222222222223</v>
      </c>
      <c r="Q231" s="636">
        <v>37</v>
      </c>
    </row>
    <row r="232" spans="1:17" ht="14.4" customHeight="1" x14ac:dyDescent="0.3">
      <c r="A232" s="631" t="s">
        <v>3087</v>
      </c>
      <c r="B232" s="632" t="s">
        <v>3088</v>
      </c>
      <c r="C232" s="632" t="s">
        <v>2110</v>
      </c>
      <c r="D232" s="632" t="s">
        <v>3109</v>
      </c>
      <c r="E232" s="632" t="s">
        <v>3110</v>
      </c>
      <c r="F232" s="635">
        <v>2</v>
      </c>
      <c r="G232" s="635">
        <v>1320</v>
      </c>
      <c r="H232" s="635">
        <v>1</v>
      </c>
      <c r="I232" s="635">
        <v>660</v>
      </c>
      <c r="J232" s="635">
        <v>2</v>
      </c>
      <c r="K232" s="635">
        <v>1328</v>
      </c>
      <c r="L232" s="635">
        <v>1.0060606060606061</v>
      </c>
      <c r="M232" s="635">
        <v>664</v>
      </c>
      <c r="N232" s="635"/>
      <c r="O232" s="635"/>
      <c r="P232" s="657"/>
      <c r="Q232" s="636"/>
    </row>
    <row r="233" spans="1:17" ht="14.4" customHeight="1" x14ac:dyDescent="0.3">
      <c r="A233" s="631" t="s">
        <v>3087</v>
      </c>
      <c r="B233" s="632" t="s">
        <v>3088</v>
      </c>
      <c r="C233" s="632" t="s">
        <v>2110</v>
      </c>
      <c r="D233" s="632" t="s">
        <v>3111</v>
      </c>
      <c r="E233" s="632" t="s">
        <v>3112</v>
      </c>
      <c r="F233" s="635"/>
      <c r="G233" s="635"/>
      <c r="H233" s="635"/>
      <c r="I233" s="635"/>
      <c r="J233" s="635">
        <v>1</v>
      </c>
      <c r="K233" s="635">
        <v>136</v>
      </c>
      <c r="L233" s="635"/>
      <c r="M233" s="635">
        <v>136</v>
      </c>
      <c r="N233" s="635">
        <v>1</v>
      </c>
      <c r="O233" s="635">
        <v>136</v>
      </c>
      <c r="P233" s="657"/>
      <c r="Q233" s="636">
        <v>136</v>
      </c>
    </row>
    <row r="234" spans="1:17" ht="14.4" customHeight="1" x14ac:dyDescent="0.3">
      <c r="A234" s="631" t="s">
        <v>3087</v>
      </c>
      <c r="B234" s="632" t="s">
        <v>3088</v>
      </c>
      <c r="C234" s="632" t="s">
        <v>2110</v>
      </c>
      <c r="D234" s="632" t="s">
        <v>3113</v>
      </c>
      <c r="E234" s="632" t="s">
        <v>3114</v>
      </c>
      <c r="F234" s="635">
        <v>170</v>
      </c>
      <c r="G234" s="635">
        <v>47600</v>
      </c>
      <c r="H234" s="635">
        <v>1</v>
      </c>
      <c r="I234" s="635">
        <v>280</v>
      </c>
      <c r="J234" s="635">
        <v>135</v>
      </c>
      <c r="K234" s="635">
        <v>37935</v>
      </c>
      <c r="L234" s="635">
        <v>0.7969537815126051</v>
      </c>
      <c r="M234" s="635">
        <v>281</v>
      </c>
      <c r="N234" s="635">
        <v>171</v>
      </c>
      <c r="O234" s="635">
        <v>48051</v>
      </c>
      <c r="P234" s="657">
        <v>1.0094747899159664</v>
      </c>
      <c r="Q234" s="636">
        <v>281</v>
      </c>
    </row>
    <row r="235" spans="1:17" ht="14.4" customHeight="1" x14ac:dyDescent="0.3">
      <c r="A235" s="631" t="s">
        <v>3087</v>
      </c>
      <c r="B235" s="632" t="s">
        <v>3088</v>
      </c>
      <c r="C235" s="632" t="s">
        <v>2110</v>
      </c>
      <c r="D235" s="632" t="s">
        <v>3115</v>
      </c>
      <c r="E235" s="632" t="s">
        <v>3116</v>
      </c>
      <c r="F235" s="635">
        <v>93</v>
      </c>
      <c r="G235" s="635">
        <v>42129</v>
      </c>
      <c r="H235" s="635">
        <v>1</v>
      </c>
      <c r="I235" s="635">
        <v>453</v>
      </c>
      <c r="J235" s="635">
        <v>112</v>
      </c>
      <c r="K235" s="635">
        <v>51072</v>
      </c>
      <c r="L235" s="635">
        <v>1.2122765790785446</v>
      </c>
      <c r="M235" s="635">
        <v>456</v>
      </c>
      <c r="N235" s="635">
        <v>133</v>
      </c>
      <c r="O235" s="635">
        <v>60648</v>
      </c>
      <c r="P235" s="657">
        <v>1.4395784376557716</v>
      </c>
      <c r="Q235" s="636">
        <v>456</v>
      </c>
    </row>
    <row r="236" spans="1:17" ht="14.4" customHeight="1" x14ac:dyDescent="0.3">
      <c r="A236" s="631" t="s">
        <v>3087</v>
      </c>
      <c r="B236" s="632" t="s">
        <v>3088</v>
      </c>
      <c r="C236" s="632" t="s">
        <v>2110</v>
      </c>
      <c r="D236" s="632" t="s">
        <v>3117</v>
      </c>
      <c r="E236" s="632" t="s">
        <v>3118</v>
      </c>
      <c r="F236" s="635">
        <v>240</v>
      </c>
      <c r="G236" s="635">
        <v>82800</v>
      </c>
      <c r="H236" s="635">
        <v>1</v>
      </c>
      <c r="I236" s="635">
        <v>345</v>
      </c>
      <c r="J236" s="635">
        <v>224</v>
      </c>
      <c r="K236" s="635">
        <v>77952</v>
      </c>
      <c r="L236" s="635">
        <v>0.94144927536231882</v>
      </c>
      <c r="M236" s="635">
        <v>348</v>
      </c>
      <c r="N236" s="635">
        <v>253</v>
      </c>
      <c r="O236" s="635">
        <v>88044</v>
      </c>
      <c r="P236" s="657">
        <v>1.0633333333333332</v>
      </c>
      <c r="Q236" s="636">
        <v>348</v>
      </c>
    </row>
    <row r="237" spans="1:17" ht="14.4" customHeight="1" x14ac:dyDescent="0.3">
      <c r="A237" s="631" t="s">
        <v>3087</v>
      </c>
      <c r="B237" s="632" t="s">
        <v>3088</v>
      </c>
      <c r="C237" s="632" t="s">
        <v>2110</v>
      </c>
      <c r="D237" s="632" t="s">
        <v>3119</v>
      </c>
      <c r="E237" s="632" t="s">
        <v>3120</v>
      </c>
      <c r="F237" s="635">
        <v>2</v>
      </c>
      <c r="G237" s="635">
        <v>5748</v>
      </c>
      <c r="H237" s="635">
        <v>1</v>
      </c>
      <c r="I237" s="635">
        <v>2874</v>
      </c>
      <c r="J237" s="635"/>
      <c r="K237" s="635"/>
      <c r="L237" s="635"/>
      <c r="M237" s="635"/>
      <c r="N237" s="635"/>
      <c r="O237" s="635"/>
      <c r="P237" s="657"/>
      <c r="Q237" s="636"/>
    </row>
    <row r="238" spans="1:17" ht="14.4" customHeight="1" x14ac:dyDescent="0.3">
      <c r="A238" s="631" t="s">
        <v>3087</v>
      </c>
      <c r="B238" s="632" t="s">
        <v>3088</v>
      </c>
      <c r="C238" s="632" t="s">
        <v>2110</v>
      </c>
      <c r="D238" s="632" t="s">
        <v>3121</v>
      </c>
      <c r="E238" s="632" t="s">
        <v>3122</v>
      </c>
      <c r="F238" s="635">
        <v>1</v>
      </c>
      <c r="G238" s="635">
        <v>12774</v>
      </c>
      <c r="H238" s="635">
        <v>1</v>
      </c>
      <c r="I238" s="635">
        <v>12774</v>
      </c>
      <c r="J238" s="635"/>
      <c r="K238" s="635"/>
      <c r="L238" s="635"/>
      <c r="M238" s="635"/>
      <c r="N238" s="635"/>
      <c r="O238" s="635"/>
      <c r="P238" s="657"/>
      <c r="Q238" s="636"/>
    </row>
    <row r="239" spans="1:17" ht="14.4" customHeight="1" x14ac:dyDescent="0.3">
      <c r="A239" s="631" t="s">
        <v>3087</v>
      </c>
      <c r="B239" s="632" t="s">
        <v>3088</v>
      </c>
      <c r="C239" s="632" t="s">
        <v>2110</v>
      </c>
      <c r="D239" s="632" t="s">
        <v>3123</v>
      </c>
      <c r="E239" s="632" t="s">
        <v>3124</v>
      </c>
      <c r="F239" s="635">
        <v>1</v>
      </c>
      <c r="G239" s="635">
        <v>102</v>
      </c>
      <c r="H239" s="635">
        <v>1</v>
      </c>
      <c r="I239" s="635">
        <v>102</v>
      </c>
      <c r="J239" s="635">
        <v>3</v>
      </c>
      <c r="K239" s="635">
        <v>309</v>
      </c>
      <c r="L239" s="635">
        <v>3.0294117647058822</v>
      </c>
      <c r="M239" s="635">
        <v>103</v>
      </c>
      <c r="N239" s="635"/>
      <c r="O239" s="635"/>
      <c r="P239" s="657"/>
      <c r="Q239" s="636"/>
    </row>
    <row r="240" spans="1:17" ht="14.4" customHeight="1" x14ac:dyDescent="0.3">
      <c r="A240" s="631" t="s">
        <v>3087</v>
      </c>
      <c r="B240" s="632" t="s">
        <v>3088</v>
      </c>
      <c r="C240" s="632" t="s">
        <v>2110</v>
      </c>
      <c r="D240" s="632" t="s">
        <v>3125</v>
      </c>
      <c r="E240" s="632" t="s">
        <v>3126</v>
      </c>
      <c r="F240" s="635">
        <v>16</v>
      </c>
      <c r="G240" s="635">
        <v>1840</v>
      </c>
      <c r="H240" s="635">
        <v>1</v>
      </c>
      <c r="I240" s="635">
        <v>115</v>
      </c>
      <c r="J240" s="635">
        <v>13</v>
      </c>
      <c r="K240" s="635">
        <v>1495</v>
      </c>
      <c r="L240" s="635">
        <v>0.8125</v>
      </c>
      <c r="M240" s="635">
        <v>115</v>
      </c>
      <c r="N240" s="635">
        <v>6</v>
      </c>
      <c r="O240" s="635">
        <v>690</v>
      </c>
      <c r="P240" s="657">
        <v>0.375</v>
      </c>
      <c r="Q240" s="636">
        <v>115</v>
      </c>
    </row>
    <row r="241" spans="1:17" ht="14.4" customHeight="1" x14ac:dyDescent="0.3">
      <c r="A241" s="631" t="s">
        <v>3087</v>
      </c>
      <c r="B241" s="632" t="s">
        <v>3088</v>
      </c>
      <c r="C241" s="632" t="s">
        <v>2110</v>
      </c>
      <c r="D241" s="632" t="s">
        <v>3127</v>
      </c>
      <c r="E241" s="632" t="s">
        <v>3128</v>
      </c>
      <c r="F241" s="635">
        <v>21</v>
      </c>
      <c r="G241" s="635">
        <v>9534</v>
      </c>
      <c r="H241" s="635">
        <v>1</v>
      </c>
      <c r="I241" s="635">
        <v>454</v>
      </c>
      <c r="J241" s="635">
        <v>19</v>
      </c>
      <c r="K241" s="635">
        <v>8683</v>
      </c>
      <c r="L241" s="635">
        <v>0.91074050765680725</v>
      </c>
      <c r="M241" s="635">
        <v>457</v>
      </c>
      <c r="N241" s="635">
        <v>22</v>
      </c>
      <c r="O241" s="635">
        <v>10054</v>
      </c>
      <c r="P241" s="657">
        <v>1.0545416404447241</v>
      </c>
      <c r="Q241" s="636">
        <v>457</v>
      </c>
    </row>
    <row r="242" spans="1:17" ht="14.4" customHeight="1" x14ac:dyDescent="0.3">
      <c r="A242" s="631" t="s">
        <v>3087</v>
      </c>
      <c r="B242" s="632" t="s">
        <v>3088</v>
      </c>
      <c r="C242" s="632" t="s">
        <v>2110</v>
      </c>
      <c r="D242" s="632" t="s">
        <v>3129</v>
      </c>
      <c r="E242" s="632" t="s">
        <v>3130</v>
      </c>
      <c r="F242" s="635">
        <v>7</v>
      </c>
      <c r="G242" s="635">
        <v>2975</v>
      </c>
      <c r="H242" s="635">
        <v>1</v>
      </c>
      <c r="I242" s="635">
        <v>425</v>
      </c>
      <c r="J242" s="635">
        <v>9</v>
      </c>
      <c r="K242" s="635">
        <v>3861</v>
      </c>
      <c r="L242" s="635">
        <v>1.2978151260504203</v>
      </c>
      <c r="M242" s="635">
        <v>429</v>
      </c>
      <c r="N242" s="635"/>
      <c r="O242" s="635"/>
      <c r="P242" s="657"/>
      <c r="Q242" s="636"/>
    </row>
    <row r="243" spans="1:17" ht="14.4" customHeight="1" x14ac:dyDescent="0.3">
      <c r="A243" s="631" t="s">
        <v>3087</v>
      </c>
      <c r="B243" s="632" t="s">
        <v>3088</v>
      </c>
      <c r="C243" s="632" t="s">
        <v>2110</v>
      </c>
      <c r="D243" s="632" t="s">
        <v>3131</v>
      </c>
      <c r="E243" s="632" t="s">
        <v>3132</v>
      </c>
      <c r="F243" s="635">
        <v>16</v>
      </c>
      <c r="G243" s="635">
        <v>848</v>
      </c>
      <c r="H243" s="635">
        <v>1</v>
      </c>
      <c r="I243" s="635">
        <v>53</v>
      </c>
      <c r="J243" s="635">
        <v>2</v>
      </c>
      <c r="K243" s="635">
        <v>106</v>
      </c>
      <c r="L243" s="635">
        <v>0.125</v>
      </c>
      <c r="M243" s="635">
        <v>53</v>
      </c>
      <c r="N243" s="635">
        <v>16</v>
      </c>
      <c r="O243" s="635">
        <v>848</v>
      </c>
      <c r="P243" s="657">
        <v>1</v>
      </c>
      <c r="Q243" s="636">
        <v>53</v>
      </c>
    </row>
    <row r="244" spans="1:17" ht="14.4" customHeight="1" x14ac:dyDescent="0.3">
      <c r="A244" s="631" t="s">
        <v>3087</v>
      </c>
      <c r="B244" s="632" t="s">
        <v>3088</v>
      </c>
      <c r="C244" s="632" t="s">
        <v>2110</v>
      </c>
      <c r="D244" s="632" t="s">
        <v>3133</v>
      </c>
      <c r="E244" s="632" t="s">
        <v>3134</v>
      </c>
      <c r="F244" s="635">
        <v>1</v>
      </c>
      <c r="G244" s="635">
        <v>2161</v>
      </c>
      <c r="H244" s="635">
        <v>1</v>
      </c>
      <c r="I244" s="635">
        <v>2161</v>
      </c>
      <c r="J244" s="635">
        <v>1</v>
      </c>
      <c r="K244" s="635">
        <v>2164</v>
      </c>
      <c r="L244" s="635">
        <v>1.0013882461823229</v>
      </c>
      <c r="M244" s="635">
        <v>2164</v>
      </c>
      <c r="N244" s="635">
        <v>1</v>
      </c>
      <c r="O244" s="635">
        <v>2164</v>
      </c>
      <c r="P244" s="657">
        <v>1.0013882461823229</v>
      </c>
      <c r="Q244" s="636">
        <v>2164</v>
      </c>
    </row>
    <row r="245" spans="1:17" ht="14.4" customHeight="1" x14ac:dyDescent="0.3">
      <c r="A245" s="631" t="s">
        <v>3087</v>
      </c>
      <c r="B245" s="632" t="s">
        <v>3088</v>
      </c>
      <c r="C245" s="632" t="s">
        <v>2110</v>
      </c>
      <c r="D245" s="632" t="s">
        <v>3135</v>
      </c>
      <c r="E245" s="632" t="s">
        <v>3136</v>
      </c>
      <c r="F245" s="635">
        <v>1261</v>
      </c>
      <c r="G245" s="635">
        <v>206804</v>
      </c>
      <c r="H245" s="635">
        <v>1</v>
      </c>
      <c r="I245" s="635">
        <v>164</v>
      </c>
      <c r="J245" s="635">
        <v>1325</v>
      </c>
      <c r="K245" s="635">
        <v>218625</v>
      </c>
      <c r="L245" s="635">
        <v>1.057160403086981</v>
      </c>
      <c r="M245" s="635">
        <v>165</v>
      </c>
      <c r="N245" s="635">
        <v>1551</v>
      </c>
      <c r="O245" s="635">
        <v>255915</v>
      </c>
      <c r="P245" s="657">
        <v>1.2374760642927602</v>
      </c>
      <c r="Q245" s="636">
        <v>165</v>
      </c>
    </row>
    <row r="246" spans="1:17" ht="14.4" customHeight="1" x14ac:dyDescent="0.3">
      <c r="A246" s="631" t="s">
        <v>3087</v>
      </c>
      <c r="B246" s="632" t="s">
        <v>3088</v>
      </c>
      <c r="C246" s="632" t="s">
        <v>2110</v>
      </c>
      <c r="D246" s="632" t="s">
        <v>3137</v>
      </c>
      <c r="E246" s="632" t="s">
        <v>3138</v>
      </c>
      <c r="F246" s="635">
        <v>4</v>
      </c>
      <c r="G246" s="635">
        <v>312</v>
      </c>
      <c r="H246" s="635">
        <v>1</v>
      </c>
      <c r="I246" s="635">
        <v>78</v>
      </c>
      <c r="J246" s="635">
        <v>4</v>
      </c>
      <c r="K246" s="635">
        <v>316</v>
      </c>
      <c r="L246" s="635">
        <v>1.0128205128205128</v>
      </c>
      <c r="M246" s="635">
        <v>79</v>
      </c>
      <c r="N246" s="635"/>
      <c r="O246" s="635"/>
      <c r="P246" s="657"/>
      <c r="Q246" s="636"/>
    </row>
    <row r="247" spans="1:17" ht="14.4" customHeight="1" x14ac:dyDescent="0.3">
      <c r="A247" s="631" t="s">
        <v>3087</v>
      </c>
      <c r="B247" s="632" t="s">
        <v>3088</v>
      </c>
      <c r="C247" s="632" t="s">
        <v>2110</v>
      </c>
      <c r="D247" s="632" t="s">
        <v>3139</v>
      </c>
      <c r="E247" s="632" t="s">
        <v>3140</v>
      </c>
      <c r="F247" s="635"/>
      <c r="G247" s="635"/>
      <c r="H247" s="635"/>
      <c r="I247" s="635"/>
      <c r="J247" s="635">
        <v>2</v>
      </c>
      <c r="K247" s="635">
        <v>328</v>
      </c>
      <c r="L247" s="635"/>
      <c r="M247" s="635">
        <v>164</v>
      </c>
      <c r="N247" s="635"/>
      <c r="O247" s="635"/>
      <c r="P247" s="657"/>
      <c r="Q247" s="636"/>
    </row>
    <row r="248" spans="1:17" ht="14.4" customHeight="1" x14ac:dyDescent="0.3">
      <c r="A248" s="631" t="s">
        <v>3087</v>
      </c>
      <c r="B248" s="632" t="s">
        <v>3088</v>
      </c>
      <c r="C248" s="632" t="s">
        <v>2110</v>
      </c>
      <c r="D248" s="632" t="s">
        <v>3141</v>
      </c>
      <c r="E248" s="632" t="s">
        <v>3142</v>
      </c>
      <c r="F248" s="635">
        <v>7</v>
      </c>
      <c r="G248" s="635">
        <v>1113</v>
      </c>
      <c r="H248" s="635">
        <v>1</v>
      </c>
      <c r="I248" s="635">
        <v>159</v>
      </c>
      <c r="J248" s="635">
        <v>10</v>
      </c>
      <c r="K248" s="635">
        <v>1600</v>
      </c>
      <c r="L248" s="635">
        <v>1.4375561545372866</v>
      </c>
      <c r="M248" s="635">
        <v>160</v>
      </c>
      <c r="N248" s="635">
        <v>10</v>
      </c>
      <c r="O248" s="635">
        <v>1600</v>
      </c>
      <c r="P248" s="657">
        <v>1.4375561545372866</v>
      </c>
      <c r="Q248" s="636">
        <v>160</v>
      </c>
    </row>
    <row r="249" spans="1:17" ht="14.4" customHeight="1" x14ac:dyDescent="0.3">
      <c r="A249" s="631" t="s">
        <v>3087</v>
      </c>
      <c r="B249" s="632" t="s">
        <v>3088</v>
      </c>
      <c r="C249" s="632" t="s">
        <v>2110</v>
      </c>
      <c r="D249" s="632" t="s">
        <v>3143</v>
      </c>
      <c r="E249" s="632" t="s">
        <v>3144</v>
      </c>
      <c r="F249" s="635"/>
      <c r="G249" s="635"/>
      <c r="H249" s="635"/>
      <c r="I249" s="635"/>
      <c r="J249" s="635">
        <v>1</v>
      </c>
      <c r="K249" s="635">
        <v>167</v>
      </c>
      <c r="L249" s="635"/>
      <c r="M249" s="635">
        <v>167</v>
      </c>
      <c r="N249" s="635"/>
      <c r="O249" s="635"/>
      <c r="P249" s="657"/>
      <c r="Q249" s="636"/>
    </row>
    <row r="250" spans="1:17" ht="14.4" customHeight="1" x14ac:dyDescent="0.3">
      <c r="A250" s="631" t="s">
        <v>3087</v>
      </c>
      <c r="B250" s="632" t="s">
        <v>3088</v>
      </c>
      <c r="C250" s="632" t="s">
        <v>2110</v>
      </c>
      <c r="D250" s="632" t="s">
        <v>3145</v>
      </c>
      <c r="E250" s="632" t="s">
        <v>3146</v>
      </c>
      <c r="F250" s="635">
        <v>1</v>
      </c>
      <c r="G250" s="635">
        <v>242</v>
      </c>
      <c r="H250" s="635">
        <v>1</v>
      </c>
      <c r="I250" s="635">
        <v>242</v>
      </c>
      <c r="J250" s="635">
        <v>1</v>
      </c>
      <c r="K250" s="635">
        <v>243</v>
      </c>
      <c r="L250" s="635">
        <v>1.0041322314049588</v>
      </c>
      <c r="M250" s="635">
        <v>243</v>
      </c>
      <c r="N250" s="635"/>
      <c r="O250" s="635"/>
      <c r="P250" s="657"/>
      <c r="Q250" s="636"/>
    </row>
    <row r="251" spans="1:17" ht="14.4" customHeight="1" x14ac:dyDescent="0.3">
      <c r="A251" s="631" t="s">
        <v>3087</v>
      </c>
      <c r="B251" s="632" t="s">
        <v>3088</v>
      </c>
      <c r="C251" s="632" t="s">
        <v>2110</v>
      </c>
      <c r="D251" s="632" t="s">
        <v>3147</v>
      </c>
      <c r="E251" s="632" t="s">
        <v>3148</v>
      </c>
      <c r="F251" s="635">
        <v>4</v>
      </c>
      <c r="G251" s="635">
        <v>7940</v>
      </c>
      <c r="H251" s="635">
        <v>1</v>
      </c>
      <c r="I251" s="635">
        <v>1985</v>
      </c>
      <c r="J251" s="635">
        <v>5</v>
      </c>
      <c r="K251" s="635">
        <v>9965</v>
      </c>
      <c r="L251" s="635">
        <v>1.2550377833753148</v>
      </c>
      <c r="M251" s="635">
        <v>1993</v>
      </c>
      <c r="N251" s="635">
        <v>5</v>
      </c>
      <c r="O251" s="635">
        <v>9965</v>
      </c>
      <c r="P251" s="657">
        <v>1.2550377833753148</v>
      </c>
      <c r="Q251" s="636">
        <v>1993</v>
      </c>
    </row>
    <row r="252" spans="1:17" ht="14.4" customHeight="1" x14ac:dyDescent="0.3">
      <c r="A252" s="631" t="s">
        <v>3087</v>
      </c>
      <c r="B252" s="632" t="s">
        <v>3088</v>
      </c>
      <c r="C252" s="632" t="s">
        <v>2110</v>
      </c>
      <c r="D252" s="632" t="s">
        <v>3149</v>
      </c>
      <c r="E252" s="632" t="s">
        <v>3150</v>
      </c>
      <c r="F252" s="635">
        <v>21</v>
      </c>
      <c r="G252" s="635">
        <v>4662</v>
      </c>
      <c r="H252" s="635">
        <v>1</v>
      </c>
      <c r="I252" s="635">
        <v>222</v>
      </c>
      <c r="J252" s="635">
        <v>24</v>
      </c>
      <c r="K252" s="635">
        <v>5352</v>
      </c>
      <c r="L252" s="635">
        <v>1.1480051480051481</v>
      </c>
      <c r="M252" s="635">
        <v>223</v>
      </c>
      <c r="N252" s="635">
        <v>24</v>
      </c>
      <c r="O252" s="635">
        <v>5352</v>
      </c>
      <c r="P252" s="657">
        <v>1.1480051480051481</v>
      </c>
      <c r="Q252" s="636">
        <v>223</v>
      </c>
    </row>
    <row r="253" spans="1:17" ht="14.4" customHeight="1" x14ac:dyDescent="0.3">
      <c r="A253" s="631" t="s">
        <v>3087</v>
      </c>
      <c r="B253" s="632" t="s">
        <v>3088</v>
      </c>
      <c r="C253" s="632" t="s">
        <v>2110</v>
      </c>
      <c r="D253" s="632" t="s">
        <v>3151</v>
      </c>
      <c r="E253" s="632" t="s">
        <v>3152</v>
      </c>
      <c r="F253" s="635">
        <v>3</v>
      </c>
      <c r="G253" s="635">
        <v>1197</v>
      </c>
      <c r="H253" s="635">
        <v>1</v>
      </c>
      <c r="I253" s="635">
        <v>399</v>
      </c>
      <c r="J253" s="635">
        <v>3</v>
      </c>
      <c r="K253" s="635">
        <v>1212</v>
      </c>
      <c r="L253" s="635">
        <v>1.0125313283208019</v>
      </c>
      <c r="M253" s="635">
        <v>404</v>
      </c>
      <c r="N253" s="635">
        <v>3</v>
      </c>
      <c r="O253" s="635">
        <v>1212</v>
      </c>
      <c r="P253" s="657">
        <v>1.0125313283208019</v>
      </c>
      <c r="Q253" s="636">
        <v>404</v>
      </c>
    </row>
    <row r="254" spans="1:17" ht="14.4" customHeight="1" x14ac:dyDescent="0.3">
      <c r="A254" s="631" t="s">
        <v>3087</v>
      </c>
      <c r="B254" s="632" t="s">
        <v>3088</v>
      </c>
      <c r="C254" s="632" t="s">
        <v>2110</v>
      </c>
      <c r="D254" s="632" t="s">
        <v>3153</v>
      </c>
      <c r="E254" s="632" t="s">
        <v>3154</v>
      </c>
      <c r="F254" s="635"/>
      <c r="G254" s="635"/>
      <c r="H254" s="635"/>
      <c r="I254" s="635"/>
      <c r="J254" s="635"/>
      <c r="K254" s="635"/>
      <c r="L254" s="635"/>
      <c r="M254" s="635"/>
      <c r="N254" s="635">
        <v>4</v>
      </c>
      <c r="O254" s="635">
        <v>4088</v>
      </c>
      <c r="P254" s="657"/>
      <c r="Q254" s="636">
        <v>1022</v>
      </c>
    </row>
    <row r="255" spans="1:17" ht="14.4" customHeight="1" x14ac:dyDescent="0.3">
      <c r="A255" s="631" t="s">
        <v>3087</v>
      </c>
      <c r="B255" s="632" t="s">
        <v>3088</v>
      </c>
      <c r="C255" s="632" t="s">
        <v>2110</v>
      </c>
      <c r="D255" s="632" t="s">
        <v>3155</v>
      </c>
      <c r="E255" s="632" t="s">
        <v>3156</v>
      </c>
      <c r="F255" s="635">
        <v>2</v>
      </c>
      <c r="G255" s="635">
        <v>530</v>
      </c>
      <c r="H255" s="635">
        <v>1</v>
      </c>
      <c r="I255" s="635">
        <v>265</v>
      </c>
      <c r="J255" s="635"/>
      <c r="K255" s="635"/>
      <c r="L255" s="635"/>
      <c r="M255" s="635"/>
      <c r="N255" s="635">
        <v>1</v>
      </c>
      <c r="O255" s="635">
        <v>266</v>
      </c>
      <c r="P255" s="657">
        <v>0.50188679245283019</v>
      </c>
      <c r="Q255" s="636">
        <v>266</v>
      </c>
    </row>
    <row r="256" spans="1:17" ht="14.4" customHeight="1" x14ac:dyDescent="0.3">
      <c r="A256" s="631" t="s">
        <v>3157</v>
      </c>
      <c r="B256" s="632" t="s">
        <v>3158</v>
      </c>
      <c r="C256" s="632" t="s">
        <v>2110</v>
      </c>
      <c r="D256" s="632" t="s">
        <v>3159</v>
      </c>
      <c r="E256" s="632" t="s">
        <v>3160</v>
      </c>
      <c r="F256" s="635">
        <v>418</v>
      </c>
      <c r="G256" s="635">
        <v>66044</v>
      </c>
      <c r="H256" s="635">
        <v>1</v>
      </c>
      <c r="I256" s="635">
        <v>158</v>
      </c>
      <c r="J256" s="635">
        <v>561</v>
      </c>
      <c r="K256" s="635">
        <v>89199</v>
      </c>
      <c r="L256" s="635">
        <v>1.3505996002664891</v>
      </c>
      <c r="M256" s="635">
        <v>159</v>
      </c>
      <c r="N256" s="635">
        <v>476</v>
      </c>
      <c r="O256" s="635">
        <v>75684</v>
      </c>
      <c r="P256" s="657">
        <v>1.1459632971958089</v>
      </c>
      <c r="Q256" s="636">
        <v>159</v>
      </c>
    </row>
    <row r="257" spans="1:17" ht="14.4" customHeight="1" x14ac:dyDescent="0.3">
      <c r="A257" s="631" t="s">
        <v>3157</v>
      </c>
      <c r="B257" s="632" t="s">
        <v>3158</v>
      </c>
      <c r="C257" s="632" t="s">
        <v>2110</v>
      </c>
      <c r="D257" s="632" t="s">
        <v>3161</v>
      </c>
      <c r="E257" s="632" t="s">
        <v>3162</v>
      </c>
      <c r="F257" s="635"/>
      <c r="G257" s="635"/>
      <c r="H257" s="635"/>
      <c r="I257" s="635"/>
      <c r="J257" s="635">
        <v>2</v>
      </c>
      <c r="K257" s="635">
        <v>2330</v>
      </c>
      <c r="L257" s="635"/>
      <c r="M257" s="635">
        <v>1165</v>
      </c>
      <c r="N257" s="635"/>
      <c r="O257" s="635"/>
      <c r="P257" s="657"/>
      <c r="Q257" s="636"/>
    </row>
    <row r="258" spans="1:17" ht="14.4" customHeight="1" x14ac:dyDescent="0.3">
      <c r="A258" s="631" t="s">
        <v>3157</v>
      </c>
      <c r="B258" s="632" t="s">
        <v>3158</v>
      </c>
      <c r="C258" s="632" t="s">
        <v>2110</v>
      </c>
      <c r="D258" s="632" t="s">
        <v>3163</v>
      </c>
      <c r="E258" s="632" t="s">
        <v>3164</v>
      </c>
      <c r="F258" s="635">
        <v>71</v>
      </c>
      <c r="G258" s="635">
        <v>2769</v>
      </c>
      <c r="H258" s="635">
        <v>1</v>
      </c>
      <c r="I258" s="635">
        <v>39</v>
      </c>
      <c r="J258" s="635">
        <v>102</v>
      </c>
      <c r="K258" s="635">
        <v>3978</v>
      </c>
      <c r="L258" s="635">
        <v>1.4366197183098592</v>
      </c>
      <c r="M258" s="635">
        <v>39</v>
      </c>
      <c r="N258" s="635">
        <v>102</v>
      </c>
      <c r="O258" s="635">
        <v>3978</v>
      </c>
      <c r="P258" s="657">
        <v>1.4366197183098592</v>
      </c>
      <c r="Q258" s="636">
        <v>39</v>
      </c>
    </row>
    <row r="259" spans="1:17" ht="14.4" customHeight="1" x14ac:dyDescent="0.3">
      <c r="A259" s="631" t="s">
        <v>3157</v>
      </c>
      <c r="B259" s="632" t="s">
        <v>3158</v>
      </c>
      <c r="C259" s="632" t="s">
        <v>2110</v>
      </c>
      <c r="D259" s="632" t="s">
        <v>3165</v>
      </c>
      <c r="E259" s="632" t="s">
        <v>3166</v>
      </c>
      <c r="F259" s="635">
        <v>4</v>
      </c>
      <c r="G259" s="635">
        <v>1616</v>
      </c>
      <c r="H259" s="635">
        <v>1</v>
      </c>
      <c r="I259" s="635">
        <v>404</v>
      </c>
      <c r="J259" s="635"/>
      <c r="K259" s="635"/>
      <c r="L259" s="635"/>
      <c r="M259" s="635"/>
      <c r="N259" s="635"/>
      <c r="O259" s="635"/>
      <c r="P259" s="657"/>
      <c r="Q259" s="636"/>
    </row>
    <row r="260" spans="1:17" ht="14.4" customHeight="1" x14ac:dyDescent="0.3">
      <c r="A260" s="631" t="s">
        <v>3157</v>
      </c>
      <c r="B260" s="632" t="s">
        <v>3158</v>
      </c>
      <c r="C260" s="632" t="s">
        <v>2110</v>
      </c>
      <c r="D260" s="632" t="s">
        <v>3061</v>
      </c>
      <c r="E260" s="632" t="s">
        <v>3062</v>
      </c>
      <c r="F260" s="635">
        <v>5</v>
      </c>
      <c r="G260" s="635">
        <v>1910</v>
      </c>
      <c r="H260" s="635">
        <v>1</v>
      </c>
      <c r="I260" s="635">
        <v>382</v>
      </c>
      <c r="J260" s="635">
        <v>3</v>
      </c>
      <c r="K260" s="635">
        <v>1146</v>
      </c>
      <c r="L260" s="635">
        <v>0.6</v>
      </c>
      <c r="M260" s="635">
        <v>382</v>
      </c>
      <c r="N260" s="635">
        <v>10</v>
      </c>
      <c r="O260" s="635">
        <v>3820</v>
      </c>
      <c r="P260" s="657">
        <v>2</v>
      </c>
      <c r="Q260" s="636">
        <v>382</v>
      </c>
    </row>
    <row r="261" spans="1:17" ht="14.4" customHeight="1" x14ac:dyDescent="0.3">
      <c r="A261" s="631" t="s">
        <v>3157</v>
      </c>
      <c r="B261" s="632" t="s">
        <v>3158</v>
      </c>
      <c r="C261" s="632" t="s">
        <v>2110</v>
      </c>
      <c r="D261" s="632" t="s">
        <v>3167</v>
      </c>
      <c r="E261" s="632" t="s">
        <v>3168</v>
      </c>
      <c r="F261" s="635"/>
      <c r="G261" s="635"/>
      <c r="H261" s="635"/>
      <c r="I261" s="635"/>
      <c r="J261" s="635">
        <v>11</v>
      </c>
      <c r="K261" s="635">
        <v>407</v>
      </c>
      <c r="L261" s="635"/>
      <c r="M261" s="635">
        <v>37</v>
      </c>
      <c r="N261" s="635">
        <v>11</v>
      </c>
      <c r="O261" s="635">
        <v>407</v>
      </c>
      <c r="P261" s="657"/>
      <c r="Q261" s="636">
        <v>37</v>
      </c>
    </row>
    <row r="262" spans="1:17" ht="14.4" customHeight="1" x14ac:dyDescent="0.3">
      <c r="A262" s="631" t="s">
        <v>3157</v>
      </c>
      <c r="B262" s="632" t="s">
        <v>3158</v>
      </c>
      <c r="C262" s="632" t="s">
        <v>2110</v>
      </c>
      <c r="D262" s="632" t="s">
        <v>3169</v>
      </c>
      <c r="E262" s="632" t="s">
        <v>3170</v>
      </c>
      <c r="F262" s="635">
        <v>6</v>
      </c>
      <c r="G262" s="635">
        <v>2664</v>
      </c>
      <c r="H262" s="635">
        <v>1</v>
      </c>
      <c r="I262" s="635">
        <v>444</v>
      </c>
      <c r="J262" s="635"/>
      <c r="K262" s="635"/>
      <c r="L262" s="635"/>
      <c r="M262" s="635"/>
      <c r="N262" s="635">
        <v>15</v>
      </c>
      <c r="O262" s="635">
        <v>6660</v>
      </c>
      <c r="P262" s="657">
        <v>2.5</v>
      </c>
      <c r="Q262" s="636">
        <v>444</v>
      </c>
    </row>
    <row r="263" spans="1:17" ht="14.4" customHeight="1" x14ac:dyDescent="0.3">
      <c r="A263" s="631" t="s">
        <v>3157</v>
      </c>
      <c r="B263" s="632" t="s">
        <v>3158</v>
      </c>
      <c r="C263" s="632" t="s">
        <v>2110</v>
      </c>
      <c r="D263" s="632" t="s">
        <v>3171</v>
      </c>
      <c r="E263" s="632" t="s">
        <v>3172</v>
      </c>
      <c r="F263" s="635">
        <v>3</v>
      </c>
      <c r="G263" s="635">
        <v>120</v>
      </c>
      <c r="H263" s="635">
        <v>1</v>
      </c>
      <c r="I263" s="635">
        <v>40</v>
      </c>
      <c r="J263" s="635">
        <v>1</v>
      </c>
      <c r="K263" s="635">
        <v>41</v>
      </c>
      <c r="L263" s="635">
        <v>0.34166666666666667</v>
      </c>
      <c r="M263" s="635">
        <v>41</v>
      </c>
      <c r="N263" s="635">
        <v>3</v>
      </c>
      <c r="O263" s="635">
        <v>123</v>
      </c>
      <c r="P263" s="657">
        <v>1.0249999999999999</v>
      </c>
      <c r="Q263" s="636">
        <v>41</v>
      </c>
    </row>
    <row r="264" spans="1:17" ht="14.4" customHeight="1" x14ac:dyDescent="0.3">
      <c r="A264" s="631" t="s">
        <v>3157</v>
      </c>
      <c r="B264" s="632" t="s">
        <v>3158</v>
      </c>
      <c r="C264" s="632" t="s">
        <v>2110</v>
      </c>
      <c r="D264" s="632" t="s">
        <v>3173</v>
      </c>
      <c r="E264" s="632" t="s">
        <v>3174</v>
      </c>
      <c r="F264" s="635">
        <v>1</v>
      </c>
      <c r="G264" s="635">
        <v>490</v>
      </c>
      <c r="H264" s="635">
        <v>1</v>
      </c>
      <c r="I264" s="635">
        <v>490</v>
      </c>
      <c r="J264" s="635"/>
      <c r="K264" s="635"/>
      <c r="L264" s="635"/>
      <c r="M264" s="635"/>
      <c r="N264" s="635">
        <v>11</v>
      </c>
      <c r="O264" s="635">
        <v>5390</v>
      </c>
      <c r="P264" s="657">
        <v>11</v>
      </c>
      <c r="Q264" s="636">
        <v>490</v>
      </c>
    </row>
    <row r="265" spans="1:17" ht="14.4" customHeight="1" x14ac:dyDescent="0.3">
      <c r="A265" s="631" t="s">
        <v>3157</v>
      </c>
      <c r="B265" s="632" t="s">
        <v>3158</v>
      </c>
      <c r="C265" s="632" t="s">
        <v>2110</v>
      </c>
      <c r="D265" s="632" t="s">
        <v>3175</v>
      </c>
      <c r="E265" s="632" t="s">
        <v>3176</v>
      </c>
      <c r="F265" s="635">
        <v>8</v>
      </c>
      <c r="G265" s="635">
        <v>248</v>
      </c>
      <c r="H265" s="635">
        <v>1</v>
      </c>
      <c r="I265" s="635">
        <v>31</v>
      </c>
      <c r="J265" s="635">
        <v>21</v>
      </c>
      <c r="K265" s="635">
        <v>651</v>
      </c>
      <c r="L265" s="635">
        <v>2.625</v>
      </c>
      <c r="M265" s="635">
        <v>31</v>
      </c>
      <c r="N265" s="635">
        <v>9</v>
      </c>
      <c r="O265" s="635">
        <v>279</v>
      </c>
      <c r="P265" s="657">
        <v>1.125</v>
      </c>
      <c r="Q265" s="636">
        <v>31</v>
      </c>
    </row>
    <row r="266" spans="1:17" ht="14.4" customHeight="1" x14ac:dyDescent="0.3">
      <c r="A266" s="631" t="s">
        <v>3157</v>
      </c>
      <c r="B266" s="632" t="s">
        <v>3158</v>
      </c>
      <c r="C266" s="632" t="s">
        <v>2110</v>
      </c>
      <c r="D266" s="632" t="s">
        <v>3177</v>
      </c>
      <c r="E266" s="632" t="s">
        <v>3178</v>
      </c>
      <c r="F266" s="635"/>
      <c r="G266" s="635"/>
      <c r="H266" s="635"/>
      <c r="I266" s="635"/>
      <c r="J266" s="635">
        <v>1</v>
      </c>
      <c r="K266" s="635">
        <v>205</v>
      </c>
      <c r="L266" s="635"/>
      <c r="M266" s="635">
        <v>205</v>
      </c>
      <c r="N266" s="635"/>
      <c r="O266" s="635"/>
      <c r="P266" s="657"/>
      <c r="Q266" s="636"/>
    </row>
    <row r="267" spans="1:17" ht="14.4" customHeight="1" x14ac:dyDescent="0.3">
      <c r="A267" s="631" t="s">
        <v>3157</v>
      </c>
      <c r="B267" s="632" t="s">
        <v>3158</v>
      </c>
      <c r="C267" s="632" t="s">
        <v>2110</v>
      </c>
      <c r="D267" s="632" t="s">
        <v>3179</v>
      </c>
      <c r="E267" s="632" t="s">
        <v>3180</v>
      </c>
      <c r="F267" s="635"/>
      <c r="G267" s="635"/>
      <c r="H267" s="635"/>
      <c r="I267" s="635"/>
      <c r="J267" s="635">
        <v>1</v>
      </c>
      <c r="K267" s="635">
        <v>377</v>
      </c>
      <c r="L267" s="635"/>
      <c r="M267" s="635">
        <v>377</v>
      </c>
      <c r="N267" s="635"/>
      <c r="O267" s="635"/>
      <c r="P267" s="657"/>
      <c r="Q267" s="636"/>
    </row>
    <row r="268" spans="1:17" ht="14.4" customHeight="1" x14ac:dyDescent="0.3">
      <c r="A268" s="631" t="s">
        <v>3157</v>
      </c>
      <c r="B268" s="632" t="s">
        <v>3158</v>
      </c>
      <c r="C268" s="632" t="s">
        <v>2110</v>
      </c>
      <c r="D268" s="632" t="s">
        <v>3181</v>
      </c>
      <c r="E268" s="632" t="s">
        <v>3182</v>
      </c>
      <c r="F268" s="635">
        <v>292</v>
      </c>
      <c r="G268" s="635">
        <v>32704</v>
      </c>
      <c r="H268" s="635">
        <v>1</v>
      </c>
      <c r="I268" s="635">
        <v>112</v>
      </c>
      <c r="J268" s="635">
        <v>436</v>
      </c>
      <c r="K268" s="635">
        <v>49268</v>
      </c>
      <c r="L268" s="635">
        <v>1.5064823874755382</v>
      </c>
      <c r="M268" s="635">
        <v>113</v>
      </c>
      <c r="N268" s="635">
        <v>307</v>
      </c>
      <c r="O268" s="635">
        <v>34691</v>
      </c>
      <c r="P268" s="657">
        <v>1.0607570939334638</v>
      </c>
      <c r="Q268" s="636">
        <v>113</v>
      </c>
    </row>
    <row r="269" spans="1:17" ht="14.4" customHeight="1" x14ac:dyDescent="0.3">
      <c r="A269" s="631" t="s">
        <v>3157</v>
      </c>
      <c r="B269" s="632" t="s">
        <v>3158</v>
      </c>
      <c r="C269" s="632" t="s">
        <v>2110</v>
      </c>
      <c r="D269" s="632" t="s">
        <v>3183</v>
      </c>
      <c r="E269" s="632" t="s">
        <v>3184</v>
      </c>
      <c r="F269" s="635">
        <v>153</v>
      </c>
      <c r="G269" s="635">
        <v>12699</v>
      </c>
      <c r="H269" s="635">
        <v>1</v>
      </c>
      <c r="I269" s="635">
        <v>83</v>
      </c>
      <c r="J269" s="635">
        <v>233</v>
      </c>
      <c r="K269" s="635">
        <v>19572</v>
      </c>
      <c r="L269" s="635">
        <v>1.541223718403024</v>
      </c>
      <c r="M269" s="635">
        <v>84</v>
      </c>
      <c r="N269" s="635">
        <v>192</v>
      </c>
      <c r="O269" s="635">
        <v>16128</v>
      </c>
      <c r="P269" s="657">
        <v>1.2700212615166548</v>
      </c>
      <c r="Q269" s="636">
        <v>84</v>
      </c>
    </row>
    <row r="270" spans="1:17" ht="14.4" customHeight="1" x14ac:dyDescent="0.3">
      <c r="A270" s="631" t="s">
        <v>3157</v>
      </c>
      <c r="B270" s="632" t="s">
        <v>3158</v>
      </c>
      <c r="C270" s="632" t="s">
        <v>2110</v>
      </c>
      <c r="D270" s="632" t="s">
        <v>3185</v>
      </c>
      <c r="E270" s="632" t="s">
        <v>3186</v>
      </c>
      <c r="F270" s="635"/>
      <c r="G270" s="635"/>
      <c r="H270" s="635"/>
      <c r="I270" s="635"/>
      <c r="J270" s="635">
        <v>1</v>
      </c>
      <c r="K270" s="635">
        <v>96</v>
      </c>
      <c r="L270" s="635"/>
      <c r="M270" s="635">
        <v>96</v>
      </c>
      <c r="N270" s="635"/>
      <c r="O270" s="635"/>
      <c r="P270" s="657"/>
      <c r="Q270" s="636"/>
    </row>
    <row r="271" spans="1:17" ht="14.4" customHeight="1" x14ac:dyDescent="0.3">
      <c r="A271" s="631" t="s">
        <v>3157</v>
      </c>
      <c r="B271" s="632" t="s">
        <v>3158</v>
      </c>
      <c r="C271" s="632" t="s">
        <v>2110</v>
      </c>
      <c r="D271" s="632" t="s">
        <v>3187</v>
      </c>
      <c r="E271" s="632" t="s">
        <v>3188</v>
      </c>
      <c r="F271" s="635">
        <v>13</v>
      </c>
      <c r="G271" s="635">
        <v>273</v>
      </c>
      <c r="H271" s="635">
        <v>1</v>
      </c>
      <c r="I271" s="635">
        <v>21</v>
      </c>
      <c r="J271" s="635">
        <v>28</v>
      </c>
      <c r="K271" s="635">
        <v>588</v>
      </c>
      <c r="L271" s="635">
        <v>2.1538461538461537</v>
      </c>
      <c r="M271" s="635">
        <v>21</v>
      </c>
      <c r="N271" s="635">
        <v>19</v>
      </c>
      <c r="O271" s="635">
        <v>399</v>
      </c>
      <c r="P271" s="657">
        <v>1.4615384615384615</v>
      </c>
      <c r="Q271" s="636">
        <v>21</v>
      </c>
    </row>
    <row r="272" spans="1:17" ht="14.4" customHeight="1" x14ac:dyDescent="0.3">
      <c r="A272" s="631" t="s">
        <v>3157</v>
      </c>
      <c r="B272" s="632" t="s">
        <v>3158</v>
      </c>
      <c r="C272" s="632" t="s">
        <v>2110</v>
      </c>
      <c r="D272" s="632" t="s">
        <v>3189</v>
      </c>
      <c r="E272" s="632" t="s">
        <v>3190</v>
      </c>
      <c r="F272" s="635">
        <v>9</v>
      </c>
      <c r="G272" s="635">
        <v>4374</v>
      </c>
      <c r="H272" s="635">
        <v>1</v>
      </c>
      <c r="I272" s="635">
        <v>486</v>
      </c>
      <c r="J272" s="635">
        <v>40</v>
      </c>
      <c r="K272" s="635">
        <v>19440</v>
      </c>
      <c r="L272" s="635">
        <v>4.4444444444444446</v>
      </c>
      <c r="M272" s="635">
        <v>486</v>
      </c>
      <c r="N272" s="635">
        <v>25</v>
      </c>
      <c r="O272" s="635">
        <v>12150</v>
      </c>
      <c r="P272" s="657">
        <v>2.7777777777777777</v>
      </c>
      <c r="Q272" s="636">
        <v>486</v>
      </c>
    </row>
    <row r="273" spans="1:17" ht="14.4" customHeight="1" x14ac:dyDescent="0.3">
      <c r="A273" s="631" t="s">
        <v>3157</v>
      </c>
      <c r="B273" s="632" t="s">
        <v>3158</v>
      </c>
      <c r="C273" s="632" t="s">
        <v>2110</v>
      </c>
      <c r="D273" s="632" t="s">
        <v>3191</v>
      </c>
      <c r="E273" s="632" t="s">
        <v>3192</v>
      </c>
      <c r="F273" s="635">
        <v>36</v>
      </c>
      <c r="G273" s="635">
        <v>1440</v>
      </c>
      <c r="H273" s="635">
        <v>1</v>
      </c>
      <c r="I273" s="635">
        <v>40</v>
      </c>
      <c r="J273" s="635">
        <v>36</v>
      </c>
      <c r="K273" s="635">
        <v>1440</v>
      </c>
      <c r="L273" s="635">
        <v>1</v>
      </c>
      <c r="M273" s="635">
        <v>40</v>
      </c>
      <c r="N273" s="635">
        <v>45</v>
      </c>
      <c r="O273" s="635">
        <v>1800</v>
      </c>
      <c r="P273" s="657">
        <v>1.25</v>
      </c>
      <c r="Q273" s="636">
        <v>40</v>
      </c>
    </row>
    <row r="274" spans="1:17" ht="14.4" customHeight="1" x14ac:dyDescent="0.3">
      <c r="A274" s="631" t="s">
        <v>3157</v>
      </c>
      <c r="B274" s="632" t="s">
        <v>3158</v>
      </c>
      <c r="C274" s="632" t="s">
        <v>2110</v>
      </c>
      <c r="D274" s="632" t="s">
        <v>3193</v>
      </c>
      <c r="E274" s="632" t="s">
        <v>3194</v>
      </c>
      <c r="F274" s="635">
        <v>1</v>
      </c>
      <c r="G274" s="635">
        <v>603</v>
      </c>
      <c r="H274" s="635">
        <v>1</v>
      </c>
      <c r="I274" s="635">
        <v>603</v>
      </c>
      <c r="J274" s="635">
        <v>1</v>
      </c>
      <c r="K274" s="635">
        <v>604</v>
      </c>
      <c r="L274" s="635">
        <v>1.0016583747927033</v>
      </c>
      <c r="M274" s="635">
        <v>604</v>
      </c>
      <c r="N274" s="635">
        <v>9</v>
      </c>
      <c r="O274" s="635">
        <v>5436</v>
      </c>
      <c r="P274" s="657">
        <v>9.0149253731343286</v>
      </c>
      <c r="Q274" s="636">
        <v>604</v>
      </c>
    </row>
    <row r="275" spans="1:17" ht="14.4" customHeight="1" x14ac:dyDescent="0.3">
      <c r="A275" s="631" t="s">
        <v>3157</v>
      </c>
      <c r="B275" s="632" t="s">
        <v>3158</v>
      </c>
      <c r="C275" s="632" t="s">
        <v>2110</v>
      </c>
      <c r="D275" s="632" t="s">
        <v>3195</v>
      </c>
      <c r="E275" s="632" t="s">
        <v>3196</v>
      </c>
      <c r="F275" s="635"/>
      <c r="G275" s="635"/>
      <c r="H275" s="635"/>
      <c r="I275" s="635"/>
      <c r="J275" s="635">
        <v>1</v>
      </c>
      <c r="K275" s="635">
        <v>327</v>
      </c>
      <c r="L275" s="635"/>
      <c r="M275" s="635">
        <v>327</v>
      </c>
      <c r="N275" s="635"/>
      <c r="O275" s="635"/>
      <c r="P275" s="657"/>
      <c r="Q275" s="636"/>
    </row>
    <row r="276" spans="1:17" ht="14.4" customHeight="1" x14ac:dyDescent="0.3">
      <c r="A276" s="631" t="s">
        <v>3197</v>
      </c>
      <c r="B276" s="632" t="s">
        <v>2848</v>
      </c>
      <c r="C276" s="632" t="s">
        <v>2110</v>
      </c>
      <c r="D276" s="632" t="s">
        <v>3198</v>
      </c>
      <c r="E276" s="632" t="s">
        <v>3199</v>
      </c>
      <c r="F276" s="635">
        <v>1</v>
      </c>
      <c r="G276" s="635">
        <v>825</v>
      </c>
      <c r="H276" s="635">
        <v>1</v>
      </c>
      <c r="I276" s="635">
        <v>825</v>
      </c>
      <c r="J276" s="635">
        <v>2</v>
      </c>
      <c r="K276" s="635">
        <v>1652</v>
      </c>
      <c r="L276" s="635">
        <v>2.0024242424242424</v>
      </c>
      <c r="M276" s="635">
        <v>826</v>
      </c>
      <c r="N276" s="635"/>
      <c r="O276" s="635"/>
      <c r="P276" s="657"/>
      <c r="Q276" s="636"/>
    </row>
    <row r="277" spans="1:17" ht="14.4" customHeight="1" x14ac:dyDescent="0.3">
      <c r="A277" s="631" t="s">
        <v>3197</v>
      </c>
      <c r="B277" s="632" t="s">
        <v>2848</v>
      </c>
      <c r="C277" s="632" t="s">
        <v>2110</v>
      </c>
      <c r="D277" s="632" t="s">
        <v>2754</v>
      </c>
      <c r="E277" s="632" t="s">
        <v>2755</v>
      </c>
      <c r="F277" s="635">
        <v>3</v>
      </c>
      <c r="G277" s="635">
        <v>498</v>
      </c>
      <c r="H277" s="635">
        <v>1</v>
      </c>
      <c r="I277" s="635">
        <v>166</v>
      </c>
      <c r="J277" s="635">
        <v>11</v>
      </c>
      <c r="K277" s="635">
        <v>1826</v>
      </c>
      <c r="L277" s="635">
        <v>3.6666666666666665</v>
      </c>
      <c r="M277" s="635">
        <v>166</v>
      </c>
      <c r="N277" s="635">
        <v>6</v>
      </c>
      <c r="O277" s="635">
        <v>996</v>
      </c>
      <c r="P277" s="657">
        <v>2</v>
      </c>
      <c r="Q277" s="636">
        <v>166</v>
      </c>
    </row>
    <row r="278" spans="1:17" ht="14.4" customHeight="1" x14ac:dyDescent="0.3">
      <c r="A278" s="631" t="s">
        <v>3197</v>
      </c>
      <c r="B278" s="632" t="s">
        <v>2848</v>
      </c>
      <c r="C278" s="632" t="s">
        <v>2110</v>
      </c>
      <c r="D278" s="632" t="s">
        <v>3200</v>
      </c>
      <c r="E278" s="632" t="s">
        <v>3201</v>
      </c>
      <c r="F278" s="635">
        <v>3</v>
      </c>
      <c r="G278" s="635">
        <v>516</v>
      </c>
      <c r="H278" s="635">
        <v>1</v>
      </c>
      <c r="I278" s="635">
        <v>172</v>
      </c>
      <c r="J278" s="635">
        <v>14</v>
      </c>
      <c r="K278" s="635">
        <v>2408</v>
      </c>
      <c r="L278" s="635">
        <v>4.666666666666667</v>
      </c>
      <c r="M278" s="635">
        <v>172</v>
      </c>
      <c r="N278" s="635">
        <v>6</v>
      </c>
      <c r="O278" s="635">
        <v>1032</v>
      </c>
      <c r="P278" s="657">
        <v>2</v>
      </c>
      <c r="Q278" s="636">
        <v>172</v>
      </c>
    </row>
    <row r="279" spans="1:17" ht="14.4" customHeight="1" x14ac:dyDescent="0.3">
      <c r="A279" s="631" t="s">
        <v>3197</v>
      </c>
      <c r="B279" s="632" t="s">
        <v>2848</v>
      </c>
      <c r="C279" s="632" t="s">
        <v>2110</v>
      </c>
      <c r="D279" s="632" t="s">
        <v>3202</v>
      </c>
      <c r="E279" s="632" t="s">
        <v>3203</v>
      </c>
      <c r="F279" s="635">
        <v>9</v>
      </c>
      <c r="G279" s="635">
        <v>3123</v>
      </c>
      <c r="H279" s="635">
        <v>1</v>
      </c>
      <c r="I279" s="635">
        <v>347</v>
      </c>
      <c r="J279" s="635">
        <v>44</v>
      </c>
      <c r="K279" s="635">
        <v>15312</v>
      </c>
      <c r="L279" s="635">
        <v>4.9029779058597498</v>
      </c>
      <c r="M279" s="635">
        <v>348</v>
      </c>
      <c r="N279" s="635">
        <v>18</v>
      </c>
      <c r="O279" s="635">
        <v>6264</v>
      </c>
      <c r="P279" s="657">
        <v>2.005763688760807</v>
      </c>
      <c r="Q279" s="636">
        <v>348</v>
      </c>
    </row>
    <row r="280" spans="1:17" ht="14.4" customHeight="1" x14ac:dyDescent="0.3">
      <c r="A280" s="631" t="s">
        <v>3197</v>
      </c>
      <c r="B280" s="632" t="s">
        <v>2848</v>
      </c>
      <c r="C280" s="632" t="s">
        <v>2110</v>
      </c>
      <c r="D280" s="632" t="s">
        <v>2778</v>
      </c>
      <c r="E280" s="632" t="s">
        <v>2779</v>
      </c>
      <c r="F280" s="635"/>
      <c r="G280" s="635"/>
      <c r="H280" s="635"/>
      <c r="I280" s="635"/>
      <c r="J280" s="635"/>
      <c r="K280" s="635"/>
      <c r="L280" s="635"/>
      <c r="M280" s="635"/>
      <c r="N280" s="635">
        <v>1</v>
      </c>
      <c r="O280" s="635">
        <v>147</v>
      </c>
      <c r="P280" s="657"/>
      <c r="Q280" s="636">
        <v>147</v>
      </c>
    </row>
    <row r="281" spans="1:17" ht="14.4" customHeight="1" x14ac:dyDescent="0.3">
      <c r="A281" s="631" t="s">
        <v>3197</v>
      </c>
      <c r="B281" s="632" t="s">
        <v>2848</v>
      </c>
      <c r="C281" s="632" t="s">
        <v>2110</v>
      </c>
      <c r="D281" s="632" t="s">
        <v>3204</v>
      </c>
      <c r="E281" s="632" t="s">
        <v>3205</v>
      </c>
      <c r="F281" s="635">
        <v>3</v>
      </c>
      <c r="G281" s="635">
        <v>114</v>
      </c>
      <c r="H281" s="635">
        <v>1</v>
      </c>
      <c r="I281" s="635">
        <v>38</v>
      </c>
      <c r="J281" s="635">
        <v>14</v>
      </c>
      <c r="K281" s="635">
        <v>532</v>
      </c>
      <c r="L281" s="635">
        <v>4.666666666666667</v>
      </c>
      <c r="M281" s="635">
        <v>38</v>
      </c>
      <c r="N281" s="635">
        <v>5</v>
      </c>
      <c r="O281" s="635">
        <v>190</v>
      </c>
      <c r="P281" s="657">
        <v>1.6666666666666667</v>
      </c>
      <c r="Q281" s="636">
        <v>38</v>
      </c>
    </row>
    <row r="282" spans="1:17" ht="14.4" customHeight="1" x14ac:dyDescent="0.3">
      <c r="A282" s="631" t="s">
        <v>3197</v>
      </c>
      <c r="B282" s="632" t="s">
        <v>2848</v>
      </c>
      <c r="C282" s="632" t="s">
        <v>2110</v>
      </c>
      <c r="D282" s="632" t="s">
        <v>2808</v>
      </c>
      <c r="E282" s="632" t="s">
        <v>2809</v>
      </c>
      <c r="F282" s="635">
        <v>3</v>
      </c>
      <c r="G282" s="635">
        <v>507</v>
      </c>
      <c r="H282" s="635">
        <v>1</v>
      </c>
      <c r="I282" s="635">
        <v>169</v>
      </c>
      <c r="J282" s="635">
        <v>11</v>
      </c>
      <c r="K282" s="635">
        <v>1859</v>
      </c>
      <c r="L282" s="635">
        <v>3.6666666666666665</v>
      </c>
      <c r="M282" s="635">
        <v>169</v>
      </c>
      <c r="N282" s="635">
        <v>6</v>
      </c>
      <c r="O282" s="635">
        <v>1014</v>
      </c>
      <c r="P282" s="657">
        <v>2</v>
      </c>
      <c r="Q282" s="636">
        <v>169</v>
      </c>
    </row>
    <row r="283" spans="1:17" ht="14.4" customHeight="1" x14ac:dyDescent="0.3">
      <c r="A283" s="631" t="s">
        <v>3197</v>
      </c>
      <c r="B283" s="632" t="s">
        <v>2848</v>
      </c>
      <c r="C283" s="632" t="s">
        <v>2110</v>
      </c>
      <c r="D283" s="632" t="s">
        <v>3206</v>
      </c>
      <c r="E283" s="632" t="s">
        <v>3207</v>
      </c>
      <c r="F283" s="635"/>
      <c r="G283" s="635"/>
      <c r="H283" s="635"/>
      <c r="I283" s="635"/>
      <c r="J283" s="635">
        <v>2</v>
      </c>
      <c r="K283" s="635">
        <v>694</v>
      </c>
      <c r="L283" s="635"/>
      <c r="M283" s="635">
        <v>347</v>
      </c>
      <c r="N283" s="635"/>
      <c r="O283" s="635"/>
      <c r="P283" s="657"/>
      <c r="Q283" s="636"/>
    </row>
    <row r="284" spans="1:17" ht="14.4" customHeight="1" x14ac:dyDescent="0.3">
      <c r="A284" s="631" t="s">
        <v>3197</v>
      </c>
      <c r="B284" s="632" t="s">
        <v>2848</v>
      </c>
      <c r="C284" s="632" t="s">
        <v>2110</v>
      </c>
      <c r="D284" s="632" t="s">
        <v>2820</v>
      </c>
      <c r="E284" s="632" t="s">
        <v>2821</v>
      </c>
      <c r="F284" s="635">
        <v>3</v>
      </c>
      <c r="G284" s="635">
        <v>516</v>
      </c>
      <c r="H284" s="635">
        <v>1</v>
      </c>
      <c r="I284" s="635">
        <v>172</v>
      </c>
      <c r="J284" s="635">
        <v>11</v>
      </c>
      <c r="K284" s="635">
        <v>1892</v>
      </c>
      <c r="L284" s="635">
        <v>3.6666666666666665</v>
      </c>
      <c r="M284" s="635">
        <v>172</v>
      </c>
      <c r="N284" s="635">
        <v>6</v>
      </c>
      <c r="O284" s="635">
        <v>1032</v>
      </c>
      <c r="P284" s="657">
        <v>2</v>
      </c>
      <c r="Q284" s="636">
        <v>172</v>
      </c>
    </row>
    <row r="285" spans="1:17" ht="14.4" customHeight="1" x14ac:dyDescent="0.3">
      <c r="A285" s="631" t="s">
        <v>3197</v>
      </c>
      <c r="B285" s="632" t="s">
        <v>2848</v>
      </c>
      <c r="C285" s="632" t="s">
        <v>2110</v>
      </c>
      <c r="D285" s="632" t="s">
        <v>3208</v>
      </c>
      <c r="E285" s="632" t="s">
        <v>3209</v>
      </c>
      <c r="F285" s="635">
        <v>3</v>
      </c>
      <c r="G285" s="635">
        <v>498</v>
      </c>
      <c r="H285" s="635">
        <v>1</v>
      </c>
      <c r="I285" s="635">
        <v>166</v>
      </c>
      <c r="J285" s="635">
        <v>14</v>
      </c>
      <c r="K285" s="635">
        <v>2324</v>
      </c>
      <c r="L285" s="635">
        <v>4.666666666666667</v>
      </c>
      <c r="M285" s="635">
        <v>166</v>
      </c>
      <c r="N285" s="635">
        <v>6</v>
      </c>
      <c r="O285" s="635">
        <v>996</v>
      </c>
      <c r="P285" s="657">
        <v>2</v>
      </c>
      <c r="Q285" s="636">
        <v>166</v>
      </c>
    </row>
    <row r="286" spans="1:17" ht="14.4" customHeight="1" x14ac:dyDescent="0.3">
      <c r="A286" s="631" t="s">
        <v>3210</v>
      </c>
      <c r="B286" s="632" t="s">
        <v>3211</v>
      </c>
      <c r="C286" s="632" t="s">
        <v>2110</v>
      </c>
      <c r="D286" s="632" t="s">
        <v>3212</v>
      </c>
      <c r="E286" s="632" t="s">
        <v>3213</v>
      </c>
      <c r="F286" s="635"/>
      <c r="G286" s="635"/>
      <c r="H286" s="635"/>
      <c r="I286" s="635"/>
      <c r="J286" s="635">
        <v>2</v>
      </c>
      <c r="K286" s="635">
        <v>994</v>
      </c>
      <c r="L286" s="635"/>
      <c r="M286" s="635">
        <v>497</v>
      </c>
      <c r="N286" s="635">
        <v>6</v>
      </c>
      <c r="O286" s="635">
        <v>2982</v>
      </c>
      <c r="P286" s="657"/>
      <c r="Q286" s="636">
        <v>497</v>
      </c>
    </row>
    <row r="287" spans="1:17" ht="14.4" customHeight="1" x14ac:dyDescent="0.3">
      <c r="A287" s="631" t="s">
        <v>3210</v>
      </c>
      <c r="B287" s="632" t="s">
        <v>3211</v>
      </c>
      <c r="C287" s="632" t="s">
        <v>2110</v>
      </c>
      <c r="D287" s="632" t="s">
        <v>3214</v>
      </c>
      <c r="E287" s="632" t="s">
        <v>3215</v>
      </c>
      <c r="F287" s="635"/>
      <c r="G287" s="635"/>
      <c r="H287" s="635"/>
      <c r="I287" s="635"/>
      <c r="J287" s="635">
        <v>1</v>
      </c>
      <c r="K287" s="635">
        <v>6257</v>
      </c>
      <c r="L287" s="635"/>
      <c r="M287" s="635">
        <v>6257</v>
      </c>
      <c r="N287" s="635">
        <v>5</v>
      </c>
      <c r="O287" s="635">
        <v>31285</v>
      </c>
      <c r="P287" s="657"/>
      <c r="Q287" s="636">
        <v>6257</v>
      </c>
    </row>
    <row r="288" spans="1:17" ht="14.4" customHeight="1" x14ac:dyDescent="0.3">
      <c r="A288" s="631" t="s">
        <v>3210</v>
      </c>
      <c r="B288" s="632" t="s">
        <v>3211</v>
      </c>
      <c r="C288" s="632" t="s">
        <v>2110</v>
      </c>
      <c r="D288" s="632" t="s">
        <v>2851</v>
      </c>
      <c r="E288" s="632" t="s">
        <v>2852</v>
      </c>
      <c r="F288" s="635">
        <v>10</v>
      </c>
      <c r="G288" s="635">
        <v>12360</v>
      </c>
      <c r="H288" s="635">
        <v>1</v>
      </c>
      <c r="I288" s="635">
        <v>1236</v>
      </c>
      <c r="J288" s="635">
        <v>2</v>
      </c>
      <c r="K288" s="635">
        <v>2490</v>
      </c>
      <c r="L288" s="635">
        <v>0.20145631067961164</v>
      </c>
      <c r="M288" s="635">
        <v>1245</v>
      </c>
      <c r="N288" s="635">
        <v>6</v>
      </c>
      <c r="O288" s="635">
        <v>7470</v>
      </c>
      <c r="P288" s="657">
        <v>0.60436893203883491</v>
      </c>
      <c r="Q288" s="636">
        <v>1245</v>
      </c>
    </row>
    <row r="289" spans="1:17" ht="14.4" customHeight="1" x14ac:dyDescent="0.3">
      <c r="A289" s="631" t="s">
        <v>3210</v>
      </c>
      <c r="B289" s="632" t="s">
        <v>3211</v>
      </c>
      <c r="C289" s="632" t="s">
        <v>2110</v>
      </c>
      <c r="D289" s="632" t="s">
        <v>3139</v>
      </c>
      <c r="E289" s="632" t="s">
        <v>3140</v>
      </c>
      <c r="F289" s="635"/>
      <c r="G289" s="635"/>
      <c r="H289" s="635"/>
      <c r="I289" s="635"/>
      <c r="J289" s="635">
        <v>2</v>
      </c>
      <c r="K289" s="635">
        <v>328</v>
      </c>
      <c r="L289" s="635"/>
      <c r="M289" s="635">
        <v>164</v>
      </c>
      <c r="N289" s="635">
        <v>5</v>
      </c>
      <c r="O289" s="635">
        <v>820</v>
      </c>
      <c r="P289" s="657"/>
      <c r="Q289" s="636">
        <v>164</v>
      </c>
    </row>
    <row r="290" spans="1:17" ht="14.4" customHeight="1" x14ac:dyDescent="0.3">
      <c r="A290" s="631" t="s">
        <v>3210</v>
      </c>
      <c r="B290" s="632" t="s">
        <v>3211</v>
      </c>
      <c r="C290" s="632" t="s">
        <v>2110</v>
      </c>
      <c r="D290" s="632" t="s">
        <v>2828</v>
      </c>
      <c r="E290" s="632" t="s">
        <v>2829</v>
      </c>
      <c r="F290" s="635">
        <v>24</v>
      </c>
      <c r="G290" s="635">
        <v>13488</v>
      </c>
      <c r="H290" s="635">
        <v>1</v>
      </c>
      <c r="I290" s="635">
        <v>562</v>
      </c>
      <c r="J290" s="635"/>
      <c r="K290" s="635"/>
      <c r="L290" s="635"/>
      <c r="M290" s="635"/>
      <c r="N290" s="635"/>
      <c r="O290" s="635"/>
      <c r="P290" s="657"/>
      <c r="Q290" s="636"/>
    </row>
    <row r="291" spans="1:17" ht="14.4" customHeight="1" x14ac:dyDescent="0.3">
      <c r="A291" s="631" t="s">
        <v>3210</v>
      </c>
      <c r="B291" s="632" t="s">
        <v>3211</v>
      </c>
      <c r="C291" s="632" t="s">
        <v>2110</v>
      </c>
      <c r="D291" s="632" t="s">
        <v>2830</v>
      </c>
      <c r="E291" s="632" t="s">
        <v>2831</v>
      </c>
      <c r="F291" s="635">
        <v>24</v>
      </c>
      <c r="G291" s="635">
        <v>24000</v>
      </c>
      <c r="H291" s="635">
        <v>1</v>
      </c>
      <c r="I291" s="635">
        <v>1000</v>
      </c>
      <c r="J291" s="635"/>
      <c r="K291" s="635"/>
      <c r="L291" s="635"/>
      <c r="M291" s="635"/>
      <c r="N291" s="635"/>
      <c r="O291" s="635"/>
      <c r="P291" s="657"/>
      <c r="Q291" s="636"/>
    </row>
    <row r="292" spans="1:17" ht="14.4" customHeight="1" x14ac:dyDescent="0.3">
      <c r="A292" s="631" t="s">
        <v>3210</v>
      </c>
      <c r="B292" s="632" t="s">
        <v>3211</v>
      </c>
      <c r="C292" s="632" t="s">
        <v>2110</v>
      </c>
      <c r="D292" s="632" t="s">
        <v>3143</v>
      </c>
      <c r="E292" s="632" t="s">
        <v>3144</v>
      </c>
      <c r="F292" s="635"/>
      <c r="G292" s="635"/>
      <c r="H292" s="635"/>
      <c r="I292" s="635"/>
      <c r="J292" s="635"/>
      <c r="K292" s="635"/>
      <c r="L292" s="635"/>
      <c r="M292" s="635"/>
      <c r="N292" s="635">
        <v>1</v>
      </c>
      <c r="O292" s="635">
        <v>167</v>
      </c>
      <c r="P292" s="657"/>
      <c r="Q292" s="636">
        <v>167</v>
      </c>
    </row>
    <row r="293" spans="1:17" ht="14.4" customHeight="1" thickBot="1" x14ac:dyDescent="0.35">
      <c r="A293" s="637" t="s">
        <v>3210</v>
      </c>
      <c r="B293" s="638" t="s">
        <v>3211</v>
      </c>
      <c r="C293" s="638" t="s">
        <v>2110</v>
      </c>
      <c r="D293" s="638" t="s">
        <v>3216</v>
      </c>
      <c r="E293" s="638" t="s">
        <v>3217</v>
      </c>
      <c r="F293" s="641">
        <v>10</v>
      </c>
      <c r="G293" s="641">
        <v>3650</v>
      </c>
      <c r="H293" s="641">
        <v>1</v>
      </c>
      <c r="I293" s="641">
        <v>365</v>
      </c>
      <c r="J293" s="641"/>
      <c r="K293" s="641"/>
      <c r="L293" s="641"/>
      <c r="M293" s="641"/>
      <c r="N293" s="641"/>
      <c r="O293" s="641"/>
      <c r="P293" s="649"/>
      <c r="Q293" s="642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2" customWidth="1"/>
    <col min="6" max="6" width="6.109375" style="203" customWidth="1"/>
    <col min="7" max="9" width="8.33203125" style="204" customWidth="1"/>
    <col min="10" max="10" width="6.109375" style="203" customWidth="1"/>
    <col min="11" max="13" width="8.33203125" style="204" customWidth="1"/>
    <col min="14" max="14" width="8.33203125" style="202" customWidth="1"/>
    <col min="15" max="16384" width="8.88671875" style="192"/>
  </cols>
  <sheetData>
    <row r="1" spans="1:14" ht="18.600000000000001" customHeight="1" thickBot="1" x14ac:dyDescent="0.4">
      <c r="A1" s="577" t="s">
        <v>182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</row>
    <row r="2" spans="1:14" ht="14.4" customHeight="1" thickBot="1" x14ac:dyDescent="0.35">
      <c r="A2" s="386" t="s">
        <v>321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</row>
    <row r="3" spans="1:14" ht="14.4" customHeight="1" thickBot="1" x14ac:dyDescent="0.35">
      <c r="A3" s="194"/>
      <c r="B3" s="195" t="s">
        <v>160</v>
      </c>
      <c r="C3" s="196">
        <f>SUBTOTAL(9,C6:C1048576)</f>
        <v>742</v>
      </c>
      <c r="D3" s="197">
        <f>SUBTOTAL(9,D6:D1048576)</f>
        <v>839</v>
      </c>
      <c r="E3" s="197">
        <f>SUBTOTAL(9,E6:E1048576)</f>
        <v>779</v>
      </c>
      <c r="F3" s="198">
        <f>IF(OR(E3=0,C3=0),"",E3/C3)</f>
        <v>1.0498652291105122</v>
      </c>
      <c r="G3" s="199">
        <f>SUBTOTAL(9,G6:G1048576)</f>
        <v>8750959</v>
      </c>
      <c r="H3" s="200">
        <f>SUBTOTAL(9,H6:H1048576)</f>
        <v>9157941</v>
      </c>
      <c r="I3" s="200">
        <f>SUBTOTAL(9,I6:I1048576)</f>
        <v>8772886</v>
      </c>
      <c r="J3" s="198">
        <f>IF(OR(I3=0,G3=0),"",I3/G3)</f>
        <v>1.0025056682359041</v>
      </c>
      <c r="K3" s="199">
        <f>SUBTOTAL(9,K6:K1048576)</f>
        <v>1968500</v>
      </c>
      <c r="L3" s="200">
        <f>SUBTOTAL(9,L6:L1048576)</f>
        <v>1905000</v>
      </c>
      <c r="M3" s="200">
        <f>SUBTOTAL(9,M6:M1048576)</f>
        <v>1877000</v>
      </c>
      <c r="N3" s="201">
        <f>IF(OR(M3=0,E3=0),"",M3/E3)</f>
        <v>2409.4993581514764</v>
      </c>
    </row>
    <row r="4" spans="1:14" ht="14.4" customHeight="1" x14ac:dyDescent="0.3">
      <c r="A4" s="579" t="s">
        <v>90</v>
      </c>
      <c r="B4" s="580" t="s">
        <v>11</v>
      </c>
      <c r="C4" s="581" t="s">
        <v>91</v>
      </c>
      <c r="D4" s="581"/>
      <c r="E4" s="581"/>
      <c r="F4" s="582"/>
      <c r="G4" s="583" t="s">
        <v>14</v>
      </c>
      <c r="H4" s="581"/>
      <c r="I4" s="581"/>
      <c r="J4" s="582"/>
      <c r="K4" s="583" t="s">
        <v>92</v>
      </c>
      <c r="L4" s="581"/>
      <c r="M4" s="581"/>
      <c r="N4" s="584"/>
    </row>
    <row r="5" spans="1:14" ht="14.4" customHeight="1" thickBot="1" x14ac:dyDescent="0.35">
      <c r="A5" s="860"/>
      <c r="B5" s="861"/>
      <c r="C5" s="868">
        <v>2012</v>
      </c>
      <c r="D5" s="868">
        <v>2013</v>
      </c>
      <c r="E5" s="868">
        <v>2014</v>
      </c>
      <c r="F5" s="869" t="s">
        <v>2</v>
      </c>
      <c r="G5" s="879">
        <v>2012</v>
      </c>
      <c r="H5" s="868">
        <v>2013</v>
      </c>
      <c r="I5" s="868">
        <v>2014</v>
      </c>
      <c r="J5" s="869" t="s">
        <v>2</v>
      </c>
      <c r="K5" s="879">
        <v>2012</v>
      </c>
      <c r="L5" s="868">
        <v>2013</v>
      </c>
      <c r="M5" s="868">
        <v>2014</v>
      </c>
      <c r="N5" s="886" t="s">
        <v>93</v>
      </c>
    </row>
    <row r="6" spans="1:14" ht="14.4" customHeight="1" x14ac:dyDescent="0.3">
      <c r="A6" s="862" t="s">
        <v>2445</v>
      </c>
      <c r="B6" s="865" t="s">
        <v>3219</v>
      </c>
      <c r="C6" s="870">
        <v>3</v>
      </c>
      <c r="D6" s="871">
        <v>3</v>
      </c>
      <c r="E6" s="871">
        <v>1</v>
      </c>
      <c r="F6" s="876">
        <v>0.33333333333333331</v>
      </c>
      <c r="G6" s="880">
        <v>86281</v>
      </c>
      <c r="H6" s="881">
        <v>86308</v>
      </c>
      <c r="I6" s="881">
        <v>28769</v>
      </c>
      <c r="J6" s="876">
        <v>0.33343378032243481</v>
      </c>
      <c r="K6" s="880">
        <v>33000</v>
      </c>
      <c r="L6" s="881">
        <v>33000</v>
      </c>
      <c r="M6" s="881">
        <v>11000</v>
      </c>
      <c r="N6" s="887">
        <v>11000</v>
      </c>
    </row>
    <row r="7" spans="1:14" ht="14.4" customHeight="1" x14ac:dyDescent="0.3">
      <c r="A7" s="863" t="s">
        <v>2475</v>
      </c>
      <c r="B7" s="866" t="s">
        <v>3219</v>
      </c>
      <c r="C7" s="872">
        <v>31</v>
      </c>
      <c r="D7" s="873">
        <v>21</v>
      </c>
      <c r="E7" s="873">
        <v>23</v>
      </c>
      <c r="F7" s="877">
        <v>0.74193548387096775</v>
      </c>
      <c r="G7" s="882">
        <v>779972</v>
      </c>
      <c r="H7" s="883">
        <v>528557</v>
      </c>
      <c r="I7" s="883">
        <v>578896</v>
      </c>
      <c r="J7" s="877">
        <v>0.74220100208725437</v>
      </c>
      <c r="K7" s="882">
        <v>279000</v>
      </c>
      <c r="L7" s="883">
        <v>189000</v>
      </c>
      <c r="M7" s="883">
        <v>207000</v>
      </c>
      <c r="N7" s="888">
        <v>9000</v>
      </c>
    </row>
    <row r="8" spans="1:14" ht="14.4" customHeight="1" x14ac:dyDescent="0.3">
      <c r="A8" s="863" t="s">
        <v>2470</v>
      </c>
      <c r="B8" s="866" t="s">
        <v>3219</v>
      </c>
      <c r="C8" s="872">
        <v>66</v>
      </c>
      <c r="D8" s="873">
        <v>35</v>
      </c>
      <c r="E8" s="873">
        <v>50</v>
      </c>
      <c r="F8" s="877">
        <v>0.75757575757575757</v>
      </c>
      <c r="G8" s="882">
        <v>1422986</v>
      </c>
      <c r="H8" s="883">
        <v>754923</v>
      </c>
      <c r="I8" s="883">
        <v>1078470</v>
      </c>
      <c r="J8" s="877">
        <v>0.757892206950736</v>
      </c>
      <c r="K8" s="882">
        <v>462000</v>
      </c>
      <c r="L8" s="883">
        <v>245000</v>
      </c>
      <c r="M8" s="883">
        <v>350000</v>
      </c>
      <c r="N8" s="888">
        <v>7000</v>
      </c>
    </row>
    <row r="9" spans="1:14" ht="14.4" customHeight="1" x14ac:dyDescent="0.3">
      <c r="A9" s="863" t="s">
        <v>2447</v>
      </c>
      <c r="B9" s="866" t="s">
        <v>3219</v>
      </c>
      <c r="C9" s="872">
        <v>558</v>
      </c>
      <c r="D9" s="873">
        <v>662</v>
      </c>
      <c r="E9" s="873">
        <v>609</v>
      </c>
      <c r="F9" s="877">
        <v>1.0913978494623655</v>
      </c>
      <c r="G9" s="882">
        <v>5969651</v>
      </c>
      <c r="H9" s="883">
        <v>7087869</v>
      </c>
      <c r="I9" s="883">
        <v>6520745</v>
      </c>
      <c r="J9" s="877">
        <v>1.0923159494583519</v>
      </c>
      <c r="K9" s="882">
        <v>1116000</v>
      </c>
      <c r="L9" s="883">
        <v>1324000</v>
      </c>
      <c r="M9" s="883">
        <v>1218000</v>
      </c>
      <c r="N9" s="888">
        <v>2000</v>
      </c>
    </row>
    <row r="10" spans="1:14" ht="14.4" customHeight="1" x14ac:dyDescent="0.3">
      <c r="A10" s="863" t="s">
        <v>2472</v>
      </c>
      <c r="B10" s="866" t="s">
        <v>3219</v>
      </c>
      <c r="C10" s="872">
        <v>73</v>
      </c>
      <c r="D10" s="873">
        <v>110</v>
      </c>
      <c r="E10" s="873">
        <v>86</v>
      </c>
      <c r="F10" s="877">
        <v>1.178082191780822</v>
      </c>
      <c r="G10" s="882">
        <v>437956</v>
      </c>
      <c r="H10" s="883">
        <v>660859</v>
      </c>
      <c r="I10" s="883">
        <v>516722</v>
      </c>
      <c r="J10" s="877">
        <v>1.1798491172629213</v>
      </c>
      <c r="K10" s="882">
        <v>73000</v>
      </c>
      <c r="L10" s="883">
        <v>110000</v>
      </c>
      <c r="M10" s="883">
        <v>86000</v>
      </c>
      <c r="N10" s="888">
        <v>1000</v>
      </c>
    </row>
    <row r="11" spans="1:14" ht="14.4" customHeight="1" thickBot="1" x14ac:dyDescent="0.35">
      <c r="A11" s="864" t="s">
        <v>2466</v>
      </c>
      <c r="B11" s="867" t="s">
        <v>3219</v>
      </c>
      <c r="C11" s="874">
        <v>11</v>
      </c>
      <c r="D11" s="875">
        <v>8</v>
      </c>
      <c r="E11" s="875">
        <v>10</v>
      </c>
      <c r="F11" s="878">
        <v>0.90909090909090906</v>
      </c>
      <c r="G11" s="884">
        <v>54113</v>
      </c>
      <c r="H11" s="885">
        <v>39425</v>
      </c>
      <c r="I11" s="885">
        <v>49284</v>
      </c>
      <c r="J11" s="878">
        <v>0.91076081533088171</v>
      </c>
      <c r="K11" s="884">
        <v>5500</v>
      </c>
      <c r="L11" s="885">
        <v>4000</v>
      </c>
      <c r="M11" s="885">
        <v>5000</v>
      </c>
      <c r="N11" s="889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7" bestFit="1" customWidth="1"/>
    <col min="2" max="3" width="9.5546875" style="257" customWidth="1"/>
    <col min="4" max="4" width="2.21875" style="257" customWidth="1"/>
    <col min="5" max="8" width="9.5546875" style="257" customWidth="1"/>
    <col min="9" max="16384" width="8.88671875" style="257"/>
  </cols>
  <sheetData>
    <row r="1" spans="1:8" ht="18.600000000000001" customHeight="1" thickBot="1" x14ac:dyDescent="0.4">
      <c r="A1" s="458" t="s">
        <v>176</v>
      </c>
      <c r="B1" s="458"/>
      <c r="C1" s="458"/>
      <c r="D1" s="458"/>
      <c r="E1" s="458"/>
      <c r="F1" s="458"/>
      <c r="G1" s="459"/>
      <c r="H1" s="459"/>
    </row>
    <row r="2" spans="1:8" ht="14.4" customHeight="1" thickBot="1" x14ac:dyDescent="0.35">
      <c r="A2" s="386" t="s">
        <v>321</v>
      </c>
      <c r="B2" s="227"/>
      <c r="C2" s="227"/>
      <c r="D2" s="227"/>
      <c r="E2" s="227"/>
      <c r="F2" s="227"/>
    </row>
    <row r="3" spans="1:8" ht="14.4" customHeight="1" x14ac:dyDescent="0.3">
      <c r="A3" s="460"/>
      <c r="B3" s="223">
        <v>2012</v>
      </c>
      <c r="C3" s="44">
        <v>2013</v>
      </c>
      <c r="D3" s="11"/>
      <c r="E3" s="464">
        <v>2014</v>
      </c>
      <c r="F3" s="465"/>
      <c r="G3" s="465"/>
      <c r="H3" s="466"/>
    </row>
    <row r="4" spans="1:8" ht="14.4" customHeight="1" thickBot="1" x14ac:dyDescent="0.35">
      <c r="A4" s="461"/>
      <c r="B4" s="462" t="s">
        <v>94</v>
      </c>
      <c r="C4" s="463"/>
      <c r="D4" s="11"/>
      <c r="E4" s="244" t="s">
        <v>94</v>
      </c>
      <c r="F4" s="225" t="s">
        <v>95</v>
      </c>
      <c r="G4" s="225" t="s">
        <v>69</v>
      </c>
      <c r="H4" s="226" t="s">
        <v>96</v>
      </c>
    </row>
    <row r="5" spans="1:8" ht="14.4" customHeight="1" x14ac:dyDescent="0.3">
      <c r="A5" s="228" t="str">
        <f>HYPERLINK("#'Léky Žádanky'!A1","Léky (Kč)")</f>
        <v>Léky (Kč)</v>
      </c>
      <c r="B5" s="31">
        <v>1608.2007100000001</v>
      </c>
      <c r="C5" s="33">
        <v>1998.9544799999999</v>
      </c>
      <c r="D5" s="12"/>
      <c r="E5" s="233">
        <v>1776.5508400000022</v>
      </c>
      <c r="F5" s="32">
        <v>1763.75</v>
      </c>
      <c r="G5" s="232">
        <f>E5-F5</f>
        <v>12.800840000002154</v>
      </c>
      <c r="H5" s="238">
        <f>IF(F5&lt;0.00000001,"",E5/F5)</f>
        <v>1.007257740609498</v>
      </c>
    </row>
    <row r="6" spans="1:8" ht="14.4" customHeight="1" x14ac:dyDescent="0.3">
      <c r="A6" s="228" t="str">
        <f>HYPERLINK("#'Materiál Žádanky'!A1","Materiál - SZM (Kč)")</f>
        <v>Materiál - SZM (Kč)</v>
      </c>
      <c r="B6" s="14">
        <v>773.13603000000001</v>
      </c>
      <c r="C6" s="35">
        <v>810.85608999999999</v>
      </c>
      <c r="D6" s="12"/>
      <c r="E6" s="234">
        <v>652.03500000000099</v>
      </c>
      <c r="F6" s="34">
        <v>886</v>
      </c>
      <c r="G6" s="235">
        <f>E6-F6</f>
        <v>-233.96499999999901</v>
      </c>
      <c r="H6" s="239">
        <f>IF(F6&lt;0.00000001,"",E6/F6)</f>
        <v>0.73593115124153607</v>
      </c>
    </row>
    <row r="7" spans="1:8" ht="14.4" customHeight="1" x14ac:dyDescent="0.3">
      <c r="A7" s="228" t="str">
        <f>HYPERLINK("#'Osobní náklady'!A1","Osobní náklady (Kč) *")</f>
        <v>Osobní náklady (Kč) *</v>
      </c>
      <c r="B7" s="14">
        <v>6792.3602999999994</v>
      </c>
      <c r="C7" s="35">
        <v>7175.4292299999997</v>
      </c>
      <c r="D7" s="12"/>
      <c r="E7" s="234">
        <v>7702.9580600000099</v>
      </c>
      <c r="F7" s="34">
        <v>7612</v>
      </c>
      <c r="G7" s="235">
        <f>E7-F7</f>
        <v>90.958060000009937</v>
      </c>
      <c r="H7" s="239">
        <f>IF(F7&lt;0.00000001,"",E7/F7)</f>
        <v>1.0119492984760916</v>
      </c>
    </row>
    <row r="8" spans="1:8" ht="14.4" customHeight="1" thickBot="1" x14ac:dyDescent="0.35">
      <c r="A8" s="1" t="s">
        <v>97</v>
      </c>
      <c r="B8" s="15">
        <v>2222.0060800000006</v>
      </c>
      <c r="C8" s="37">
        <v>2153.9865499999996</v>
      </c>
      <c r="D8" s="12"/>
      <c r="E8" s="236">
        <v>1925.5174100000061</v>
      </c>
      <c r="F8" s="36">
        <v>1834.5</v>
      </c>
      <c r="G8" s="237">
        <f>E8-F8</f>
        <v>91.017410000006066</v>
      </c>
      <c r="H8" s="240">
        <f>IF(F8&lt;0.00000001,"",E8/F8)</f>
        <v>1.0496142872717396</v>
      </c>
    </row>
    <row r="9" spans="1:8" ht="14.4" customHeight="1" thickBot="1" x14ac:dyDescent="0.35">
      <c r="A9" s="2" t="s">
        <v>98</v>
      </c>
      <c r="B9" s="3">
        <v>11395.70312</v>
      </c>
      <c r="C9" s="39">
        <v>12139.226349999999</v>
      </c>
      <c r="D9" s="12"/>
      <c r="E9" s="3">
        <v>12057.061310000019</v>
      </c>
      <c r="F9" s="38">
        <v>12096.25</v>
      </c>
      <c r="G9" s="38">
        <f>E9-F9</f>
        <v>-39.188689999980852</v>
      </c>
      <c r="H9" s="241">
        <f>IF(F9&lt;0.00000001,"",E9/F9)</f>
        <v>0.99676026123798855</v>
      </c>
    </row>
    <row r="10" spans="1:8" ht="14.4" customHeight="1" thickBot="1" x14ac:dyDescent="0.35">
      <c r="A10" s="16"/>
      <c r="B10" s="16"/>
      <c r="C10" s="224"/>
      <c r="D10" s="12"/>
      <c r="E10" s="16"/>
      <c r="F10" s="17"/>
    </row>
    <row r="11" spans="1:8" ht="14.4" customHeight="1" x14ac:dyDescent="0.3">
      <c r="A11" s="260" t="str">
        <f>HYPERLINK("#'ZV Vykáz.-A'!A1","Ambulance *")</f>
        <v>Ambulance *</v>
      </c>
      <c r="B11" s="13">
        <f>IF(ISERROR(VLOOKUP("Celkem:",'ZV Vykáz.-A'!A:F,2,0)),0,VLOOKUP("Celkem:",'ZV Vykáz.-A'!A:F,2,0)/1000)</f>
        <v>53.750999999999998</v>
      </c>
      <c r="C11" s="33">
        <f>IF(ISERROR(VLOOKUP("Celkem:",'ZV Vykáz.-A'!A:F,4,0)),0,VLOOKUP("Celkem:",'ZV Vykáz.-A'!A:F,4,0)/1000)</f>
        <v>169.00200000000001</v>
      </c>
      <c r="D11" s="12"/>
      <c r="E11" s="233">
        <f>IF(ISERROR(VLOOKUP("Celkem:",'ZV Vykáz.-A'!A:F,6,0)),0,VLOOKUP("Celkem:",'ZV Vykáz.-A'!A:F,6,0)/1000)</f>
        <v>4.74</v>
      </c>
      <c r="F11" s="32">
        <f>B11</f>
        <v>53.750999999999998</v>
      </c>
      <c r="G11" s="232">
        <f>E11-F11</f>
        <v>-49.010999999999996</v>
      </c>
      <c r="H11" s="238">
        <f>IF(F11&lt;0.00000001,"",E11/F11)</f>
        <v>8.8184405871518684E-2</v>
      </c>
    </row>
    <row r="12" spans="1:8" ht="14.4" customHeight="1" thickBot="1" x14ac:dyDescent="0.35">
      <c r="A12" s="261" t="str">
        <f>HYPERLINK("#CaseMix!A1","Hospitalizace *")</f>
        <v>Hospitalizace *</v>
      </c>
      <c r="B12" s="15">
        <f>IF(ISERROR(VLOOKUP("Celkem",CaseMix!A:D,2,0)),0,VLOOKUP("Celkem",CaseMix!A:D,2,0)*30)</f>
        <v>3329.73</v>
      </c>
      <c r="C12" s="37">
        <f>IF(ISERROR(VLOOKUP("Celkem",CaseMix!A:D,3,0)),0,VLOOKUP("Celkem",CaseMix!A:D,3,0)*30)</f>
        <v>2872.2300000000005</v>
      </c>
      <c r="D12" s="12"/>
      <c r="E12" s="236">
        <f>IF(ISERROR(VLOOKUP("Celkem",CaseMix!A:D,4,0)),0,VLOOKUP("Celkem",CaseMix!A:D,4,0)*30)</f>
        <v>5046.4799999999996</v>
      </c>
      <c r="F12" s="36">
        <f>B12</f>
        <v>3329.73</v>
      </c>
      <c r="G12" s="237">
        <f>E12-F12</f>
        <v>1716.7499999999995</v>
      </c>
      <c r="H12" s="240">
        <f>IF(F12&lt;0.00000001,"",E12/F12)</f>
        <v>1.5155823445144199</v>
      </c>
    </row>
    <row r="13" spans="1:8" ht="14.4" customHeight="1" thickBot="1" x14ac:dyDescent="0.35">
      <c r="A13" s="4" t="s">
        <v>101</v>
      </c>
      <c r="B13" s="9">
        <f>SUM(B11:B12)</f>
        <v>3383.4810000000002</v>
      </c>
      <c r="C13" s="41">
        <f>SUM(C11:C12)</f>
        <v>3041.2320000000004</v>
      </c>
      <c r="D13" s="12"/>
      <c r="E13" s="9">
        <f>SUM(E11:E12)</f>
        <v>5051.2199999999993</v>
      </c>
      <c r="F13" s="40">
        <f>SUM(F11:F12)</f>
        <v>3383.4810000000002</v>
      </c>
      <c r="G13" s="40">
        <f>E13-F13</f>
        <v>1667.7389999999991</v>
      </c>
      <c r="H13" s="242">
        <f>IF(F13&lt;0.00000001,"",E13/F13)</f>
        <v>1.4929062701992413</v>
      </c>
    </row>
    <row r="14" spans="1:8" ht="14.4" customHeight="1" thickBot="1" x14ac:dyDescent="0.35">
      <c r="A14" s="16"/>
      <c r="B14" s="16"/>
      <c r="C14" s="224"/>
      <c r="D14" s="12"/>
      <c r="E14" s="16"/>
      <c r="F14" s="17"/>
    </row>
    <row r="15" spans="1:8" ht="14.4" customHeight="1" thickBot="1" x14ac:dyDescent="0.35">
      <c r="A15" s="262" t="str">
        <f>HYPERLINK("#'HI Graf'!A1","Hospodářský index (Výnosy / Náklady) *")</f>
        <v>Hospodářský index (Výnosy / Náklady) *</v>
      </c>
      <c r="B15" s="10">
        <f>IF(B9=0,"",B13/B9)</f>
        <v>0.29690848948686899</v>
      </c>
      <c r="C15" s="43">
        <f>IF(C9=0,"",C13/C9)</f>
        <v>0.2505293098847276</v>
      </c>
      <c r="D15" s="12"/>
      <c r="E15" s="10">
        <f>IF(E9=0,"",E13/E9)</f>
        <v>0.41894288086687942</v>
      </c>
      <c r="F15" s="42">
        <f>IF(F9=0,"",F13/F9)</f>
        <v>0.27971321690606593</v>
      </c>
      <c r="G15" s="42">
        <f>IF(ISERROR(F15-E15),"",E15-F15)</f>
        <v>0.13922966396081349</v>
      </c>
      <c r="H15" s="243">
        <f>IF(ISERROR(F15-E15),"",IF(F15&lt;0.00000001,"",E15/F15))</f>
        <v>1.497758616846375</v>
      </c>
    </row>
    <row r="17" spans="1:8" ht="14.4" customHeight="1" x14ac:dyDescent="0.3">
      <c r="A17" s="229" t="s">
        <v>203</v>
      </c>
    </row>
    <row r="18" spans="1:8" ht="14.4" customHeight="1" x14ac:dyDescent="0.3">
      <c r="A18" s="439" t="s">
        <v>271</v>
      </c>
      <c r="B18" s="440"/>
      <c r="C18" s="440"/>
      <c r="D18" s="440"/>
      <c r="E18" s="440"/>
      <c r="F18" s="440"/>
      <c r="G18" s="440"/>
      <c r="H18" s="440"/>
    </row>
    <row r="19" spans="1:8" x14ac:dyDescent="0.3">
      <c r="A19" s="438" t="s">
        <v>270</v>
      </c>
      <c r="B19" s="440"/>
      <c r="C19" s="440"/>
      <c r="D19" s="440"/>
      <c r="E19" s="440"/>
      <c r="F19" s="440"/>
      <c r="G19" s="440"/>
      <c r="H19" s="440"/>
    </row>
    <row r="20" spans="1:8" ht="14.4" customHeight="1" x14ac:dyDescent="0.3">
      <c r="A20" s="230" t="s">
        <v>204</v>
      </c>
    </row>
    <row r="21" spans="1:8" ht="14.4" customHeight="1" x14ac:dyDescent="0.3">
      <c r="A21" s="230" t="s">
        <v>205</v>
      </c>
    </row>
    <row r="22" spans="1:8" ht="14.4" customHeight="1" x14ac:dyDescent="0.3">
      <c r="A22" s="231" t="s">
        <v>206</v>
      </c>
    </row>
    <row r="23" spans="1:8" ht="14.4" customHeight="1" x14ac:dyDescent="0.3">
      <c r="A23" s="231" t="s">
        <v>207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3" priority="4" operator="greaterThan">
      <formula>0</formula>
    </cfRule>
  </conditionalFormatting>
  <conditionalFormatting sqref="G11:G13 G15">
    <cfRule type="cellIs" dxfId="72" priority="3" operator="lessThan">
      <formula>0</formula>
    </cfRule>
  </conditionalFormatting>
  <conditionalFormatting sqref="H5:H9">
    <cfRule type="cellIs" dxfId="71" priority="2" operator="greaterThan">
      <formula>1</formula>
    </cfRule>
  </conditionalFormatting>
  <conditionalFormatting sqref="H11:H13 H15">
    <cfRule type="cellIs" dxfId="7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7"/>
    <col min="2" max="13" width="8.88671875" style="257" customWidth="1"/>
    <col min="14" max="16384" width="8.88671875" style="257"/>
  </cols>
  <sheetData>
    <row r="1" spans="1:13" ht="18.600000000000001" customHeight="1" thickBot="1" x14ac:dyDescent="0.4">
      <c r="A1" s="458" t="s">
        <v>129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</row>
    <row r="2" spans="1:13" ht="14.4" customHeight="1" x14ac:dyDescent="0.3">
      <c r="A2" s="386" t="s">
        <v>321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</row>
    <row r="3" spans="1:13" ht="14.4" customHeight="1" x14ac:dyDescent="0.3">
      <c r="A3" s="331"/>
      <c r="B3" s="332" t="s">
        <v>103</v>
      </c>
      <c r="C3" s="333" t="s">
        <v>104</v>
      </c>
      <c r="D3" s="333" t="s">
        <v>105</v>
      </c>
      <c r="E3" s="332" t="s">
        <v>106</v>
      </c>
      <c r="F3" s="333" t="s">
        <v>107</v>
      </c>
      <c r="G3" s="333" t="s">
        <v>108</v>
      </c>
      <c r="H3" s="333" t="s">
        <v>109</v>
      </c>
      <c r="I3" s="333" t="s">
        <v>110</v>
      </c>
      <c r="J3" s="333" t="s">
        <v>111</v>
      </c>
      <c r="K3" s="333" t="s">
        <v>112</v>
      </c>
      <c r="L3" s="333" t="s">
        <v>113</v>
      </c>
      <c r="M3" s="333" t="s">
        <v>114</v>
      </c>
    </row>
    <row r="4" spans="1:13" ht="14.4" customHeight="1" x14ac:dyDescent="0.3">
      <c r="A4" s="331" t="s">
        <v>102</v>
      </c>
      <c r="B4" s="334">
        <f>(B10+B8)/B6</f>
        <v>0.25862505813742587</v>
      </c>
      <c r="C4" s="334">
        <f t="shared" ref="C4:M4" si="0">(C10+C8)/C6</f>
        <v>0.20102657513463124</v>
      </c>
      <c r="D4" s="334">
        <f t="shared" si="0"/>
        <v>0.41894288086687953</v>
      </c>
      <c r="E4" s="334">
        <f t="shared" si="0"/>
        <v>3.9313062098047776E-4</v>
      </c>
      <c r="F4" s="334">
        <f t="shared" si="0"/>
        <v>3.9313062098047776E-4</v>
      </c>
      <c r="G4" s="334">
        <f t="shared" si="0"/>
        <v>3.9313062098047776E-4</v>
      </c>
      <c r="H4" s="334">
        <f t="shared" si="0"/>
        <v>3.9313062098047776E-4</v>
      </c>
      <c r="I4" s="334">
        <f t="shared" si="0"/>
        <v>3.9313062098047776E-4</v>
      </c>
      <c r="J4" s="334">
        <f t="shared" si="0"/>
        <v>3.9313062098047776E-4</v>
      </c>
      <c r="K4" s="334">
        <f t="shared" si="0"/>
        <v>3.9313062098047776E-4</v>
      </c>
      <c r="L4" s="334">
        <f t="shared" si="0"/>
        <v>3.9313062098047776E-4</v>
      </c>
      <c r="M4" s="334">
        <f t="shared" si="0"/>
        <v>3.9313062098047776E-4</v>
      </c>
    </row>
    <row r="5" spans="1:13" ht="14.4" customHeight="1" x14ac:dyDescent="0.3">
      <c r="A5" s="335" t="s">
        <v>53</v>
      </c>
      <c r="B5" s="334">
        <f>IF(ISERROR(VLOOKUP($A5,'Man Tab'!$A:$Q,COLUMN()+2,0)),0,VLOOKUP($A5,'Man Tab'!$A:$Q,COLUMN()+2,0))</f>
        <v>3603.5951300000202</v>
      </c>
      <c r="C5" s="334">
        <f>IF(ISERROR(VLOOKUP($A5,'Man Tab'!$A:$Q,COLUMN()+2,0)),0,VLOOKUP($A5,'Man Tab'!$A:$Q,COLUMN()+2,0))</f>
        <v>4038.9765000000002</v>
      </c>
      <c r="D5" s="334">
        <f>IF(ISERROR(VLOOKUP($A5,'Man Tab'!$A:$Q,COLUMN()+2,0)),0,VLOOKUP($A5,'Man Tab'!$A:$Q,COLUMN()+2,0))</f>
        <v>4414.4896799999997</v>
      </c>
      <c r="E5" s="334">
        <f>IF(ISERROR(VLOOKUP($A5,'Man Tab'!$A:$Q,COLUMN()+2,0)),0,VLOOKUP($A5,'Man Tab'!$A:$Q,COLUMN()+2,0))</f>
        <v>4.9406564584124654E-324</v>
      </c>
      <c r="F5" s="334">
        <f>IF(ISERROR(VLOOKUP($A5,'Man Tab'!$A:$Q,COLUMN()+2,0)),0,VLOOKUP($A5,'Man Tab'!$A:$Q,COLUMN()+2,0))</f>
        <v>4.9406564584124654E-324</v>
      </c>
      <c r="G5" s="334">
        <f>IF(ISERROR(VLOOKUP($A5,'Man Tab'!$A:$Q,COLUMN()+2,0)),0,VLOOKUP($A5,'Man Tab'!$A:$Q,COLUMN()+2,0))</f>
        <v>4.9406564584124654E-324</v>
      </c>
      <c r="H5" s="334">
        <f>IF(ISERROR(VLOOKUP($A5,'Man Tab'!$A:$Q,COLUMN()+2,0)),0,VLOOKUP($A5,'Man Tab'!$A:$Q,COLUMN()+2,0))</f>
        <v>4.9406564584124654E-324</v>
      </c>
      <c r="I5" s="334">
        <f>IF(ISERROR(VLOOKUP($A5,'Man Tab'!$A:$Q,COLUMN()+2,0)),0,VLOOKUP($A5,'Man Tab'!$A:$Q,COLUMN()+2,0))</f>
        <v>4.9406564584124654E-324</v>
      </c>
      <c r="J5" s="334">
        <f>IF(ISERROR(VLOOKUP($A5,'Man Tab'!$A:$Q,COLUMN()+2,0)),0,VLOOKUP($A5,'Man Tab'!$A:$Q,COLUMN()+2,0))</f>
        <v>4.9406564584124654E-324</v>
      </c>
      <c r="K5" s="334">
        <f>IF(ISERROR(VLOOKUP($A5,'Man Tab'!$A:$Q,COLUMN()+2,0)),0,VLOOKUP($A5,'Man Tab'!$A:$Q,COLUMN()+2,0))</f>
        <v>4.9406564584124654E-324</v>
      </c>
      <c r="L5" s="334">
        <f>IF(ISERROR(VLOOKUP($A5,'Man Tab'!$A:$Q,COLUMN()+2,0)),0,VLOOKUP($A5,'Man Tab'!$A:$Q,COLUMN()+2,0))</f>
        <v>4.9406564584124654E-324</v>
      </c>
      <c r="M5" s="334">
        <f>IF(ISERROR(VLOOKUP($A5,'Man Tab'!$A:$Q,COLUMN()+2,0)),0,VLOOKUP($A5,'Man Tab'!$A:$Q,COLUMN()+2,0))</f>
        <v>4.9406564584124654E-324</v>
      </c>
    </row>
    <row r="6" spans="1:13" ht="14.4" customHeight="1" x14ac:dyDescent="0.3">
      <c r="A6" s="335" t="s">
        <v>98</v>
      </c>
      <c r="B6" s="336">
        <f>B5</f>
        <v>3603.5951300000202</v>
      </c>
      <c r="C6" s="336">
        <f t="shared" ref="C6:M6" si="1">C5+B6</f>
        <v>7642.5716300000204</v>
      </c>
      <c r="D6" s="336">
        <f t="shared" si="1"/>
        <v>12057.061310000019</v>
      </c>
      <c r="E6" s="336">
        <f t="shared" si="1"/>
        <v>12057.061310000019</v>
      </c>
      <c r="F6" s="336">
        <f t="shared" si="1"/>
        <v>12057.061310000019</v>
      </c>
      <c r="G6" s="336">
        <f t="shared" si="1"/>
        <v>12057.061310000019</v>
      </c>
      <c r="H6" s="336">
        <f t="shared" si="1"/>
        <v>12057.061310000019</v>
      </c>
      <c r="I6" s="336">
        <f t="shared" si="1"/>
        <v>12057.061310000019</v>
      </c>
      <c r="J6" s="336">
        <f t="shared" si="1"/>
        <v>12057.061310000019</v>
      </c>
      <c r="K6" s="336">
        <f t="shared" si="1"/>
        <v>12057.061310000019</v>
      </c>
      <c r="L6" s="336">
        <f t="shared" si="1"/>
        <v>12057.061310000019</v>
      </c>
      <c r="M6" s="336">
        <f t="shared" si="1"/>
        <v>12057.061310000019</v>
      </c>
    </row>
    <row r="7" spans="1:13" ht="14.4" customHeight="1" x14ac:dyDescent="0.3">
      <c r="A7" s="335" t="s">
        <v>127</v>
      </c>
      <c r="B7" s="335">
        <v>30.908000000000001</v>
      </c>
      <c r="C7" s="335">
        <v>51.054000000000002</v>
      </c>
      <c r="D7" s="335">
        <v>168.21600000000001</v>
      </c>
      <c r="E7" s="335"/>
      <c r="F7" s="335"/>
      <c r="G7" s="335"/>
      <c r="H7" s="335"/>
      <c r="I7" s="335"/>
      <c r="J7" s="335"/>
      <c r="K7" s="335"/>
      <c r="L7" s="335"/>
      <c r="M7" s="335"/>
    </row>
    <row r="8" spans="1:13" ht="14.4" customHeight="1" x14ac:dyDescent="0.3">
      <c r="A8" s="335" t="s">
        <v>99</v>
      </c>
      <c r="B8" s="336">
        <f>B7*30</f>
        <v>927.24</v>
      </c>
      <c r="C8" s="336">
        <f t="shared" ref="C8:M8" si="2">C7*30</f>
        <v>1531.6200000000001</v>
      </c>
      <c r="D8" s="336">
        <f t="shared" si="2"/>
        <v>5046.4800000000005</v>
      </c>
      <c r="E8" s="336">
        <f t="shared" si="2"/>
        <v>0</v>
      </c>
      <c r="F8" s="336">
        <f t="shared" si="2"/>
        <v>0</v>
      </c>
      <c r="G8" s="336">
        <f t="shared" si="2"/>
        <v>0</v>
      </c>
      <c r="H8" s="336">
        <f t="shared" si="2"/>
        <v>0</v>
      </c>
      <c r="I8" s="336">
        <f t="shared" si="2"/>
        <v>0</v>
      </c>
      <c r="J8" s="336">
        <f t="shared" si="2"/>
        <v>0</v>
      </c>
      <c r="K8" s="336">
        <f t="shared" si="2"/>
        <v>0</v>
      </c>
      <c r="L8" s="336">
        <f t="shared" si="2"/>
        <v>0</v>
      </c>
      <c r="M8" s="336">
        <f t="shared" si="2"/>
        <v>0</v>
      </c>
    </row>
    <row r="9" spans="1:13" ht="14.4" customHeight="1" x14ac:dyDescent="0.3">
      <c r="A9" s="335" t="s">
        <v>128</v>
      </c>
      <c r="B9" s="335">
        <v>4740</v>
      </c>
      <c r="C9" s="335">
        <v>0</v>
      </c>
      <c r="D9" s="335">
        <v>0</v>
      </c>
      <c r="E9" s="335">
        <v>0</v>
      </c>
      <c r="F9" s="335">
        <v>0</v>
      </c>
      <c r="G9" s="335">
        <v>0</v>
      </c>
      <c r="H9" s="335">
        <v>0</v>
      </c>
      <c r="I9" s="335">
        <v>0</v>
      </c>
      <c r="J9" s="335">
        <v>0</v>
      </c>
      <c r="K9" s="335">
        <v>0</v>
      </c>
      <c r="L9" s="335">
        <v>0</v>
      </c>
      <c r="M9" s="335">
        <v>0</v>
      </c>
    </row>
    <row r="10" spans="1:13" ht="14.4" customHeight="1" x14ac:dyDescent="0.3">
      <c r="A10" s="335" t="s">
        <v>100</v>
      </c>
      <c r="B10" s="336">
        <f>B9/1000</f>
        <v>4.74</v>
      </c>
      <c r="C10" s="336">
        <f t="shared" ref="C10:M10" si="3">C9/1000+B10</f>
        <v>4.74</v>
      </c>
      <c r="D10" s="336">
        <f t="shared" si="3"/>
        <v>4.74</v>
      </c>
      <c r="E10" s="336">
        <f t="shared" si="3"/>
        <v>4.74</v>
      </c>
      <c r="F10" s="336">
        <f t="shared" si="3"/>
        <v>4.74</v>
      </c>
      <c r="G10" s="336">
        <f t="shared" si="3"/>
        <v>4.74</v>
      </c>
      <c r="H10" s="336">
        <f t="shared" si="3"/>
        <v>4.74</v>
      </c>
      <c r="I10" s="336">
        <f t="shared" si="3"/>
        <v>4.74</v>
      </c>
      <c r="J10" s="336">
        <f t="shared" si="3"/>
        <v>4.74</v>
      </c>
      <c r="K10" s="336">
        <f t="shared" si="3"/>
        <v>4.74</v>
      </c>
      <c r="L10" s="336">
        <f t="shared" si="3"/>
        <v>4.74</v>
      </c>
      <c r="M10" s="336">
        <f t="shared" si="3"/>
        <v>4.74</v>
      </c>
    </row>
    <row r="11" spans="1:13" ht="14.4" customHeight="1" x14ac:dyDescent="0.3">
      <c r="A11" s="331"/>
      <c r="B11" s="331" t="s">
        <v>116</v>
      </c>
      <c r="C11" s="331">
        <f ca="1">IF(MONTH(TODAY())=1,12,MONTH(TODAY())-1)</f>
        <v>3</v>
      </c>
      <c r="D11" s="331"/>
      <c r="E11" s="331"/>
      <c r="F11" s="331"/>
      <c r="G11" s="331"/>
      <c r="H11" s="331"/>
      <c r="I11" s="331"/>
      <c r="J11" s="331"/>
      <c r="K11" s="331"/>
      <c r="L11" s="331"/>
      <c r="M11" s="331"/>
    </row>
    <row r="12" spans="1:13" ht="14.4" customHeight="1" x14ac:dyDescent="0.3">
      <c r="A12" s="331">
        <v>0</v>
      </c>
      <c r="B12" s="334">
        <f>IF(ISERROR(HI!F15),#REF!,HI!F15)</f>
        <v>0.27971321690606593</v>
      </c>
      <c r="C12" s="331"/>
      <c r="D12" s="331"/>
      <c r="E12" s="331"/>
      <c r="F12" s="331"/>
      <c r="G12" s="331"/>
      <c r="H12" s="331"/>
      <c r="I12" s="331"/>
      <c r="J12" s="331"/>
      <c r="K12" s="331"/>
      <c r="L12" s="331"/>
      <c r="M12" s="331"/>
    </row>
    <row r="13" spans="1:13" ht="14.4" customHeight="1" x14ac:dyDescent="0.3">
      <c r="A13" s="331">
        <v>1</v>
      </c>
      <c r="B13" s="334">
        <f>IF(ISERROR(HI!F15),#REF!,HI!F15)</f>
        <v>0.27971321690606593</v>
      </c>
      <c r="C13" s="331"/>
      <c r="D13" s="331"/>
      <c r="E13" s="331"/>
      <c r="F13" s="331"/>
      <c r="G13" s="331"/>
      <c r="H13" s="331"/>
      <c r="I13" s="331"/>
      <c r="J13" s="331"/>
      <c r="K13" s="331"/>
      <c r="L13" s="331"/>
      <c r="M13" s="33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7" bestFit="1" customWidth="1"/>
    <col min="2" max="2" width="12.77734375" style="257" bestFit="1" customWidth="1"/>
    <col min="3" max="3" width="13.6640625" style="257" bestFit="1" customWidth="1"/>
    <col min="4" max="15" width="7.77734375" style="257" bestFit="1" customWidth="1"/>
    <col min="16" max="16" width="8.88671875" style="257" customWidth="1"/>
    <col min="17" max="17" width="6.6640625" style="257" bestFit="1" customWidth="1"/>
    <col min="18" max="16384" width="8.88671875" style="257"/>
  </cols>
  <sheetData>
    <row r="1" spans="1:17" s="337" customFormat="1" ht="18.600000000000001" customHeight="1" thickBot="1" x14ac:dyDescent="0.4">
      <c r="A1" s="467" t="s">
        <v>323</v>
      </c>
      <c r="B1" s="467"/>
      <c r="C1" s="467"/>
      <c r="D1" s="467"/>
      <c r="E1" s="467"/>
      <c r="F1" s="467"/>
      <c r="G1" s="467"/>
      <c r="H1" s="458"/>
      <c r="I1" s="458"/>
      <c r="J1" s="458"/>
      <c r="K1" s="458"/>
      <c r="L1" s="458"/>
      <c r="M1" s="458"/>
      <c r="N1" s="458"/>
      <c r="O1" s="458"/>
      <c r="P1" s="458"/>
      <c r="Q1" s="458"/>
    </row>
    <row r="2" spans="1:17" s="337" customFormat="1" ht="14.4" customHeight="1" thickBot="1" x14ac:dyDescent="0.3">
      <c r="A2" s="386" t="s">
        <v>321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</row>
    <row r="3" spans="1:17" ht="14.4" customHeight="1" x14ac:dyDescent="0.3">
      <c r="A3" s="101"/>
      <c r="B3" s="468" t="s">
        <v>29</v>
      </c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  <c r="P3" s="266"/>
      <c r="Q3" s="268"/>
    </row>
    <row r="4" spans="1:17" ht="14.4" customHeight="1" x14ac:dyDescent="0.3">
      <c r="A4" s="102"/>
      <c r="B4" s="24">
        <v>2014</v>
      </c>
      <c r="C4" s="267" t="s">
        <v>30</v>
      </c>
      <c r="D4" s="245" t="s">
        <v>210</v>
      </c>
      <c r="E4" s="245" t="s">
        <v>211</v>
      </c>
      <c r="F4" s="245" t="s">
        <v>212</v>
      </c>
      <c r="G4" s="245" t="s">
        <v>213</v>
      </c>
      <c r="H4" s="245" t="s">
        <v>214</v>
      </c>
      <c r="I4" s="245" t="s">
        <v>215</v>
      </c>
      <c r="J4" s="245" t="s">
        <v>216</v>
      </c>
      <c r="K4" s="245" t="s">
        <v>217</v>
      </c>
      <c r="L4" s="245" t="s">
        <v>218</v>
      </c>
      <c r="M4" s="245" t="s">
        <v>219</v>
      </c>
      <c r="N4" s="245" t="s">
        <v>220</v>
      </c>
      <c r="O4" s="245" t="s">
        <v>221</v>
      </c>
      <c r="P4" s="470" t="s">
        <v>3</v>
      </c>
      <c r="Q4" s="471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4.9406564584124654E-324</v>
      </c>
      <c r="C6" s="53">
        <v>0</v>
      </c>
      <c r="D6" s="53">
        <v>4.9406564584124654E-324</v>
      </c>
      <c r="E6" s="53">
        <v>4.9406564584124654E-324</v>
      </c>
      <c r="F6" s="53">
        <v>4.9406564584124654E-324</v>
      </c>
      <c r="G6" s="53">
        <v>4.9406564584124654E-324</v>
      </c>
      <c r="H6" s="53">
        <v>4.9406564584124654E-324</v>
      </c>
      <c r="I6" s="53">
        <v>4.9406564584124654E-324</v>
      </c>
      <c r="J6" s="53">
        <v>4.9406564584124654E-324</v>
      </c>
      <c r="K6" s="53">
        <v>4.9406564584124654E-324</v>
      </c>
      <c r="L6" s="53">
        <v>4.9406564584124654E-324</v>
      </c>
      <c r="M6" s="53">
        <v>4.9406564584124654E-324</v>
      </c>
      <c r="N6" s="53">
        <v>4.9406564584124654E-324</v>
      </c>
      <c r="O6" s="53">
        <v>4.9406564584124654E-324</v>
      </c>
      <c r="P6" s="54">
        <v>1.4821969375237396E-323</v>
      </c>
      <c r="Q6" s="188" t="s">
        <v>322</v>
      </c>
    </row>
    <row r="7" spans="1:17" ht="14.4" customHeight="1" x14ac:dyDescent="0.3">
      <c r="A7" s="19" t="s">
        <v>35</v>
      </c>
      <c r="B7" s="55">
        <v>7054.8118512913497</v>
      </c>
      <c r="C7" s="56">
        <v>587.90098760761305</v>
      </c>
      <c r="D7" s="56">
        <v>386.16287000000199</v>
      </c>
      <c r="E7" s="56">
        <v>556.08631000000003</v>
      </c>
      <c r="F7" s="56">
        <v>834.30165999999997</v>
      </c>
      <c r="G7" s="56">
        <v>4.9406564584124654E-324</v>
      </c>
      <c r="H7" s="56">
        <v>4.9406564584124654E-324</v>
      </c>
      <c r="I7" s="56">
        <v>4.9406564584124654E-324</v>
      </c>
      <c r="J7" s="56">
        <v>4.9406564584124654E-324</v>
      </c>
      <c r="K7" s="56">
        <v>4.9406564584124654E-324</v>
      </c>
      <c r="L7" s="56">
        <v>4.9406564584124654E-324</v>
      </c>
      <c r="M7" s="56">
        <v>4.9406564584124654E-324</v>
      </c>
      <c r="N7" s="56">
        <v>4.9406564584124654E-324</v>
      </c>
      <c r="O7" s="56">
        <v>4.9406564584124654E-324</v>
      </c>
      <c r="P7" s="57">
        <v>1776.5508400000001</v>
      </c>
      <c r="Q7" s="189">
        <v>1.007284603727</v>
      </c>
    </row>
    <row r="8" spans="1:17" ht="14.4" customHeight="1" x14ac:dyDescent="0.3">
      <c r="A8" s="19" t="s">
        <v>36</v>
      </c>
      <c r="B8" s="55">
        <v>3394.97988424399</v>
      </c>
      <c r="C8" s="56">
        <v>282.91499035366502</v>
      </c>
      <c r="D8" s="56">
        <v>179.91500000000099</v>
      </c>
      <c r="E8" s="56">
        <v>329.76799999999997</v>
      </c>
      <c r="F8" s="56">
        <v>417.29</v>
      </c>
      <c r="G8" s="56">
        <v>4.9406564584124654E-324</v>
      </c>
      <c r="H8" s="56">
        <v>4.9406564584124654E-324</v>
      </c>
      <c r="I8" s="56">
        <v>4.9406564584124654E-324</v>
      </c>
      <c r="J8" s="56">
        <v>4.9406564584124654E-324</v>
      </c>
      <c r="K8" s="56">
        <v>4.9406564584124654E-324</v>
      </c>
      <c r="L8" s="56">
        <v>4.9406564584124654E-324</v>
      </c>
      <c r="M8" s="56">
        <v>4.9406564584124654E-324</v>
      </c>
      <c r="N8" s="56">
        <v>4.9406564584124654E-324</v>
      </c>
      <c r="O8" s="56">
        <v>4.9406564584124654E-324</v>
      </c>
      <c r="P8" s="57">
        <v>926.97300000000098</v>
      </c>
      <c r="Q8" s="189">
        <v>1.0921690632709999</v>
      </c>
    </row>
    <row r="9" spans="1:17" ht="14.4" customHeight="1" x14ac:dyDescent="0.3">
      <c r="A9" s="19" t="s">
        <v>37</v>
      </c>
      <c r="B9" s="55">
        <v>3543.2701150048802</v>
      </c>
      <c r="C9" s="56">
        <v>295.27250958373997</v>
      </c>
      <c r="D9" s="56">
        <v>214.41202000000101</v>
      </c>
      <c r="E9" s="56">
        <v>224.55663000000001</v>
      </c>
      <c r="F9" s="56">
        <v>213.06635</v>
      </c>
      <c r="G9" s="56">
        <v>4.9406564584124654E-324</v>
      </c>
      <c r="H9" s="56">
        <v>4.9406564584124654E-324</v>
      </c>
      <c r="I9" s="56">
        <v>4.9406564584124654E-324</v>
      </c>
      <c r="J9" s="56">
        <v>4.9406564584124654E-324</v>
      </c>
      <c r="K9" s="56">
        <v>4.9406564584124654E-324</v>
      </c>
      <c r="L9" s="56">
        <v>4.9406564584124654E-324</v>
      </c>
      <c r="M9" s="56">
        <v>4.9406564584124654E-324</v>
      </c>
      <c r="N9" s="56">
        <v>4.9406564584124654E-324</v>
      </c>
      <c r="O9" s="56">
        <v>4.9406564584124654E-324</v>
      </c>
      <c r="P9" s="57">
        <v>652.03500000000099</v>
      </c>
      <c r="Q9" s="189">
        <v>0.73608274710800004</v>
      </c>
    </row>
    <row r="10" spans="1:17" ht="14.4" customHeight="1" x14ac:dyDescent="0.3">
      <c r="A10" s="19" t="s">
        <v>38</v>
      </c>
      <c r="B10" s="55">
        <v>57.999795446105999</v>
      </c>
      <c r="C10" s="56">
        <v>4.8333162871750002</v>
      </c>
      <c r="D10" s="56">
        <v>4.6252800000000001</v>
      </c>
      <c r="E10" s="56">
        <v>3.7244899999999999</v>
      </c>
      <c r="F10" s="56">
        <v>5.1179100000000002</v>
      </c>
      <c r="G10" s="56">
        <v>4.9406564584124654E-324</v>
      </c>
      <c r="H10" s="56">
        <v>4.9406564584124654E-324</v>
      </c>
      <c r="I10" s="56">
        <v>4.9406564584124654E-324</v>
      </c>
      <c r="J10" s="56">
        <v>4.9406564584124654E-324</v>
      </c>
      <c r="K10" s="56">
        <v>4.9406564584124654E-324</v>
      </c>
      <c r="L10" s="56">
        <v>4.9406564584124654E-324</v>
      </c>
      <c r="M10" s="56">
        <v>4.9406564584124654E-324</v>
      </c>
      <c r="N10" s="56">
        <v>4.9406564584124654E-324</v>
      </c>
      <c r="O10" s="56">
        <v>4.9406564584124654E-324</v>
      </c>
      <c r="P10" s="57">
        <v>13.46768</v>
      </c>
      <c r="Q10" s="189">
        <v>0.92880879295600005</v>
      </c>
    </row>
    <row r="11" spans="1:17" ht="14.4" customHeight="1" x14ac:dyDescent="0.3">
      <c r="A11" s="19" t="s">
        <v>39</v>
      </c>
      <c r="B11" s="55">
        <v>323.210944503203</v>
      </c>
      <c r="C11" s="56">
        <v>26.934245375265998</v>
      </c>
      <c r="D11" s="56">
        <v>22.301169999999999</v>
      </c>
      <c r="E11" s="56">
        <v>27.73808</v>
      </c>
      <c r="F11" s="56">
        <v>34.634970000000003</v>
      </c>
      <c r="G11" s="56">
        <v>4.9406564584124654E-324</v>
      </c>
      <c r="H11" s="56">
        <v>4.9406564584124654E-324</v>
      </c>
      <c r="I11" s="56">
        <v>4.9406564584124654E-324</v>
      </c>
      <c r="J11" s="56">
        <v>4.9406564584124654E-324</v>
      </c>
      <c r="K11" s="56">
        <v>4.9406564584124654E-324</v>
      </c>
      <c r="L11" s="56">
        <v>4.9406564584124654E-324</v>
      </c>
      <c r="M11" s="56">
        <v>4.9406564584124654E-324</v>
      </c>
      <c r="N11" s="56">
        <v>4.9406564584124654E-324</v>
      </c>
      <c r="O11" s="56">
        <v>4.9406564584124654E-324</v>
      </c>
      <c r="P11" s="57">
        <v>84.674220000000005</v>
      </c>
      <c r="Q11" s="189">
        <v>1.047912781915</v>
      </c>
    </row>
    <row r="12" spans="1:17" ht="14.4" customHeight="1" x14ac:dyDescent="0.3">
      <c r="A12" s="19" t="s">
        <v>40</v>
      </c>
      <c r="B12" s="55">
        <v>59.436186645969997</v>
      </c>
      <c r="C12" s="56">
        <v>4.9530155538300003</v>
      </c>
      <c r="D12" s="56">
        <v>0.20319999999999999</v>
      </c>
      <c r="E12" s="56">
        <v>12.91337</v>
      </c>
      <c r="F12" s="56">
        <v>10.703659999999999</v>
      </c>
      <c r="G12" s="56">
        <v>4.9406564584124654E-324</v>
      </c>
      <c r="H12" s="56">
        <v>4.9406564584124654E-324</v>
      </c>
      <c r="I12" s="56">
        <v>4.9406564584124654E-324</v>
      </c>
      <c r="J12" s="56">
        <v>4.9406564584124654E-324</v>
      </c>
      <c r="K12" s="56">
        <v>4.9406564584124654E-324</v>
      </c>
      <c r="L12" s="56">
        <v>4.9406564584124654E-324</v>
      </c>
      <c r="M12" s="56">
        <v>4.9406564584124654E-324</v>
      </c>
      <c r="N12" s="56">
        <v>4.9406564584124654E-324</v>
      </c>
      <c r="O12" s="56">
        <v>4.9406564584124654E-324</v>
      </c>
      <c r="P12" s="57">
        <v>23.820229999999999</v>
      </c>
      <c r="Q12" s="189">
        <v>1.603079291872</v>
      </c>
    </row>
    <row r="13" spans="1:17" ht="14.4" customHeight="1" x14ac:dyDescent="0.3">
      <c r="A13" s="19" t="s">
        <v>41</v>
      </c>
      <c r="B13" s="55">
        <v>126.230395954993</v>
      </c>
      <c r="C13" s="56">
        <v>10.519199662916</v>
      </c>
      <c r="D13" s="56">
        <v>6.5537099999999997</v>
      </c>
      <c r="E13" s="56">
        <v>8.6322600000000005</v>
      </c>
      <c r="F13" s="56">
        <v>14.400460000000001</v>
      </c>
      <c r="G13" s="56">
        <v>4.9406564584124654E-324</v>
      </c>
      <c r="H13" s="56">
        <v>4.9406564584124654E-324</v>
      </c>
      <c r="I13" s="56">
        <v>4.9406564584124654E-324</v>
      </c>
      <c r="J13" s="56">
        <v>4.9406564584124654E-324</v>
      </c>
      <c r="K13" s="56">
        <v>4.9406564584124654E-324</v>
      </c>
      <c r="L13" s="56">
        <v>4.9406564584124654E-324</v>
      </c>
      <c r="M13" s="56">
        <v>4.9406564584124654E-324</v>
      </c>
      <c r="N13" s="56">
        <v>4.9406564584124654E-324</v>
      </c>
      <c r="O13" s="56">
        <v>4.9406564584124654E-324</v>
      </c>
      <c r="P13" s="57">
        <v>29.58643</v>
      </c>
      <c r="Q13" s="189">
        <v>0.93753742198599999</v>
      </c>
    </row>
    <row r="14" spans="1:17" ht="14.4" customHeight="1" x14ac:dyDescent="0.3">
      <c r="A14" s="19" t="s">
        <v>42</v>
      </c>
      <c r="B14" s="55">
        <v>322.77884899141901</v>
      </c>
      <c r="C14" s="56">
        <v>26.898237415951002</v>
      </c>
      <c r="D14" s="56">
        <v>35.643000000000001</v>
      </c>
      <c r="E14" s="56">
        <v>30.004000000000001</v>
      </c>
      <c r="F14" s="56">
        <v>27.052</v>
      </c>
      <c r="G14" s="56">
        <v>4.9406564584124654E-324</v>
      </c>
      <c r="H14" s="56">
        <v>4.9406564584124654E-324</v>
      </c>
      <c r="I14" s="56">
        <v>4.9406564584124654E-324</v>
      </c>
      <c r="J14" s="56">
        <v>4.9406564584124654E-324</v>
      </c>
      <c r="K14" s="56">
        <v>4.9406564584124654E-324</v>
      </c>
      <c r="L14" s="56">
        <v>4.9406564584124654E-324</v>
      </c>
      <c r="M14" s="56">
        <v>4.9406564584124654E-324</v>
      </c>
      <c r="N14" s="56">
        <v>4.9406564584124654E-324</v>
      </c>
      <c r="O14" s="56">
        <v>4.9406564584124654E-324</v>
      </c>
      <c r="P14" s="57">
        <v>92.698999999999998</v>
      </c>
      <c r="Q14" s="189">
        <v>1.148761764157</v>
      </c>
    </row>
    <row r="15" spans="1:17" ht="14.4" customHeight="1" x14ac:dyDescent="0.3">
      <c r="A15" s="19" t="s">
        <v>43</v>
      </c>
      <c r="B15" s="55">
        <v>4.9406564584124654E-324</v>
      </c>
      <c r="C15" s="56">
        <v>0</v>
      </c>
      <c r="D15" s="56">
        <v>4.9406564584124654E-324</v>
      </c>
      <c r="E15" s="56">
        <v>4.9406564584124654E-324</v>
      </c>
      <c r="F15" s="56">
        <v>4.9406564584124654E-324</v>
      </c>
      <c r="G15" s="56">
        <v>4.9406564584124654E-324</v>
      </c>
      <c r="H15" s="56">
        <v>4.9406564584124654E-324</v>
      </c>
      <c r="I15" s="56">
        <v>4.9406564584124654E-324</v>
      </c>
      <c r="J15" s="56">
        <v>4.9406564584124654E-324</v>
      </c>
      <c r="K15" s="56">
        <v>4.9406564584124654E-324</v>
      </c>
      <c r="L15" s="56">
        <v>4.9406564584124654E-324</v>
      </c>
      <c r="M15" s="56">
        <v>4.9406564584124654E-324</v>
      </c>
      <c r="N15" s="56">
        <v>4.9406564584124654E-324</v>
      </c>
      <c r="O15" s="56">
        <v>4.9406564584124654E-324</v>
      </c>
      <c r="P15" s="57">
        <v>1.4821969375237396E-323</v>
      </c>
      <c r="Q15" s="189" t="s">
        <v>322</v>
      </c>
    </row>
    <row r="16" spans="1:17" ht="14.4" customHeight="1" x14ac:dyDescent="0.3">
      <c r="A16" s="19" t="s">
        <v>44</v>
      </c>
      <c r="B16" s="55">
        <v>4.9406564584124654E-324</v>
      </c>
      <c r="C16" s="56">
        <v>0</v>
      </c>
      <c r="D16" s="56">
        <v>4.9406564584124654E-324</v>
      </c>
      <c r="E16" s="56">
        <v>4.9406564584124654E-324</v>
      </c>
      <c r="F16" s="56">
        <v>4.9406564584124654E-324</v>
      </c>
      <c r="G16" s="56">
        <v>4.9406564584124654E-324</v>
      </c>
      <c r="H16" s="56">
        <v>4.9406564584124654E-324</v>
      </c>
      <c r="I16" s="56">
        <v>4.9406564584124654E-324</v>
      </c>
      <c r="J16" s="56">
        <v>4.9406564584124654E-324</v>
      </c>
      <c r="K16" s="56">
        <v>4.9406564584124654E-324</v>
      </c>
      <c r="L16" s="56">
        <v>4.9406564584124654E-324</v>
      </c>
      <c r="M16" s="56">
        <v>4.9406564584124654E-324</v>
      </c>
      <c r="N16" s="56">
        <v>4.9406564584124654E-324</v>
      </c>
      <c r="O16" s="56">
        <v>4.9406564584124654E-324</v>
      </c>
      <c r="P16" s="57">
        <v>1.4821969375237396E-323</v>
      </c>
      <c r="Q16" s="189" t="s">
        <v>322</v>
      </c>
    </row>
    <row r="17" spans="1:17" ht="14.4" customHeight="1" x14ac:dyDescent="0.3">
      <c r="A17" s="19" t="s">
        <v>45</v>
      </c>
      <c r="B17" s="55">
        <v>351.66175781058598</v>
      </c>
      <c r="C17" s="56">
        <v>29.305146484215001</v>
      </c>
      <c r="D17" s="56">
        <v>18.300989999999999</v>
      </c>
      <c r="E17" s="56">
        <v>78.216949999999997</v>
      </c>
      <c r="F17" s="56">
        <v>2.69814</v>
      </c>
      <c r="G17" s="56">
        <v>4.9406564584124654E-324</v>
      </c>
      <c r="H17" s="56">
        <v>4.9406564584124654E-324</v>
      </c>
      <c r="I17" s="56">
        <v>4.9406564584124654E-324</v>
      </c>
      <c r="J17" s="56">
        <v>4.9406564584124654E-324</v>
      </c>
      <c r="K17" s="56">
        <v>4.9406564584124654E-324</v>
      </c>
      <c r="L17" s="56">
        <v>4.9406564584124654E-324</v>
      </c>
      <c r="M17" s="56">
        <v>4.9406564584124654E-324</v>
      </c>
      <c r="N17" s="56">
        <v>4.9406564584124654E-324</v>
      </c>
      <c r="O17" s="56">
        <v>4.9406564584124654E-324</v>
      </c>
      <c r="P17" s="57">
        <v>99.216080000000005</v>
      </c>
      <c r="Q17" s="189">
        <v>1.1285398858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9.1389999999999993</v>
      </c>
      <c r="E18" s="56">
        <v>4.9406564584124654E-324</v>
      </c>
      <c r="F18" s="56">
        <v>4.7679999999999998</v>
      </c>
      <c r="G18" s="56">
        <v>4.9406564584124654E-324</v>
      </c>
      <c r="H18" s="56">
        <v>4.9406564584124654E-324</v>
      </c>
      <c r="I18" s="56">
        <v>4.9406564584124654E-324</v>
      </c>
      <c r="J18" s="56">
        <v>4.9406564584124654E-324</v>
      </c>
      <c r="K18" s="56">
        <v>4.9406564584124654E-324</v>
      </c>
      <c r="L18" s="56">
        <v>4.9406564584124654E-324</v>
      </c>
      <c r="M18" s="56">
        <v>4.9406564584124654E-324</v>
      </c>
      <c r="N18" s="56">
        <v>4.9406564584124654E-324</v>
      </c>
      <c r="O18" s="56">
        <v>4.9406564584124654E-324</v>
      </c>
      <c r="P18" s="57">
        <v>13.907</v>
      </c>
      <c r="Q18" s="189" t="s">
        <v>322</v>
      </c>
    </row>
    <row r="19" spans="1:17" ht="14.4" customHeight="1" x14ac:dyDescent="0.3">
      <c r="A19" s="19" t="s">
        <v>47</v>
      </c>
      <c r="B19" s="55">
        <v>891.49599297832299</v>
      </c>
      <c r="C19" s="56">
        <v>74.291332748193</v>
      </c>
      <c r="D19" s="56">
        <v>64.847340000000003</v>
      </c>
      <c r="E19" s="56">
        <v>22.09104</v>
      </c>
      <c r="F19" s="56">
        <v>65.280659999999997</v>
      </c>
      <c r="G19" s="56">
        <v>4.9406564584124654E-324</v>
      </c>
      <c r="H19" s="56">
        <v>4.9406564584124654E-324</v>
      </c>
      <c r="I19" s="56">
        <v>4.9406564584124654E-324</v>
      </c>
      <c r="J19" s="56">
        <v>4.9406564584124654E-324</v>
      </c>
      <c r="K19" s="56">
        <v>4.9406564584124654E-324</v>
      </c>
      <c r="L19" s="56">
        <v>4.9406564584124654E-324</v>
      </c>
      <c r="M19" s="56">
        <v>4.9406564584124654E-324</v>
      </c>
      <c r="N19" s="56">
        <v>4.9406564584124654E-324</v>
      </c>
      <c r="O19" s="56">
        <v>4.9406564584124654E-324</v>
      </c>
      <c r="P19" s="57">
        <v>152.21904000000001</v>
      </c>
      <c r="Q19" s="189">
        <v>0.68298249772899999</v>
      </c>
    </row>
    <row r="20" spans="1:17" ht="14.4" customHeight="1" x14ac:dyDescent="0.3">
      <c r="A20" s="19" t="s">
        <v>48</v>
      </c>
      <c r="B20" s="55">
        <v>30448.149869839501</v>
      </c>
      <c r="C20" s="56">
        <v>2537.3458224866299</v>
      </c>
      <c r="D20" s="56">
        <v>2493.9939200000099</v>
      </c>
      <c r="E20" s="56">
        <v>2588.5005000000001</v>
      </c>
      <c r="F20" s="56">
        <v>2620.4636399999999</v>
      </c>
      <c r="G20" s="56">
        <v>4.9406564584124654E-324</v>
      </c>
      <c r="H20" s="56">
        <v>4.9406564584124654E-324</v>
      </c>
      <c r="I20" s="56">
        <v>4.9406564584124654E-324</v>
      </c>
      <c r="J20" s="56">
        <v>4.9406564584124654E-324</v>
      </c>
      <c r="K20" s="56">
        <v>4.9406564584124654E-324</v>
      </c>
      <c r="L20" s="56">
        <v>4.9406564584124654E-324</v>
      </c>
      <c r="M20" s="56">
        <v>4.9406564584124654E-324</v>
      </c>
      <c r="N20" s="56">
        <v>4.9406564584124654E-324</v>
      </c>
      <c r="O20" s="56">
        <v>4.9406564584124654E-324</v>
      </c>
      <c r="P20" s="57">
        <v>7702.9580600000099</v>
      </c>
      <c r="Q20" s="189">
        <v>1.011944317527</v>
      </c>
    </row>
    <row r="21" spans="1:17" ht="14.4" customHeight="1" x14ac:dyDescent="0.3">
      <c r="A21" s="20" t="s">
        <v>49</v>
      </c>
      <c r="B21" s="55">
        <v>1811.98979524115</v>
      </c>
      <c r="C21" s="56">
        <v>150.999149603429</v>
      </c>
      <c r="D21" s="56">
        <v>156.746000000001</v>
      </c>
      <c r="E21" s="56">
        <v>156.744</v>
      </c>
      <c r="F21" s="56">
        <v>156.74199999999999</v>
      </c>
      <c r="G21" s="56">
        <v>1.4821969375237396E-323</v>
      </c>
      <c r="H21" s="56">
        <v>1.4821969375237396E-323</v>
      </c>
      <c r="I21" s="56">
        <v>1.4821969375237396E-323</v>
      </c>
      <c r="J21" s="56">
        <v>1.4821969375237396E-323</v>
      </c>
      <c r="K21" s="56">
        <v>1.4821969375237396E-323</v>
      </c>
      <c r="L21" s="56">
        <v>1.4821969375237396E-323</v>
      </c>
      <c r="M21" s="56">
        <v>1.4821969375237396E-323</v>
      </c>
      <c r="N21" s="56">
        <v>1.4821969375237396E-323</v>
      </c>
      <c r="O21" s="56">
        <v>1.4821969375237396E-323</v>
      </c>
      <c r="P21" s="57">
        <v>470.23200000000099</v>
      </c>
      <c r="Q21" s="189">
        <v>1.038045581128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4.9406564584124654E-324</v>
      </c>
      <c r="E22" s="56">
        <v>4.9406564584124654E-324</v>
      </c>
      <c r="F22" s="56">
        <v>4.9406564584124654E-324</v>
      </c>
      <c r="G22" s="56">
        <v>4.9406564584124654E-324</v>
      </c>
      <c r="H22" s="56">
        <v>4.9406564584124654E-324</v>
      </c>
      <c r="I22" s="56">
        <v>4.9406564584124654E-324</v>
      </c>
      <c r="J22" s="56">
        <v>4.9406564584124654E-324</v>
      </c>
      <c r="K22" s="56">
        <v>4.9406564584124654E-324</v>
      </c>
      <c r="L22" s="56">
        <v>4.9406564584124654E-324</v>
      </c>
      <c r="M22" s="56">
        <v>4.9406564584124654E-324</v>
      </c>
      <c r="N22" s="56">
        <v>4.9406564584124654E-324</v>
      </c>
      <c r="O22" s="56">
        <v>4.9406564584124654E-324</v>
      </c>
      <c r="P22" s="57">
        <v>1.4821969375237396E-323</v>
      </c>
      <c r="Q22" s="189" t="s">
        <v>322</v>
      </c>
    </row>
    <row r="23" spans="1:17" ht="14.4" customHeight="1" x14ac:dyDescent="0.3">
      <c r="A23" s="20" t="s">
        <v>51</v>
      </c>
      <c r="B23" s="55">
        <v>1.9762625833649862E-323</v>
      </c>
      <c r="C23" s="56">
        <v>0</v>
      </c>
      <c r="D23" s="56">
        <v>1.9762625833649862E-323</v>
      </c>
      <c r="E23" s="56">
        <v>1.9762625833649862E-323</v>
      </c>
      <c r="F23" s="56">
        <v>1.9762625833649862E-323</v>
      </c>
      <c r="G23" s="56">
        <v>1.9762625833649862E-323</v>
      </c>
      <c r="H23" s="56">
        <v>1.9762625833649862E-323</v>
      </c>
      <c r="I23" s="56">
        <v>1.9762625833649862E-323</v>
      </c>
      <c r="J23" s="56">
        <v>1.9762625833649862E-323</v>
      </c>
      <c r="K23" s="56">
        <v>1.9762625833649862E-323</v>
      </c>
      <c r="L23" s="56">
        <v>1.9762625833649862E-323</v>
      </c>
      <c r="M23" s="56">
        <v>1.9762625833649862E-323</v>
      </c>
      <c r="N23" s="56">
        <v>1.9762625833649862E-323</v>
      </c>
      <c r="O23" s="56">
        <v>1.9762625833649862E-323</v>
      </c>
      <c r="P23" s="57">
        <v>5.9287877500949585E-323</v>
      </c>
      <c r="Q23" s="189" t="s">
        <v>322</v>
      </c>
    </row>
    <row r="24" spans="1:17" ht="14.4" customHeight="1" x14ac:dyDescent="0.3">
      <c r="A24" s="20" t="s">
        <v>52</v>
      </c>
      <c r="B24" s="55">
        <v>7.2759576141834308E-12</v>
      </c>
      <c r="C24" s="56">
        <v>4.5474735088646402E-13</v>
      </c>
      <c r="D24" s="56">
        <v>10.75163</v>
      </c>
      <c r="E24" s="56">
        <v>8.7000000000000001E-4</v>
      </c>
      <c r="F24" s="56">
        <v>7.9702299999989998</v>
      </c>
      <c r="G24" s="56">
        <v>-1.0869444208507424E-322</v>
      </c>
      <c r="H24" s="56">
        <v>-1.0869444208507424E-322</v>
      </c>
      <c r="I24" s="56">
        <v>-1.0869444208507424E-322</v>
      </c>
      <c r="J24" s="56">
        <v>-1.0869444208507424E-322</v>
      </c>
      <c r="K24" s="56">
        <v>-1.0869444208507424E-322</v>
      </c>
      <c r="L24" s="56">
        <v>-1.0869444208507424E-322</v>
      </c>
      <c r="M24" s="56">
        <v>-1.0869444208507424E-322</v>
      </c>
      <c r="N24" s="56">
        <v>-1.0869444208507424E-322</v>
      </c>
      <c r="O24" s="56">
        <v>-1.0869444208507424E-322</v>
      </c>
      <c r="P24" s="57">
        <v>18.722729999999999</v>
      </c>
      <c r="Q24" s="189"/>
    </row>
    <row r="25" spans="1:17" ht="14.4" customHeight="1" x14ac:dyDescent="0.3">
      <c r="A25" s="21" t="s">
        <v>53</v>
      </c>
      <c r="B25" s="58">
        <v>48386.015437951501</v>
      </c>
      <c r="C25" s="59">
        <v>4032.1679531626301</v>
      </c>
      <c r="D25" s="59">
        <v>3603.5951300000202</v>
      </c>
      <c r="E25" s="59">
        <v>4038.9765000000002</v>
      </c>
      <c r="F25" s="59">
        <v>4414.4896799999997</v>
      </c>
      <c r="G25" s="59">
        <v>4.9406564584124654E-324</v>
      </c>
      <c r="H25" s="59">
        <v>4.9406564584124654E-324</v>
      </c>
      <c r="I25" s="59">
        <v>4.9406564584124654E-324</v>
      </c>
      <c r="J25" s="59">
        <v>4.9406564584124654E-324</v>
      </c>
      <c r="K25" s="59">
        <v>4.9406564584124654E-324</v>
      </c>
      <c r="L25" s="59">
        <v>4.9406564584124654E-324</v>
      </c>
      <c r="M25" s="59">
        <v>4.9406564584124654E-324</v>
      </c>
      <c r="N25" s="59">
        <v>4.9406564584124654E-324</v>
      </c>
      <c r="O25" s="59">
        <v>4.9406564584124654E-324</v>
      </c>
      <c r="P25" s="60">
        <v>12057.061309999999</v>
      </c>
      <c r="Q25" s="190">
        <v>0.99673934304099998</v>
      </c>
    </row>
    <row r="26" spans="1:17" ht="14.4" customHeight="1" x14ac:dyDescent="0.3">
      <c r="A26" s="19" t="s">
        <v>54</v>
      </c>
      <c r="B26" s="55">
        <v>4619.0160192798403</v>
      </c>
      <c r="C26" s="56">
        <v>384.91800160665298</v>
      </c>
      <c r="D26" s="56">
        <v>471.54777999999999</v>
      </c>
      <c r="E26" s="56">
        <v>486.41426999999999</v>
      </c>
      <c r="F26" s="56">
        <v>515.77937999999995</v>
      </c>
      <c r="G26" s="56">
        <v>4.9406564584124654E-324</v>
      </c>
      <c r="H26" s="56">
        <v>4.9406564584124654E-324</v>
      </c>
      <c r="I26" s="56">
        <v>4.9406564584124654E-324</v>
      </c>
      <c r="J26" s="56">
        <v>4.9406564584124654E-324</v>
      </c>
      <c r="K26" s="56">
        <v>4.9406564584124654E-324</v>
      </c>
      <c r="L26" s="56">
        <v>4.9406564584124654E-324</v>
      </c>
      <c r="M26" s="56">
        <v>4.9406564584124654E-324</v>
      </c>
      <c r="N26" s="56">
        <v>4.9406564584124654E-324</v>
      </c>
      <c r="O26" s="56">
        <v>4.9406564584124654E-324</v>
      </c>
      <c r="P26" s="57">
        <v>1473.74143</v>
      </c>
      <c r="Q26" s="189">
        <v>1.276238422944</v>
      </c>
    </row>
    <row r="27" spans="1:17" ht="14.4" customHeight="1" x14ac:dyDescent="0.3">
      <c r="A27" s="22" t="s">
        <v>55</v>
      </c>
      <c r="B27" s="58">
        <v>53005.031457231402</v>
      </c>
      <c r="C27" s="59">
        <v>4417.0859547692799</v>
      </c>
      <c r="D27" s="59">
        <v>4075.14291000002</v>
      </c>
      <c r="E27" s="59">
        <v>4525.39077</v>
      </c>
      <c r="F27" s="59">
        <v>4930.2690599999996</v>
      </c>
      <c r="G27" s="59">
        <v>9.8813129168249309E-324</v>
      </c>
      <c r="H27" s="59">
        <v>9.8813129168249309E-324</v>
      </c>
      <c r="I27" s="59">
        <v>9.8813129168249309E-324</v>
      </c>
      <c r="J27" s="59">
        <v>9.8813129168249309E-324</v>
      </c>
      <c r="K27" s="59">
        <v>9.8813129168249309E-324</v>
      </c>
      <c r="L27" s="59">
        <v>9.8813129168249309E-324</v>
      </c>
      <c r="M27" s="59">
        <v>9.8813129168249309E-324</v>
      </c>
      <c r="N27" s="59">
        <v>9.8813129168249309E-324</v>
      </c>
      <c r="O27" s="59">
        <v>9.8813129168249309E-324</v>
      </c>
      <c r="P27" s="60">
        <v>13530.802739999999</v>
      </c>
      <c r="Q27" s="190">
        <v>1.0210957237830001</v>
      </c>
    </row>
    <row r="28" spans="1:17" ht="14.4" customHeight="1" x14ac:dyDescent="0.3">
      <c r="A28" s="20" t="s">
        <v>56</v>
      </c>
      <c r="B28" s="55">
        <v>0.73186149742499995</v>
      </c>
      <c r="C28" s="56">
        <v>6.0988458118000001E-2</v>
      </c>
      <c r="D28" s="56">
        <v>6.5299999999999997E-2</v>
      </c>
      <c r="E28" s="56">
        <v>7.8509999999999996E-2</v>
      </c>
      <c r="F28" s="56">
        <v>0.11075</v>
      </c>
      <c r="G28" s="56">
        <v>1.2351641146031164E-322</v>
      </c>
      <c r="H28" s="56">
        <v>1.2351641146031164E-322</v>
      </c>
      <c r="I28" s="56">
        <v>1.2351641146031164E-322</v>
      </c>
      <c r="J28" s="56">
        <v>1.2351641146031164E-322</v>
      </c>
      <c r="K28" s="56">
        <v>1.2351641146031164E-322</v>
      </c>
      <c r="L28" s="56">
        <v>1.2351641146031164E-322</v>
      </c>
      <c r="M28" s="56">
        <v>1.2351641146031164E-322</v>
      </c>
      <c r="N28" s="56">
        <v>1.2351641146031164E-322</v>
      </c>
      <c r="O28" s="56">
        <v>1.2351641146031164E-322</v>
      </c>
      <c r="P28" s="57">
        <v>0.25456000000000001</v>
      </c>
      <c r="Q28" s="189">
        <v>1.391301501147</v>
      </c>
    </row>
    <row r="29" spans="1:17" ht="14.4" customHeight="1" x14ac:dyDescent="0.3">
      <c r="A29" s="20" t="s">
        <v>57</v>
      </c>
      <c r="B29" s="55">
        <v>9.8813129168249309E-324</v>
      </c>
      <c r="C29" s="56">
        <v>0</v>
      </c>
      <c r="D29" s="56">
        <v>9.8813129168249309E-324</v>
      </c>
      <c r="E29" s="56">
        <v>9.8813129168249309E-324</v>
      </c>
      <c r="F29" s="56">
        <v>9.8813129168249309E-324</v>
      </c>
      <c r="G29" s="56">
        <v>9.8813129168249309E-324</v>
      </c>
      <c r="H29" s="56">
        <v>9.8813129168249309E-324</v>
      </c>
      <c r="I29" s="56">
        <v>9.8813129168249309E-324</v>
      </c>
      <c r="J29" s="56">
        <v>9.8813129168249309E-324</v>
      </c>
      <c r="K29" s="56">
        <v>9.8813129168249309E-324</v>
      </c>
      <c r="L29" s="56">
        <v>9.8813129168249309E-324</v>
      </c>
      <c r="M29" s="56">
        <v>9.8813129168249309E-324</v>
      </c>
      <c r="N29" s="56">
        <v>9.8813129168249309E-324</v>
      </c>
      <c r="O29" s="56">
        <v>9.8813129168249309E-324</v>
      </c>
      <c r="P29" s="57">
        <v>2.9643938750474793E-323</v>
      </c>
      <c r="Q29" s="189" t="s">
        <v>322</v>
      </c>
    </row>
    <row r="30" spans="1:17" ht="14.4" customHeight="1" x14ac:dyDescent="0.3">
      <c r="A30" s="20" t="s">
        <v>58</v>
      </c>
      <c r="B30" s="55">
        <v>4.9406564584124654E-323</v>
      </c>
      <c r="C30" s="56">
        <v>0</v>
      </c>
      <c r="D30" s="56">
        <v>4.9406564584124654E-323</v>
      </c>
      <c r="E30" s="56">
        <v>4.9406564584124654E-323</v>
      </c>
      <c r="F30" s="56">
        <v>4.9406564584124654E-323</v>
      </c>
      <c r="G30" s="56">
        <v>4.9406564584124654E-323</v>
      </c>
      <c r="H30" s="56">
        <v>4.9406564584124654E-323</v>
      </c>
      <c r="I30" s="56">
        <v>4.9406564584124654E-323</v>
      </c>
      <c r="J30" s="56">
        <v>4.9406564584124654E-323</v>
      </c>
      <c r="K30" s="56">
        <v>4.9406564584124654E-323</v>
      </c>
      <c r="L30" s="56">
        <v>4.9406564584124654E-323</v>
      </c>
      <c r="M30" s="56">
        <v>4.9406564584124654E-323</v>
      </c>
      <c r="N30" s="56">
        <v>4.9406564584124654E-323</v>
      </c>
      <c r="O30" s="56">
        <v>4.9406564584124654E-323</v>
      </c>
      <c r="P30" s="57">
        <v>1.4821969375237396E-322</v>
      </c>
      <c r="Q30" s="189">
        <v>0</v>
      </c>
    </row>
    <row r="31" spans="1:17" ht="14.4" customHeight="1" thickBot="1" x14ac:dyDescent="0.35">
      <c r="A31" s="23" t="s">
        <v>59</v>
      </c>
      <c r="B31" s="61">
        <v>1.9762625833649862E-323</v>
      </c>
      <c r="C31" s="62">
        <v>0</v>
      </c>
      <c r="D31" s="62">
        <v>2.4703282292062327E-323</v>
      </c>
      <c r="E31" s="62">
        <v>2.4703282292062327E-323</v>
      </c>
      <c r="F31" s="62">
        <v>2.4703282292062327E-323</v>
      </c>
      <c r="G31" s="62">
        <v>2.4703282292062327E-323</v>
      </c>
      <c r="H31" s="62">
        <v>2.4703282292062327E-323</v>
      </c>
      <c r="I31" s="62">
        <v>2.4703282292062327E-323</v>
      </c>
      <c r="J31" s="62">
        <v>2.4703282292062327E-323</v>
      </c>
      <c r="K31" s="62">
        <v>2.4703282292062327E-323</v>
      </c>
      <c r="L31" s="62">
        <v>2.4703282292062327E-323</v>
      </c>
      <c r="M31" s="62">
        <v>2.4703282292062327E-323</v>
      </c>
      <c r="N31" s="62">
        <v>2.4703282292062327E-323</v>
      </c>
      <c r="O31" s="62">
        <v>2.4703282292062327E-323</v>
      </c>
      <c r="P31" s="63">
        <v>7.4109846876186982E-323</v>
      </c>
      <c r="Q31" s="191" t="s">
        <v>322</v>
      </c>
    </row>
    <row r="32" spans="1:17" ht="14.4" customHeight="1" x14ac:dyDescent="0.3">
      <c r="B32" s="258"/>
      <c r="C32" s="258"/>
      <c r="D32" s="258"/>
      <c r="E32" s="258"/>
      <c r="F32" s="258"/>
      <c r="G32" s="258"/>
      <c r="H32" s="258"/>
      <c r="I32" s="258"/>
      <c r="J32" s="258"/>
      <c r="K32" s="258"/>
      <c r="L32" s="258"/>
      <c r="M32" s="258"/>
      <c r="N32" s="258"/>
      <c r="O32" s="258"/>
      <c r="P32" s="258"/>
      <c r="Q32" s="258"/>
    </row>
    <row r="33" spans="1:17" ht="14.4" customHeight="1" x14ac:dyDescent="0.3">
      <c r="A33" s="229" t="s">
        <v>203</v>
      </c>
      <c r="B33" s="259"/>
      <c r="C33" s="259"/>
      <c r="D33" s="259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</row>
    <row r="34" spans="1:17" ht="14.4" customHeight="1" x14ac:dyDescent="0.3">
      <c r="A34" s="263" t="s">
        <v>235</v>
      </c>
      <c r="B34" s="259"/>
      <c r="C34" s="259"/>
      <c r="D34" s="259"/>
      <c r="E34" s="259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</row>
    <row r="35" spans="1:17" ht="14.4" customHeight="1" x14ac:dyDescent="0.3">
      <c r="A35" s="264" t="s">
        <v>60</v>
      </c>
      <c r="B35" s="259"/>
      <c r="C35" s="259"/>
      <c r="D35" s="259"/>
      <c r="E35" s="259"/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7" customWidth="1"/>
    <col min="2" max="11" width="10" style="257" customWidth="1"/>
    <col min="12" max="16384" width="8.88671875" style="257"/>
  </cols>
  <sheetData>
    <row r="1" spans="1:11" s="64" customFormat="1" ht="18.600000000000001" customHeight="1" thickBot="1" x14ac:dyDescent="0.4">
      <c r="A1" s="467" t="s">
        <v>61</v>
      </c>
      <c r="B1" s="467"/>
      <c r="C1" s="467"/>
      <c r="D1" s="467"/>
      <c r="E1" s="467"/>
      <c r="F1" s="467"/>
      <c r="G1" s="467"/>
      <c r="H1" s="472"/>
      <c r="I1" s="472"/>
      <c r="J1" s="472"/>
      <c r="K1" s="472"/>
    </row>
    <row r="2" spans="1:11" s="64" customFormat="1" ht="14.4" customHeight="1" thickBot="1" x14ac:dyDescent="0.35">
      <c r="A2" s="386" t="s">
        <v>321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68" t="s">
        <v>62</v>
      </c>
      <c r="C3" s="469"/>
      <c r="D3" s="469"/>
      <c r="E3" s="469"/>
      <c r="F3" s="475" t="s">
        <v>63</v>
      </c>
      <c r="G3" s="469"/>
      <c r="H3" s="469"/>
      <c r="I3" s="469"/>
      <c r="J3" s="469"/>
      <c r="K3" s="476"/>
    </row>
    <row r="4" spans="1:11" ht="14.4" customHeight="1" x14ac:dyDescent="0.3">
      <c r="A4" s="102"/>
      <c r="B4" s="473"/>
      <c r="C4" s="474"/>
      <c r="D4" s="474"/>
      <c r="E4" s="474"/>
      <c r="F4" s="477" t="s">
        <v>226</v>
      </c>
      <c r="G4" s="479" t="s">
        <v>64</v>
      </c>
      <c r="H4" s="269" t="s">
        <v>184</v>
      </c>
      <c r="I4" s="477" t="s">
        <v>65</v>
      </c>
      <c r="J4" s="479" t="s">
        <v>228</v>
      </c>
      <c r="K4" s="480" t="s">
        <v>229</v>
      </c>
    </row>
    <row r="5" spans="1:11" ht="42" thickBot="1" x14ac:dyDescent="0.35">
      <c r="A5" s="103"/>
      <c r="B5" s="28" t="s">
        <v>222</v>
      </c>
      <c r="C5" s="29" t="s">
        <v>223</v>
      </c>
      <c r="D5" s="30" t="s">
        <v>224</v>
      </c>
      <c r="E5" s="30" t="s">
        <v>225</v>
      </c>
      <c r="F5" s="478"/>
      <c r="G5" s="478"/>
      <c r="H5" s="29" t="s">
        <v>227</v>
      </c>
      <c r="I5" s="478"/>
      <c r="J5" s="478"/>
      <c r="K5" s="481"/>
    </row>
    <row r="6" spans="1:11" ht="14.4" customHeight="1" thickBot="1" x14ac:dyDescent="0.35">
      <c r="A6" s="603" t="s">
        <v>324</v>
      </c>
      <c r="B6" s="585">
        <v>49090.116234739296</v>
      </c>
      <c r="C6" s="585">
        <v>51580.890670000001</v>
      </c>
      <c r="D6" s="586">
        <v>2490.7744352606601</v>
      </c>
      <c r="E6" s="587">
        <v>1.0507388172259999</v>
      </c>
      <c r="F6" s="585">
        <v>48386.015437951501</v>
      </c>
      <c r="G6" s="586">
        <v>12096.503859487901</v>
      </c>
      <c r="H6" s="588">
        <v>4414.4896799999997</v>
      </c>
      <c r="I6" s="585">
        <v>12057.061309999999</v>
      </c>
      <c r="J6" s="586">
        <v>-39.442549487858997</v>
      </c>
      <c r="K6" s="589">
        <v>0.24918483576</v>
      </c>
    </row>
    <row r="7" spans="1:11" ht="14.4" customHeight="1" thickBot="1" x14ac:dyDescent="0.35">
      <c r="A7" s="604" t="s">
        <v>325</v>
      </c>
      <c r="B7" s="585">
        <v>16032.465254189299</v>
      </c>
      <c r="C7" s="585">
        <v>15450.136640000001</v>
      </c>
      <c r="D7" s="586">
        <v>-582.32861418934795</v>
      </c>
      <c r="E7" s="587">
        <v>0.96367816146999996</v>
      </c>
      <c r="F7" s="585">
        <v>14882.718022081899</v>
      </c>
      <c r="G7" s="586">
        <v>3720.6795055204798</v>
      </c>
      <c r="H7" s="588">
        <v>1556.5672400000001</v>
      </c>
      <c r="I7" s="585">
        <v>3599.8071300000001</v>
      </c>
      <c r="J7" s="586">
        <v>-120.872375520473</v>
      </c>
      <c r="K7" s="589">
        <v>0.24187834000799999</v>
      </c>
    </row>
    <row r="8" spans="1:11" ht="14.4" customHeight="1" thickBot="1" x14ac:dyDescent="0.35">
      <c r="A8" s="605" t="s">
        <v>326</v>
      </c>
      <c r="B8" s="585">
        <v>15684.8734408826</v>
      </c>
      <c r="C8" s="585">
        <v>15111.33064</v>
      </c>
      <c r="D8" s="586">
        <v>-573.54280088260703</v>
      </c>
      <c r="E8" s="587">
        <v>0.96343338038100002</v>
      </c>
      <c r="F8" s="585">
        <v>14559.939173090501</v>
      </c>
      <c r="G8" s="586">
        <v>3639.9847932726202</v>
      </c>
      <c r="H8" s="588">
        <v>1529.5152399999999</v>
      </c>
      <c r="I8" s="585">
        <v>3507.1081300000001</v>
      </c>
      <c r="J8" s="586">
        <v>-132.876663272618</v>
      </c>
      <c r="K8" s="589">
        <v>0.24087381741800001</v>
      </c>
    </row>
    <row r="9" spans="1:11" ht="14.4" customHeight="1" thickBot="1" x14ac:dyDescent="0.35">
      <c r="A9" s="606" t="s">
        <v>327</v>
      </c>
      <c r="B9" s="590">
        <v>4.9406564584124654E-324</v>
      </c>
      <c r="C9" s="590">
        <v>5.8100000000000001E-3</v>
      </c>
      <c r="D9" s="591">
        <v>5.8100000000000001E-3</v>
      </c>
      <c r="E9" s="592" t="s">
        <v>328</v>
      </c>
      <c r="F9" s="590">
        <v>0</v>
      </c>
      <c r="G9" s="591">
        <v>0</v>
      </c>
      <c r="H9" s="593">
        <v>2.3000000000000001E-4</v>
      </c>
      <c r="I9" s="590">
        <v>7.2999999899999997E-4</v>
      </c>
      <c r="J9" s="591">
        <v>7.2999999899999997E-4</v>
      </c>
      <c r="K9" s="594" t="s">
        <v>322</v>
      </c>
    </row>
    <row r="10" spans="1:11" ht="14.4" customHeight="1" thickBot="1" x14ac:dyDescent="0.35">
      <c r="A10" s="607" t="s">
        <v>329</v>
      </c>
      <c r="B10" s="585">
        <v>4.9406564584124654E-324</v>
      </c>
      <c r="C10" s="585">
        <v>5.8100000000000001E-3</v>
      </c>
      <c r="D10" s="586">
        <v>5.8100000000000001E-3</v>
      </c>
      <c r="E10" s="595" t="s">
        <v>328</v>
      </c>
      <c r="F10" s="585">
        <v>0</v>
      </c>
      <c r="G10" s="586">
        <v>0</v>
      </c>
      <c r="H10" s="588">
        <v>2.3000000000000001E-4</v>
      </c>
      <c r="I10" s="585">
        <v>7.2999999899999997E-4</v>
      </c>
      <c r="J10" s="586">
        <v>7.2999999899999997E-4</v>
      </c>
      <c r="K10" s="596" t="s">
        <v>322</v>
      </c>
    </row>
    <row r="11" spans="1:11" ht="14.4" customHeight="1" thickBot="1" x14ac:dyDescent="0.35">
      <c r="A11" s="606" t="s">
        <v>330</v>
      </c>
      <c r="B11" s="590">
        <v>7593.9190081377801</v>
      </c>
      <c r="C11" s="590">
        <v>7492.75306</v>
      </c>
      <c r="D11" s="591">
        <v>-101.165948137776</v>
      </c>
      <c r="E11" s="597">
        <v>0.98667803172099999</v>
      </c>
      <c r="F11" s="590">
        <v>7054.8118512913497</v>
      </c>
      <c r="G11" s="591">
        <v>1763.7029628228399</v>
      </c>
      <c r="H11" s="593">
        <v>834.30165999999997</v>
      </c>
      <c r="I11" s="590">
        <v>1776.5508400000001</v>
      </c>
      <c r="J11" s="591">
        <v>12.847877177162999</v>
      </c>
      <c r="K11" s="598">
        <v>0.25182115093099999</v>
      </c>
    </row>
    <row r="12" spans="1:11" ht="14.4" customHeight="1" thickBot="1" x14ac:dyDescent="0.35">
      <c r="A12" s="607" t="s">
        <v>331</v>
      </c>
      <c r="B12" s="585">
        <v>3995.9980111987302</v>
      </c>
      <c r="C12" s="585">
        <v>3482.0259999999998</v>
      </c>
      <c r="D12" s="586">
        <v>-513.97201119872705</v>
      </c>
      <c r="E12" s="587">
        <v>0.87137831156099999</v>
      </c>
      <c r="F12" s="585">
        <v>3445.00978985852</v>
      </c>
      <c r="G12" s="586">
        <v>861.25244746463</v>
      </c>
      <c r="H12" s="588">
        <v>286.64456999999999</v>
      </c>
      <c r="I12" s="585">
        <v>676.28545000000099</v>
      </c>
      <c r="J12" s="586">
        <v>-184.96699746463</v>
      </c>
      <c r="K12" s="589">
        <v>0.19630871644799999</v>
      </c>
    </row>
    <row r="13" spans="1:11" ht="14.4" customHeight="1" thickBot="1" x14ac:dyDescent="0.35">
      <c r="A13" s="607" t="s">
        <v>332</v>
      </c>
      <c r="B13" s="585">
        <v>1439.5347154585399</v>
      </c>
      <c r="C13" s="585">
        <v>1543.90139</v>
      </c>
      <c r="D13" s="586">
        <v>104.366674541458</v>
      </c>
      <c r="E13" s="587">
        <v>1.072500283196</v>
      </c>
      <c r="F13" s="585">
        <v>1541.5947783716099</v>
      </c>
      <c r="G13" s="586">
        <v>385.39869459290202</v>
      </c>
      <c r="H13" s="588">
        <v>138.2706</v>
      </c>
      <c r="I13" s="585">
        <v>364.98273999999998</v>
      </c>
      <c r="J13" s="586">
        <v>-20.415954592900999</v>
      </c>
      <c r="K13" s="589">
        <v>0.23675660109900001</v>
      </c>
    </row>
    <row r="14" spans="1:11" ht="14.4" customHeight="1" thickBot="1" x14ac:dyDescent="0.35">
      <c r="A14" s="607" t="s">
        <v>333</v>
      </c>
      <c r="B14" s="585">
        <v>63.626758242942003</v>
      </c>
      <c r="C14" s="585">
        <v>27.062760000000001</v>
      </c>
      <c r="D14" s="586">
        <v>-36.563998242941999</v>
      </c>
      <c r="E14" s="587">
        <v>0.425336143901</v>
      </c>
      <c r="F14" s="585">
        <v>26.364851961125002</v>
      </c>
      <c r="G14" s="586">
        <v>6.5912129902809999</v>
      </c>
      <c r="H14" s="588">
        <v>4.9406564584124654E-324</v>
      </c>
      <c r="I14" s="585">
        <v>1.4821969375237396E-323</v>
      </c>
      <c r="J14" s="586">
        <v>-6.5912129902809999</v>
      </c>
      <c r="K14" s="589">
        <v>0</v>
      </c>
    </row>
    <row r="15" spans="1:11" ht="14.4" customHeight="1" thickBot="1" x14ac:dyDescent="0.35">
      <c r="A15" s="607" t="s">
        <v>334</v>
      </c>
      <c r="B15" s="585">
        <v>149.79259747347399</v>
      </c>
      <c r="C15" s="585">
        <v>360.54921000000002</v>
      </c>
      <c r="D15" s="586">
        <v>210.756612526526</v>
      </c>
      <c r="E15" s="587">
        <v>2.406989504697</v>
      </c>
      <c r="F15" s="585">
        <v>360.00316104062301</v>
      </c>
      <c r="G15" s="586">
        <v>90.000790260155</v>
      </c>
      <c r="H15" s="588">
        <v>16.566659999999999</v>
      </c>
      <c r="I15" s="585">
        <v>105.89060000000001</v>
      </c>
      <c r="J15" s="586">
        <v>15.889809739844001</v>
      </c>
      <c r="K15" s="589">
        <v>0.29413797282699999</v>
      </c>
    </row>
    <row r="16" spans="1:11" ht="14.4" customHeight="1" thickBot="1" x14ac:dyDescent="0.35">
      <c r="A16" s="607" t="s">
        <v>335</v>
      </c>
      <c r="B16" s="585">
        <v>67.663492218779993</v>
      </c>
      <c r="C16" s="585">
        <v>17.746980000000001</v>
      </c>
      <c r="D16" s="586">
        <v>-49.916512218779999</v>
      </c>
      <c r="E16" s="587">
        <v>0.262282944879</v>
      </c>
      <c r="F16" s="585">
        <v>17.999999999999002</v>
      </c>
      <c r="G16" s="586">
        <v>4.4999999999989999</v>
      </c>
      <c r="H16" s="588">
        <v>4.9406564584124654E-324</v>
      </c>
      <c r="I16" s="585">
        <v>1.4821969375237396E-323</v>
      </c>
      <c r="J16" s="586">
        <v>-4.4999999999989999</v>
      </c>
      <c r="K16" s="589">
        <v>0</v>
      </c>
    </row>
    <row r="17" spans="1:11" ht="14.4" customHeight="1" thickBot="1" x14ac:dyDescent="0.35">
      <c r="A17" s="607" t="s">
        <v>336</v>
      </c>
      <c r="B17" s="585">
        <v>1497.3038787042201</v>
      </c>
      <c r="C17" s="585">
        <v>1496.9118699999999</v>
      </c>
      <c r="D17" s="586">
        <v>-0.39200870421799999</v>
      </c>
      <c r="E17" s="587">
        <v>0.99973819028300004</v>
      </c>
      <c r="F17" s="585">
        <v>974.99072414135105</v>
      </c>
      <c r="G17" s="586">
        <v>243.74768103533799</v>
      </c>
      <c r="H17" s="588">
        <v>132.70829000000001</v>
      </c>
      <c r="I17" s="585">
        <v>319.27291000000002</v>
      </c>
      <c r="J17" s="586">
        <v>75.525228964662006</v>
      </c>
      <c r="K17" s="589">
        <v>0.32746251025200002</v>
      </c>
    </row>
    <row r="18" spans="1:11" ht="14.4" customHeight="1" thickBot="1" x14ac:dyDescent="0.35">
      <c r="A18" s="607" t="s">
        <v>337</v>
      </c>
      <c r="B18" s="585">
        <v>252.331954000873</v>
      </c>
      <c r="C18" s="585">
        <v>421.21330000000103</v>
      </c>
      <c r="D18" s="586">
        <v>168.88134599912701</v>
      </c>
      <c r="E18" s="587">
        <v>1.6692824405360001</v>
      </c>
      <c r="F18" s="585">
        <v>551.71064830074204</v>
      </c>
      <c r="G18" s="586">
        <v>137.92766207518599</v>
      </c>
      <c r="H18" s="588">
        <v>245.78057999999999</v>
      </c>
      <c r="I18" s="585">
        <v>272.51542000000001</v>
      </c>
      <c r="J18" s="586">
        <v>134.58775792481401</v>
      </c>
      <c r="K18" s="589">
        <v>0.49394627571400002</v>
      </c>
    </row>
    <row r="19" spans="1:11" ht="14.4" customHeight="1" thickBot="1" x14ac:dyDescent="0.35">
      <c r="A19" s="607" t="s">
        <v>338</v>
      </c>
      <c r="B19" s="585">
        <v>127.667600840219</v>
      </c>
      <c r="C19" s="585">
        <v>143.34155000000001</v>
      </c>
      <c r="D19" s="586">
        <v>15.673949159779999</v>
      </c>
      <c r="E19" s="587">
        <v>1.1227715493720001</v>
      </c>
      <c r="F19" s="585">
        <v>137.13789761737999</v>
      </c>
      <c r="G19" s="586">
        <v>34.284474404344003</v>
      </c>
      <c r="H19" s="588">
        <v>14.330959999999999</v>
      </c>
      <c r="I19" s="585">
        <v>37.603720000000003</v>
      </c>
      <c r="J19" s="586">
        <v>3.319245595655</v>
      </c>
      <c r="K19" s="589">
        <v>0.27420370775199998</v>
      </c>
    </row>
    <row r="20" spans="1:11" ht="14.4" customHeight="1" thickBot="1" x14ac:dyDescent="0.35">
      <c r="A20" s="606" t="s">
        <v>339</v>
      </c>
      <c r="B20" s="590">
        <v>3540.0635855801002</v>
      </c>
      <c r="C20" s="590">
        <v>3384.2579999999998</v>
      </c>
      <c r="D20" s="591">
        <v>-155.80558558010199</v>
      </c>
      <c r="E20" s="597">
        <v>0.95598791326300003</v>
      </c>
      <c r="F20" s="590">
        <v>3394.97988424399</v>
      </c>
      <c r="G20" s="591">
        <v>848.74497106099602</v>
      </c>
      <c r="H20" s="593">
        <v>417.29</v>
      </c>
      <c r="I20" s="590">
        <v>926.97300000000098</v>
      </c>
      <c r="J20" s="591">
        <v>78.228028939004005</v>
      </c>
      <c r="K20" s="598">
        <v>0.27304226581699997</v>
      </c>
    </row>
    <row r="21" spans="1:11" ht="14.4" customHeight="1" thickBot="1" x14ac:dyDescent="0.35">
      <c r="A21" s="607" t="s">
        <v>340</v>
      </c>
      <c r="B21" s="585">
        <v>3041.29174018909</v>
      </c>
      <c r="C21" s="585">
        <v>2928.0120000000002</v>
      </c>
      <c r="D21" s="586">
        <v>-113.279740189091</v>
      </c>
      <c r="E21" s="587">
        <v>0.96275275446499997</v>
      </c>
      <c r="F21" s="585">
        <v>2934.9826097956102</v>
      </c>
      <c r="G21" s="586">
        <v>733.745652448903</v>
      </c>
      <c r="H21" s="588">
        <v>367.274</v>
      </c>
      <c r="I21" s="585">
        <v>805.96900000000096</v>
      </c>
      <c r="J21" s="586">
        <v>72.223347551098001</v>
      </c>
      <c r="K21" s="589">
        <v>0.27460775995999998</v>
      </c>
    </row>
    <row r="22" spans="1:11" ht="14.4" customHeight="1" thickBot="1" x14ac:dyDescent="0.35">
      <c r="A22" s="607" t="s">
        <v>341</v>
      </c>
      <c r="B22" s="585">
        <v>498.77184539101103</v>
      </c>
      <c r="C22" s="585">
        <v>456.24599999999998</v>
      </c>
      <c r="D22" s="586">
        <v>-42.525845391011003</v>
      </c>
      <c r="E22" s="587">
        <v>0.91473888154600003</v>
      </c>
      <c r="F22" s="585">
        <v>459.99727444837498</v>
      </c>
      <c r="G22" s="586">
        <v>114.999318612094</v>
      </c>
      <c r="H22" s="588">
        <v>50.015999999999998</v>
      </c>
      <c r="I22" s="585">
        <v>121.004</v>
      </c>
      <c r="J22" s="586">
        <v>6.0046813879060004</v>
      </c>
      <c r="K22" s="589">
        <v>0.26305373253499997</v>
      </c>
    </row>
    <row r="23" spans="1:11" ht="14.4" customHeight="1" thickBot="1" x14ac:dyDescent="0.35">
      <c r="A23" s="606" t="s">
        <v>342</v>
      </c>
      <c r="B23" s="590">
        <v>3815.01892257497</v>
      </c>
      <c r="C23" s="590">
        <v>3613.6540799999998</v>
      </c>
      <c r="D23" s="591">
        <v>-201.36484257497099</v>
      </c>
      <c r="E23" s="597">
        <v>0.94721786531999996</v>
      </c>
      <c r="F23" s="590">
        <v>3543.2701150048802</v>
      </c>
      <c r="G23" s="591">
        <v>885.81752875122004</v>
      </c>
      <c r="H23" s="593">
        <v>213.06635</v>
      </c>
      <c r="I23" s="590">
        <v>652.03500000000099</v>
      </c>
      <c r="J23" s="591">
        <v>-233.78252875121899</v>
      </c>
      <c r="K23" s="598">
        <v>0.18402068677700001</v>
      </c>
    </row>
    <row r="24" spans="1:11" ht="14.4" customHeight="1" thickBot="1" x14ac:dyDescent="0.35">
      <c r="A24" s="607" t="s">
        <v>343</v>
      </c>
      <c r="B24" s="585">
        <v>372.49998328630301</v>
      </c>
      <c r="C24" s="585">
        <v>284.96645000000001</v>
      </c>
      <c r="D24" s="586">
        <v>-87.533533286302998</v>
      </c>
      <c r="E24" s="587">
        <v>0.76501063835200001</v>
      </c>
      <c r="F24" s="585">
        <v>509.96614817726402</v>
      </c>
      <c r="G24" s="586">
        <v>127.491537044316</v>
      </c>
      <c r="H24" s="588">
        <v>5.5766400000000003</v>
      </c>
      <c r="I24" s="585">
        <v>52.923319999999997</v>
      </c>
      <c r="J24" s="586">
        <v>-74.568217044316</v>
      </c>
      <c r="K24" s="589">
        <v>0.103778104074</v>
      </c>
    </row>
    <row r="25" spans="1:11" ht="14.4" customHeight="1" thickBot="1" x14ac:dyDescent="0.35">
      <c r="A25" s="607" t="s">
        <v>344</v>
      </c>
      <c r="B25" s="585">
        <v>0.94990943338099998</v>
      </c>
      <c r="C25" s="585">
        <v>0.73479000000000005</v>
      </c>
      <c r="D25" s="586">
        <v>-0.21511943338100001</v>
      </c>
      <c r="E25" s="587">
        <v>0.77353690170599998</v>
      </c>
      <c r="F25" s="585">
        <v>0.73483645211699999</v>
      </c>
      <c r="G25" s="586">
        <v>0.183709113029</v>
      </c>
      <c r="H25" s="588">
        <v>0.15515999999999999</v>
      </c>
      <c r="I25" s="585">
        <v>0.15515999999999999</v>
      </c>
      <c r="J25" s="586">
        <v>-2.8549113029000001E-2</v>
      </c>
      <c r="K25" s="589">
        <v>0.21114902445600001</v>
      </c>
    </row>
    <row r="26" spans="1:11" ht="14.4" customHeight="1" thickBot="1" x14ac:dyDescent="0.35">
      <c r="A26" s="607" t="s">
        <v>345</v>
      </c>
      <c r="B26" s="585">
        <v>366.672213054054</v>
      </c>
      <c r="C26" s="585">
        <v>372.91534000000001</v>
      </c>
      <c r="D26" s="586">
        <v>6.2431269459449998</v>
      </c>
      <c r="E26" s="587">
        <v>1.017026452301</v>
      </c>
      <c r="F26" s="585">
        <v>360.32113971040701</v>
      </c>
      <c r="G26" s="586">
        <v>90.080284927600999</v>
      </c>
      <c r="H26" s="588">
        <v>29.89265</v>
      </c>
      <c r="I26" s="585">
        <v>82.309950000000001</v>
      </c>
      <c r="J26" s="586">
        <v>-7.7703349276009996</v>
      </c>
      <c r="K26" s="589">
        <v>0.228434973496</v>
      </c>
    </row>
    <row r="27" spans="1:11" ht="14.4" customHeight="1" thickBot="1" x14ac:dyDescent="0.35">
      <c r="A27" s="607" t="s">
        <v>346</v>
      </c>
      <c r="B27" s="585">
        <v>2570.1361796951201</v>
      </c>
      <c r="C27" s="585">
        <v>2335.6608000000001</v>
      </c>
      <c r="D27" s="586">
        <v>-234.47537969511501</v>
      </c>
      <c r="E27" s="587">
        <v>0.90876927784999995</v>
      </c>
      <c r="F27" s="585">
        <v>2123.8776199868098</v>
      </c>
      <c r="G27" s="586">
        <v>530.96940499670302</v>
      </c>
      <c r="H27" s="588">
        <v>142.57284000000001</v>
      </c>
      <c r="I27" s="585">
        <v>412.23501000000101</v>
      </c>
      <c r="J27" s="586">
        <v>-118.734394996703</v>
      </c>
      <c r="K27" s="589">
        <v>0.194095462996</v>
      </c>
    </row>
    <row r="28" spans="1:11" ht="14.4" customHeight="1" thickBot="1" x14ac:dyDescent="0.35">
      <c r="A28" s="607" t="s">
        <v>347</v>
      </c>
      <c r="B28" s="585">
        <v>153.57745708972399</v>
      </c>
      <c r="C28" s="585">
        <v>207.81322</v>
      </c>
      <c r="D28" s="586">
        <v>54.235762910275</v>
      </c>
      <c r="E28" s="587">
        <v>1.353149244283</v>
      </c>
      <c r="F28" s="585">
        <v>169.96729750682999</v>
      </c>
      <c r="G28" s="586">
        <v>42.491824376707001</v>
      </c>
      <c r="H28" s="588">
        <v>6.5279999999999996</v>
      </c>
      <c r="I28" s="585">
        <v>31.152000000000001</v>
      </c>
      <c r="J28" s="586">
        <v>-11.339824376707</v>
      </c>
      <c r="K28" s="589">
        <v>0.183282316404</v>
      </c>
    </row>
    <row r="29" spans="1:11" ht="14.4" customHeight="1" thickBot="1" x14ac:dyDescent="0.35">
      <c r="A29" s="607" t="s">
        <v>348</v>
      </c>
      <c r="B29" s="585">
        <v>17.605757069342999</v>
      </c>
      <c r="C29" s="585">
        <v>20.39629</v>
      </c>
      <c r="D29" s="586">
        <v>2.7905329306560001</v>
      </c>
      <c r="E29" s="587">
        <v>1.1585011607090001</v>
      </c>
      <c r="F29" s="585">
        <v>19.996926055149</v>
      </c>
      <c r="G29" s="586">
        <v>4.9992315137869996</v>
      </c>
      <c r="H29" s="588">
        <v>4.9406564584124654E-324</v>
      </c>
      <c r="I29" s="585">
        <v>1.4821969375237396E-323</v>
      </c>
      <c r="J29" s="586">
        <v>-4.9992315137869996</v>
      </c>
      <c r="K29" s="589">
        <v>0</v>
      </c>
    </row>
    <row r="30" spans="1:11" ht="14.4" customHeight="1" thickBot="1" x14ac:dyDescent="0.35">
      <c r="A30" s="607" t="s">
        <v>349</v>
      </c>
      <c r="B30" s="585">
        <v>26.878079302730001</v>
      </c>
      <c r="C30" s="585">
        <v>24.346779999999999</v>
      </c>
      <c r="D30" s="586">
        <v>-2.5312993027299999</v>
      </c>
      <c r="E30" s="587">
        <v>0.90582290965699996</v>
      </c>
      <c r="F30" s="585">
        <v>17.848147985781001</v>
      </c>
      <c r="G30" s="586">
        <v>4.4620369964449997</v>
      </c>
      <c r="H30" s="588">
        <v>2.1875399999999998</v>
      </c>
      <c r="I30" s="585">
        <v>5.2575399999999997</v>
      </c>
      <c r="J30" s="586">
        <v>0.79550300355400005</v>
      </c>
      <c r="K30" s="589">
        <v>0.29457061898999998</v>
      </c>
    </row>
    <row r="31" spans="1:11" ht="14.4" customHeight="1" thickBot="1" x14ac:dyDescent="0.35">
      <c r="A31" s="607" t="s">
        <v>350</v>
      </c>
      <c r="B31" s="585">
        <v>171.78704753045301</v>
      </c>
      <c r="C31" s="585">
        <v>179.51747</v>
      </c>
      <c r="D31" s="586">
        <v>7.7304224695470003</v>
      </c>
      <c r="E31" s="587">
        <v>1.0450000310300001</v>
      </c>
      <c r="F31" s="585">
        <v>166.84043106968701</v>
      </c>
      <c r="G31" s="586">
        <v>41.710107767421</v>
      </c>
      <c r="H31" s="588">
        <v>15.1699</v>
      </c>
      <c r="I31" s="585">
        <v>45.158200000000001</v>
      </c>
      <c r="J31" s="586">
        <v>3.4480922325779999</v>
      </c>
      <c r="K31" s="589">
        <v>0.27066700625500001</v>
      </c>
    </row>
    <row r="32" spans="1:11" ht="14.4" customHeight="1" thickBot="1" x14ac:dyDescent="0.35">
      <c r="A32" s="607" t="s">
        <v>351</v>
      </c>
      <c r="B32" s="585">
        <v>133.91229611386601</v>
      </c>
      <c r="C32" s="585">
        <v>184.24444</v>
      </c>
      <c r="D32" s="586">
        <v>50.332143886132997</v>
      </c>
      <c r="E32" s="587">
        <v>1.3758590162869999</v>
      </c>
      <c r="F32" s="585">
        <v>170.594468383888</v>
      </c>
      <c r="G32" s="586">
        <v>42.648617095972</v>
      </c>
      <c r="H32" s="588">
        <v>10.82212</v>
      </c>
      <c r="I32" s="585">
        <v>22.19782</v>
      </c>
      <c r="J32" s="586">
        <v>-20.450797095972</v>
      </c>
      <c r="K32" s="589">
        <v>0.13012039727999999</v>
      </c>
    </row>
    <row r="33" spans="1:11" ht="14.4" customHeight="1" thickBot="1" x14ac:dyDescent="0.35">
      <c r="A33" s="607" t="s">
        <v>352</v>
      </c>
      <c r="B33" s="585">
        <v>1</v>
      </c>
      <c r="C33" s="585">
        <v>3.0585</v>
      </c>
      <c r="D33" s="586">
        <v>2.0585</v>
      </c>
      <c r="E33" s="587">
        <v>3.0585</v>
      </c>
      <c r="F33" s="585">
        <v>3.1230996769389998</v>
      </c>
      <c r="G33" s="586">
        <v>0.780774919234</v>
      </c>
      <c r="H33" s="588">
        <v>0.1615</v>
      </c>
      <c r="I33" s="585">
        <v>0.64600000000000002</v>
      </c>
      <c r="J33" s="586">
        <v>-0.13477491923400001</v>
      </c>
      <c r="K33" s="589">
        <v>0.206845783619</v>
      </c>
    </row>
    <row r="34" spans="1:11" ht="14.4" customHeight="1" thickBot="1" x14ac:dyDescent="0.35">
      <c r="A34" s="606" t="s">
        <v>353</v>
      </c>
      <c r="B34" s="590">
        <v>55.002182034937</v>
      </c>
      <c r="C34" s="590">
        <v>58.44106</v>
      </c>
      <c r="D34" s="591">
        <v>3.4388779650619998</v>
      </c>
      <c r="E34" s="597">
        <v>1.062522573429</v>
      </c>
      <c r="F34" s="590">
        <v>57.999795446105999</v>
      </c>
      <c r="G34" s="591">
        <v>14.499948861526001</v>
      </c>
      <c r="H34" s="593">
        <v>5.1179100000000002</v>
      </c>
      <c r="I34" s="590">
        <v>13.46768</v>
      </c>
      <c r="J34" s="591">
        <v>-1.0322688615260001</v>
      </c>
      <c r="K34" s="598">
        <v>0.23220219823900001</v>
      </c>
    </row>
    <row r="35" spans="1:11" ht="14.4" customHeight="1" thickBot="1" x14ac:dyDescent="0.35">
      <c r="A35" s="607" t="s">
        <v>354</v>
      </c>
      <c r="B35" s="585">
        <v>40.002701039649999</v>
      </c>
      <c r="C35" s="585">
        <v>44.691609999999997</v>
      </c>
      <c r="D35" s="586">
        <v>4.688908960349</v>
      </c>
      <c r="E35" s="587">
        <v>1.117214808962</v>
      </c>
      <c r="F35" s="585">
        <v>37.999865981931002</v>
      </c>
      <c r="G35" s="586">
        <v>9.4999664954819991</v>
      </c>
      <c r="H35" s="588">
        <v>4.0586599999999997</v>
      </c>
      <c r="I35" s="585">
        <v>9.7227099999999993</v>
      </c>
      <c r="J35" s="586">
        <v>0.22274350451700001</v>
      </c>
      <c r="K35" s="589">
        <v>0.25586169184399998</v>
      </c>
    </row>
    <row r="36" spans="1:11" ht="14.4" customHeight="1" thickBot="1" x14ac:dyDescent="0.35">
      <c r="A36" s="607" t="s">
        <v>355</v>
      </c>
      <c r="B36" s="585">
        <v>14.999480995287</v>
      </c>
      <c r="C36" s="585">
        <v>13.74945</v>
      </c>
      <c r="D36" s="586">
        <v>-1.2500309952869999</v>
      </c>
      <c r="E36" s="587">
        <v>0.91666171678300001</v>
      </c>
      <c r="F36" s="585">
        <v>19.999929464173999</v>
      </c>
      <c r="G36" s="586">
        <v>4.9999823660429996</v>
      </c>
      <c r="H36" s="588">
        <v>1.05925</v>
      </c>
      <c r="I36" s="585">
        <v>3.7449699999999999</v>
      </c>
      <c r="J36" s="586">
        <v>-1.2550123660429999</v>
      </c>
      <c r="K36" s="589">
        <v>0.18724916038799999</v>
      </c>
    </row>
    <row r="37" spans="1:11" ht="14.4" customHeight="1" thickBot="1" x14ac:dyDescent="0.35">
      <c r="A37" s="606" t="s">
        <v>356</v>
      </c>
      <c r="B37" s="590">
        <v>270.86943004891901</v>
      </c>
      <c r="C37" s="590">
        <v>337.91016000000002</v>
      </c>
      <c r="D37" s="591">
        <v>67.040729951081005</v>
      </c>
      <c r="E37" s="597">
        <v>1.247502015782</v>
      </c>
      <c r="F37" s="590">
        <v>323.210944503203</v>
      </c>
      <c r="G37" s="591">
        <v>80.802736125799996</v>
      </c>
      <c r="H37" s="593">
        <v>34.634970000000003</v>
      </c>
      <c r="I37" s="590">
        <v>84.674220000000005</v>
      </c>
      <c r="J37" s="591">
        <v>3.8714838741989999</v>
      </c>
      <c r="K37" s="598">
        <v>0.261978195478</v>
      </c>
    </row>
    <row r="38" spans="1:11" ht="14.4" customHeight="1" thickBot="1" x14ac:dyDescent="0.35">
      <c r="A38" s="607" t="s">
        <v>357</v>
      </c>
      <c r="B38" s="585">
        <v>64.827605943910996</v>
      </c>
      <c r="C38" s="585">
        <v>1.6493</v>
      </c>
      <c r="D38" s="586">
        <v>-63.178305943910999</v>
      </c>
      <c r="E38" s="587">
        <v>2.5441322041000001E-2</v>
      </c>
      <c r="F38" s="585">
        <v>1.9034656814069999</v>
      </c>
      <c r="G38" s="586">
        <v>0.47586642035100002</v>
      </c>
      <c r="H38" s="588">
        <v>4.9406564584124654E-324</v>
      </c>
      <c r="I38" s="585">
        <v>1.4821969375237396E-323</v>
      </c>
      <c r="J38" s="586">
        <v>-0.47586642035100002</v>
      </c>
      <c r="K38" s="589">
        <v>9.8813129168249309E-324</v>
      </c>
    </row>
    <row r="39" spans="1:11" ht="14.4" customHeight="1" thickBot="1" x14ac:dyDescent="0.35">
      <c r="A39" s="607" t="s">
        <v>358</v>
      </c>
      <c r="B39" s="585">
        <v>3.4696875352990002</v>
      </c>
      <c r="C39" s="585">
        <v>5.2730199999999998</v>
      </c>
      <c r="D39" s="586">
        <v>1.8033324647</v>
      </c>
      <c r="E39" s="587">
        <v>1.519739154132</v>
      </c>
      <c r="F39" s="585">
        <v>5.3076004336900002</v>
      </c>
      <c r="G39" s="586">
        <v>1.326900108422</v>
      </c>
      <c r="H39" s="588">
        <v>0.39677000000000001</v>
      </c>
      <c r="I39" s="585">
        <v>1.0749599999999999</v>
      </c>
      <c r="J39" s="586">
        <v>-0.25194010842199999</v>
      </c>
      <c r="K39" s="589">
        <v>0.20253220140200001</v>
      </c>
    </row>
    <row r="40" spans="1:11" ht="14.4" customHeight="1" thickBot="1" x14ac:dyDescent="0.35">
      <c r="A40" s="607" t="s">
        <v>359</v>
      </c>
      <c r="B40" s="585">
        <v>127.38805109333001</v>
      </c>
      <c r="C40" s="585">
        <v>169.89512999999999</v>
      </c>
      <c r="D40" s="586">
        <v>42.507078906669001</v>
      </c>
      <c r="E40" s="587">
        <v>1.3336818370470001</v>
      </c>
      <c r="F40" s="585">
        <v>174.76231130044499</v>
      </c>
      <c r="G40" s="586">
        <v>43.690577825110999</v>
      </c>
      <c r="H40" s="588">
        <v>15.44913</v>
      </c>
      <c r="I40" s="585">
        <v>48.74362</v>
      </c>
      <c r="J40" s="586">
        <v>5.0530421748879997</v>
      </c>
      <c r="K40" s="589">
        <v>0.27891379804499999</v>
      </c>
    </row>
    <row r="41" spans="1:11" ht="14.4" customHeight="1" thickBot="1" x14ac:dyDescent="0.35">
      <c r="A41" s="607" t="s">
        <v>360</v>
      </c>
      <c r="B41" s="585">
        <v>44.774924083598997</v>
      </c>
      <c r="C41" s="585">
        <v>50.555059999999997</v>
      </c>
      <c r="D41" s="586">
        <v>5.7801359163999999</v>
      </c>
      <c r="E41" s="587">
        <v>1.1290931483340001</v>
      </c>
      <c r="F41" s="585">
        <v>55.483672243809998</v>
      </c>
      <c r="G41" s="586">
        <v>13.870918060952</v>
      </c>
      <c r="H41" s="588">
        <v>5.0092600000000003</v>
      </c>
      <c r="I41" s="585">
        <v>7.6751800000000001</v>
      </c>
      <c r="J41" s="586">
        <v>-6.1957380609520003</v>
      </c>
      <c r="K41" s="589">
        <v>0.13833222801600001</v>
      </c>
    </row>
    <row r="42" spans="1:11" ht="14.4" customHeight="1" thickBot="1" x14ac:dyDescent="0.35">
      <c r="A42" s="607" t="s">
        <v>361</v>
      </c>
      <c r="B42" s="585">
        <v>1.398466479651</v>
      </c>
      <c r="C42" s="585">
        <v>5.4623699999999999</v>
      </c>
      <c r="D42" s="586">
        <v>4.0639035203480001</v>
      </c>
      <c r="E42" s="587">
        <v>3.90597134753</v>
      </c>
      <c r="F42" s="585">
        <v>2.9997569216720001</v>
      </c>
      <c r="G42" s="586">
        <v>0.74993923041800004</v>
      </c>
      <c r="H42" s="588">
        <v>4.9406564584124654E-324</v>
      </c>
      <c r="I42" s="585">
        <v>1.4821969375237396E-323</v>
      </c>
      <c r="J42" s="586">
        <v>-0.74993923041800004</v>
      </c>
      <c r="K42" s="589">
        <v>4.9406564584124654E-324</v>
      </c>
    </row>
    <row r="43" spans="1:11" ht="14.4" customHeight="1" thickBot="1" x14ac:dyDescent="0.35">
      <c r="A43" s="607" t="s">
        <v>362</v>
      </c>
      <c r="B43" s="585">
        <v>4.9406564584124654E-324</v>
      </c>
      <c r="C43" s="585">
        <v>1.7999999999999999E-2</v>
      </c>
      <c r="D43" s="586">
        <v>1.7999999999999999E-2</v>
      </c>
      <c r="E43" s="595" t="s">
        <v>328</v>
      </c>
      <c r="F43" s="585">
        <v>3.1257664639000003E-2</v>
      </c>
      <c r="G43" s="586">
        <v>7.814416159E-3</v>
      </c>
      <c r="H43" s="588">
        <v>4.9406564584124654E-324</v>
      </c>
      <c r="I43" s="585">
        <v>1.4821969375237396E-323</v>
      </c>
      <c r="J43" s="586">
        <v>-7.814416159E-3</v>
      </c>
      <c r="K43" s="589">
        <v>4.7430302000759668E-322</v>
      </c>
    </row>
    <row r="44" spans="1:11" ht="14.4" customHeight="1" thickBot="1" x14ac:dyDescent="0.35">
      <c r="A44" s="607" t="s">
        <v>363</v>
      </c>
      <c r="B44" s="585">
        <v>15.58604926292</v>
      </c>
      <c r="C44" s="585">
        <v>27.580690000000001</v>
      </c>
      <c r="D44" s="586">
        <v>11.994640737078999</v>
      </c>
      <c r="E44" s="587">
        <v>1.7695754411360001</v>
      </c>
      <c r="F44" s="585">
        <v>15.39611544922</v>
      </c>
      <c r="G44" s="586">
        <v>3.849028862305</v>
      </c>
      <c r="H44" s="588">
        <v>3.43912</v>
      </c>
      <c r="I44" s="585">
        <v>6.7931499999999998</v>
      </c>
      <c r="J44" s="586">
        <v>2.9441211376940002</v>
      </c>
      <c r="K44" s="589">
        <v>0.44122493251</v>
      </c>
    </row>
    <row r="45" spans="1:11" ht="14.4" customHeight="1" thickBot="1" x14ac:dyDescent="0.35">
      <c r="A45" s="607" t="s">
        <v>364</v>
      </c>
      <c r="B45" s="585">
        <v>12.425198657939999</v>
      </c>
      <c r="C45" s="585">
        <v>14.22838</v>
      </c>
      <c r="D45" s="586">
        <v>1.8031813420589999</v>
      </c>
      <c r="E45" s="587">
        <v>1.1451229386099999</v>
      </c>
      <c r="F45" s="585">
        <v>15.908621742915001</v>
      </c>
      <c r="G45" s="586">
        <v>3.9771554357280001</v>
      </c>
      <c r="H45" s="588">
        <v>4.9406564584124654E-324</v>
      </c>
      <c r="I45" s="585">
        <v>2.46183</v>
      </c>
      <c r="J45" s="586">
        <v>-1.5153254357279999</v>
      </c>
      <c r="K45" s="589">
        <v>0.154748163592</v>
      </c>
    </row>
    <row r="46" spans="1:11" ht="14.4" customHeight="1" thickBot="1" x14ac:dyDescent="0.35">
      <c r="A46" s="607" t="s">
        <v>365</v>
      </c>
      <c r="B46" s="585">
        <v>4.9406564584124654E-324</v>
      </c>
      <c r="C46" s="585">
        <v>2.97</v>
      </c>
      <c r="D46" s="586">
        <v>2.97</v>
      </c>
      <c r="E46" s="595" t="s">
        <v>328</v>
      </c>
      <c r="F46" s="585">
        <v>0</v>
      </c>
      <c r="G46" s="586">
        <v>0</v>
      </c>
      <c r="H46" s="588">
        <v>4.9406564584124654E-324</v>
      </c>
      <c r="I46" s="585">
        <v>1.4821969375237396E-323</v>
      </c>
      <c r="J46" s="586">
        <v>1.4821969375237396E-323</v>
      </c>
      <c r="K46" s="596" t="s">
        <v>322</v>
      </c>
    </row>
    <row r="47" spans="1:11" ht="14.4" customHeight="1" thickBot="1" x14ac:dyDescent="0.35">
      <c r="A47" s="607" t="s">
        <v>366</v>
      </c>
      <c r="B47" s="585">
        <v>4.9406564584124654E-324</v>
      </c>
      <c r="C47" s="585">
        <v>0.12139999999999999</v>
      </c>
      <c r="D47" s="586">
        <v>0.12139999999999999</v>
      </c>
      <c r="E47" s="595" t="s">
        <v>328</v>
      </c>
      <c r="F47" s="585">
        <v>0.12345064811299999</v>
      </c>
      <c r="G47" s="586">
        <v>3.0862662028000001E-2</v>
      </c>
      <c r="H47" s="588">
        <v>4.9406564584124654E-324</v>
      </c>
      <c r="I47" s="585">
        <v>1.4821969375237396E-323</v>
      </c>
      <c r="J47" s="586">
        <v>-3.0862662028000001E-2</v>
      </c>
      <c r="K47" s="589">
        <v>1.1857575500189917E-322</v>
      </c>
    </row>
    <row r="48" spans="1:11" ht="14.4" customHeight="1" thickBot="1" x14ac:dyDescent="0.35">
      <c r="A48" s="607" t="s">
        <v>367</v>
      </c>
      <c r="B48" s="585">
        <v>4.9406564584124654E-324</v>
      </c>
      <c r="C48" s="585">
        <v>57.935009999999998</v>
      </c>
      <c r="D48" s="586">
        <v>57.935009999999998</v>
      </c>
      <c r="E48" s="595" t="s">
        <v>328</v>
      </c>
      <c r="F48" s="585">
        <v>48.881140920988003</v>
      </c>
      <c r="G48" s="586">
        <v>12.220285230247001</v>
      </c>
      <c r="H48" s="588">
        <v>10.34069</v>
      </c>
      <c r="I48" s="585">
        <v>17.92548</v>
      </c>
      <c r="J48" s="586">
        <v>5.7051947697519996</v>
      </c>
      <c r="K48" s="589">
        <v>0.36671566297800001</v>
      </c>
    </row>
    <row r="49" spans="1:11" ht="14.4" customHeight="1" thickBot="1" x14ac:dyDescent="0.35">
      <c r="A49" s="607" t="s">
        <v>368</v>
      </c>
      <c r="B49" s="585">
        <v>0.999446992265</v>
      </c>
      <c r="C49" s="585">
        <v>2.2218</v>
      </c>
      <c r="D49" s="586">
        <v>1.2223530077339999</v>
      </c>
      <c r="E49" s="587">
        <v>2.2230293524259999</v>
      </c>
      <c r="F49" s="585">
        <v>2.4135514962990001</v>
      </c>
      <c r="G49" s="586">
        <v>0.60338787407399996</v>
      </c>
      <c r="H49" s="588">
        <v>4.9406564584124654E-324</v>
      </c>
      <c r="I49" s="585">
        <v>1.4821969375237396E-323</v>
      </c>
      <c r="J49" s="586">
        <v>-0.60338787407399996</v>
      </c>
      <c r="K49" s="589">
        <v>4.9406564584124654E-324</v>
      </c>
    </row>
    <row r="50" spans="1:11" ht="14.4" customHeight="1" thickBot="1" x14ac:dyDescent="0.35">
      <c r="A50" s="606" t="s">
        <v>369</v>
      </c>
      <c r="B50" s="590">
        <v>267.303611409187</v>
      </c>
      <c r="C50" s="590">
        <v>84.74136</v>
      </c>
      <c r="D50" s="591">
        <v>-182.56225140918701</v>
      </c>
      <c r="E50" s="597">
        <v>0.31702287729299999</v>
      </c>
      <c r="F50" s="590">
        <v>59.436186645969997</v>
      </c>
      <c r="G50" s="591">
        <v>14.859046661492</v>
      </c>
      <c r="H50" s="593">
        <v>10.703659999999999</v>
      </c>
      <c r="I50" s="590">
        <v>23.820229999999999</v>
      </c>
      <c r="J50" s="591">
        <v>8.9611833385070003</v>
      </c>
      <c r="K50" s="598">
        <v>0.40076982296800001</v>
      </c>
    </row>
    <row r="51" spans="1:11" ht="14.4" customHeight="1" thickBot="1" x14ac:dyDescent="0.35">
      <c r="A51" s="607" t="s">
        <v>370</v>
      </c>
      <c r="B51" s="585">
        <v>0</v>
      </c>
      <c r="C51" s="585">
        <v>4.9406564584124654E-324</v>
      </c>
      <c r="D51" s="586">
        <v>4.9406564584124654E-324</v>
      </c>
      <c r="E51" s="595" t="s">
        <v>322</v>
      </c>
      <c r="F51" s="585">
        <v>4.9406564584124654E-324</v>
      </c>
      <c r="G51" s="586">
        <v>0</v>
      </c>
      <c r="H51" s="588">
        <v>4.9406564584124654E-324</v>
      </c>
      <c r="I51" s="585">
        <v>0.25307000000000002</v>
      </c>
      <c r="J51" s="586">
        <v>0.25307000000000002</v>
      </c>
      <c r="K51" s="596" t="s">
        <v>328</v>
      </c>
    </row>
    <row r="52" spans="1:11" ht="14.4" customHeight="1" thickBot="1" x14ac:dyDescent="0.35">
      <c r="A52" s="607" t="s">
        <v>371</v>
      </c>
      <c r="B52" s="585">
        <v>0</v>
      </c>
      <c r="C52" s="585">
        <v>15.042999999999999</v>
      </c>
      <c r="D52" s="586">
        <v>15.042999999999999</v>
      </c>
      <c r="E52" s="595" t="s">
        <v>322</v>
      </c>
      <c r="F52" s="585">
        <v>12.185612237098001</v>
      </c>
      <c r="G52" s="586">
        <v>3.0464030592740001</v>
      </c>
      <c r="H52" s="588">
        <v>4.9406564584124654E-324</v>
      </c>
      <c r="I52" s="585">
        <v>1.4821969375237396E-323</v>
      </c>
      <c r="J52" s="586">
        <v>-3.0464030592740001</v>
      </c>
      <c r="K52" s="589">
        <v>0</v>
      </c>
    </row>
    <row r="53" spans="1:11" ht="14.4" customHeight="1" thickBot="1" x14ac:dyDescent="0.35">
      <c r="A53" s="607" t="s">
        <v>372</v>
      </c>
      <c r="B53" s="585">
        <v>264.51489095328299</v>
      </c>
      <c r="C53" s="585">
        <v>67.882900000000006</v>
      </c>
      <c r="D53" s="586">
        <v>-196.63199095328301</v>
      </c>
      <c r="E53" s="587">
        <v>0.25663167678499998</v>
      </c>
      <c r="F53" s="585">
        <v>45.250201412841001</v>
      </c>
      <c r="G53" s="586">
        <v>11.31255035321</v>
      </c>
      <c r="H53" s="588">
        <v>10.703659999999999</v>
      </c>
      <c r="I53" s="585">
        <v>23.363959999999999</v>
      </c>
      <c r="J53" s="586">
        <v>12.051409646789001</v>
      </c>
      <c r="K53" s="589">
        <v>0.51632830949899999</v>
      </c>
    </row>
    <row r="54" spans="1:11" ht="14.4" customHeight="1" thickBot="1" x14ac:dyDescent="0.35">
      <c r="A54" s="607" t="s">
        <v>373</v>
      </c>
      <c r="B54" s="585">
        <v>2.7887204559029999</v>
      </c>
      <c r="C54" s="585">
        <v>1.8154600000000001</v>
      </c>
      <c r="D54" s="586">
        <v>-0.97326045590300003</v>
      </c>
      <c r="E54" s="587">
        <v>0.65100106974000005</v>
      </c>
      <c r="F54" s="585">
        <v>2.0003729960299999</v>
      </c>
      <c r="G54" s="586">
        <v>0.50009324900700003</v>
      </c>
      <c r="H54" s="588">
        <v>4.9406564584124654E-324</v>
      </c>
      <c r="I54" s="585">
        <v>0.20319999999999999</v>
      </c>
      <c r="J54" s="586">
        <v>-0.29689324900699998</v>
      </c>
      <c r="K54" s="589">
        <v>0.101581055334</v>
      </c>
    </row>
    <row r="55" spans="1:11" ht="14.4" customHeight="1" thickBot="1" x14ac:dyDescent="0.35">
      <c r="A55" s="606" t="s">
        <v>374</v>
      </c>
      <c r="B55" s="590">
        <v>142.69670109671</v>
      </c>
      <c r="C55" s="590">
        <v>139.56711000000001</v>
      </c>
      <c r="D55" s="591">
        <v>-3.12959109671</v>
      </c>
      <c r="E55" s="597">
        <v>0.97806823092100004</v>
      </c>
      <c r="F55" s="590">
        <v>126.230395954993</v>
      </c>
      <c r="G55" s="591">
        <v>31.557598988748001</v>
      </c>
      <c r="H55" s="593">
        <v>14.400460000000001</v>
      </c>
      <c r="I55" s="590">
        <v>29.58643</v>
      </c>
      <c r="J55" s="591">
        <v>-1.971168988748</v>
      </c>
      <c r="K55" s="598">
        <v>0.23438435549600001</v>
      </c>
    </row>
    <row r="56" spans="1:11" ht="14.4" customHeight="1" thickBot="1" x14ac:dyDescent="0.35">
      <c r="A56" s="607" t="s">
        <v>375</v>
      </c>
      <c r="B56" s="585">
        <v>15.211462959817</v>
      </c>
      <c r="C56" s="585">
        <v>23.747309999999999</v>
      </c>
      <c r="D56" s="586">
        <v>8.5358470401820004</v>
      </c>
      <c r="E56" s="587">
        <v>1.5611457006289999</v>
      </c>
      <c r="F56" s="585">
        <v>21.242690568518</v>
      </c>
      <c r="G56" s="586">
        <v>5.310672642129</v>
      </c>
      <c r="H56" s="588">
        <v>0.31217</v>
      </c>
      <c r="I56" s="585">
        <v>1.9420200000000001</v>
      </c>
      <c r="J56" s="586">
        <v>-3.3686526421290002</v>
      </c>
      <c r="K56" s="589">
        <v>9.1420622718E-2</v>
      </c>
    </row>
    <row r="57" spans="1:11" ht="14.4" customHeight="1" thickBot="1" x14ac:dyDescent="0.35">
      <c r="A57" s="607" t="s">
        <v>376</v>
      </c>
      <c r="B57" s="585">
        <v>1.0782963312880001</v>
      </c>
      <c r="C57" s="585">
        <v>2.7842099999999999</v>
      </c>
      <c r="D57" s="586">
        <v>1.7059136687109999</v>
      </c>
      <c r="E57" s="587">
        <v>2.5820453239169998</v>
      </c>
      <c r="F57" s="585">
        <v>0</v>
      </c>
      <c r="G57" s="586">
        <v>0</v>
      </c>
      <c r="H57" s="588">
        <v>0.68969999999999998</v>
      </c>
      <c r="I57" s="585">
        <v>1.17249</v>
      </c>
      <c r="J57" s="586">
        <v>1.17249</v>
      </c>
      <c r="K57" s="596" t="s">
        <v>322</v>
      </c>
    </row>
    <row r="58" spans="1:11" ht="14.4" customHeight="1" thickBot="1" x14ac:dyDescent="0.35">
      <c r="A58" s="607" t="s">
        <v>377</v>
      </c>
      <c r="B58" s="585">
        <v>4.1458153478790001</v>
      </c>
      <c r="C58" s="585">
        <v>4.6787400000000003</v>
      </c>
      <c r="D58" s="586">
        <v>0.53292465211999995</v>
      </c>
      <c r="E58" s="587">
        <v>1.128545197362</v>
      </c>
      <c r="F58" s="585">
        <v>0</v>
      </c>
      <c r="G58" s="586">
        <v>0</v>
      </c>
      <c r="H58" s="588">
        <v>4.9406564584124654E-324</v>
      </c>
      <c r="I58" s="585">
        <v>1.4821969375237396E-323</v>
      </c>
      <c r="J58" s="586">
        <v>1.4821969375237396E-323</v>
      </c>
      <c r="K58" s="596" t="s">
        <v>322</v>
      </c>
    </row>
    <row r="59" spans="1:11" ht="14.4" customHeight="1" thickBot="1" x14ac:dyDescent="0.35">
      <c r="A59" s="607" t="s">
        <v>378</v>
      </c>
      <c r="B59" s="585">
        <v>122.261126457725</v>
      </c>
      <c r="C59" s="585">
        <v>108.35684999999999</v>
      </c>
      <c r="D59" s="586">
        <v>-13.904276457725</v>
      </c>
      <c r="E59" s="587">
        <v>0.88627393791800002</v>
      </c>
      <c r="F59" s="585">
        <v>0</v>
      </c>
      <c r="G59" s="586">
        <v>0</v>
      </c>
      <c r="H59" s="588">
        <v>4.9406564584124654E-324</v>
      </c>
      <c r="I59" s="585">
        <v>1.4821969375237396E-323</v>
      </c>
      <c r="J59" s="586">
        <v>1.4821969375237396E-323</v>
      </c>
      <c r="K59" s="596" t="s">
        <v>322</v>
      </c>
    </row>
    <row r="60" spans="1:11" ht="14.4" customHeight="1" thickBot="1" x14ac:dyDescent="0.35">
      <c r="A60" s="607" t="s">
        <v>379</v>
      </c>
      <c r="B60" s="585">
        <v>4.9406564584124654E-324</v>
      </c>
      <c r="C60" s="585">
        <v>4.9406564584124654E-324</v>
      </c>
      <c r="D60" s="586">
        <v>0</v>
      </c>
      <c r="E60" s="587">
        <v>1</v>
      </c>
      <c r="F60" s="585">
        <v>5.0004809702859996</v>
      </c>
      <c r="G60" s="586">
        <v>1.2501202425710001</v>
      </c>
      <c r="H60" s="588">
        <v>0.79625999999999997</v>
      </c>
      <c r="I60" s="585">
        <v>2.1095899999999999</v>
      </c>
      <c r="J60" s="586">
        <v>0.85946975742800003</v>
      </c>
      <c r="K60" s="589">
        <v>0.42187741789900002</v>
      </c>
    </row>
    <row r="61" spans="1:11" ht="14.4" customHeight="1" thickBot="1" x14ac:dyDescent="0.35">
      <c r="A61" s="607" t="s">
        <v>380</v>
      </c>
      <c r="B61" s="585">
        <v>4.9406564584124654E-324</v>
      </c>
      <c r="C61" s="585">
        <v>4.9406564584124654E-324</v>
      </c>
      <c r="D61" s="586">
        <v>0</v>
      </c>
      <c r="E61" s="587">
        <v>1</v>
      </c>
      <c r="F61" s="585">
        <v>6.9998640777560004</v>
      </c>
      <c r="G61" s="586">
        <v>1.7499660194390001</v>
      </c>
      <c r="H61" s="588">
        <v>1.5780000000000001</v>
      </c>
      <c r="I61" s="585">
        <v>1.5780000000000001</v>
      </c>
      <c r="J61" s="586">
        <v>-0.171966019439</v>
      </c>
      <c r="K61" s="589">
        <v>0.225432948764</v>
      </c>
    </row>
    <row r="62" spans="1:11" ht="14.4" customHeight="1" thickBot="1" x14ac:dyDescent="0.35">
      <c r="A62" s="607" t="s">
        <v>381</v>
      </c>
      <c r="B62" s="585">
        <v>4.9406564584124654E-324</v>
      </c>
      <c r="C62" s="585">
        <v>4.9406564584124654E-324</v>
      </c>
      <c r="D62" s="586">
        <v>0</v>
      </c>
      <c r="E62" s="587">
        <v>1</v>
      </c>
      <c r="F62" s="585">
        <v>92.987360338431003</v>
      </c>
      <c r="G62" s="586">
        <v>23.246840084607001</v>
      </c>
      <c r="H62" s="588">
        <v>11.024330000000001</v>
      </c>
      <c r="I62" s="585">
        <v>22.784330000000001</v>
      </c>
      <c r="J62" s="586">
        <v>-0.46251008460699999</v>
      </c>
      <c r="K62" s="589">
        <v>0.24502609727800001</v>
      </c>
    </row>
    <row r="63" spans="1:11" ht="14.4" customHeight="1" thickBot="1" x14ac:dyDescent="0.35">
      <c r="A63" s="605" t="s">
        <v>42</v>
      </c>
      <c r="B63" s="585">
        <v>347.59181330674102</v>
      </c>
      <c r="C63" s="585">
        <v>338.80599999999998</v>
      </c>
      <c r="D63" s="586">
        <v>-8.7858133067399997</v>
      </c>
      <c r="E63" s="587">
        <v>0.97472376226799995</v>
      </c>
      <c r="F63" s="585">
        <v>322.77884899141901</v>
      </c>
      <c r="G63" s="586">
        <v>80.694712247854</v>
      </c>
      <c r="H63" s="588">
        <v>27.052</v>
      </c>
      <c r="I63" s="585">
        <v>92.698999999999998</v>
      </c>
      <c r="J63" s="586">
        <v>12.004287752145</v>
      </c>
      <c r="K63" s="589">
        <v>0.28719044103899999</v>
      </c>
    </row>
    <row r="64" spans="1:11" ht="14.4" customHeight="1" thickBot="1" x14ac:dyDescent="0.35">
      <c r="A64" s="606" t="s">
        <v>382</v>
      </c>
      <c r="B64" s="590">
        <v>347.59181330674102</v>
      </c>
      <c r="C64" s="590">
        <v>338.80599999999998</v>
      </c>
      <c r="D64" s="591">
        <v>-8.7858133067399997</v>
      </c>
      <c r="E64" s="597">
        <v>0.97472376226799995</v>
      </c>
      <c r="F64" s="590">
        <v>322.77884899141901</v>
      </c>
      <c r="G64" s="591">
        <v>80.694712247854</v>
      </c>
      <c r="H64" s="593">
        <v>27.052</v>
      </c>
      <c r="I64" s="590">
        <v>92.698999999999998</v>
      </c>
      <c r="J64" s="591">
        <v>12.004287752145</v>
      </c>
      <c r="K64" s="598">
        <v>0.28719044103899999</v>
      </c>
    </row>
    <row r="65" spans="1:11" ht="14.4" customHeight="1" thickBot="1" x14ac:dyDescent="0.35">
      <c r="A65" s="607" t="s">
        <v>383</v>
      </c>
      <c r="B65" s="585">
        <v>122.575603571641</v>
      </c>
      <c r="C65" s="585">
        <v>123.93300000000001</v>
      </c>
      <c r="D65" s="586">
        <v>1.357396428358</v>
      </c>
      <c r="E65" s="587">
        <v>1.011073952636</v>
      </c>
      <c r="F65" s="585">
        <v>123.006750964783</v>
      </c>
      <c r="G65" s="586">
        <v>30.751687741194999</v>
      </c>
      <c r="H65" s="588">
        <v>8.4420000000000002</v>
      </c>
      <c r="I65" s="585">
        <v>25.350999999999999</v>
      </c>
      <c r="J65" s="586">
        <v>-5.4006877411950001</v>
      </c>
      <c r="K65" s="589">
        <v>0.20609437938200001</v>
      </c>
    </row>
    <row r="66" spans="1:11" ht="14.4" customHeight="1" thickBot="1" x14ac:dyDescent="0.35">
      <c r="A66" s="607" t="s">
        <v>384</v>
      </c>
      <c r="B66" s="585">
        <v>30.001289398349002</v>
      </c>
      <c r="C66" s="585">
        <v>29.372</v>
      </c>
      <c r="D66" s="586">
        <v>-0.629289398349</v>
      </c>
      <c r="E66" s="587">
        <v>0.97902458824299998</v>
      </c>
      <c r="F66" s="585">
        <v>30.006244685898</v>
      </c>
      <c r="G66" s="586">
        <v>7.501561171474</v>
      </c>
      <c r="H66" s="588">
        <v>1.9730000000000001</v>
      </c>
      <c r="I66" s="585">
        <v>7.125</v>
      </c>
      <c r="J66" s="586">
        <v>-0.37656117147399998</v>
      </c>
      <c r="K66" s="589">
        <v>0.23745057319099999</v>
      </c>
    </row>
    <row r="67" spans="1:11" ht="14.4" customHeight="1" thickBot="1" x14ac:dyDescent="0.35">
      <c r="A67" s="607" t="s">
        <v>385</v>
      </c>
      <c r="B67" s="585">
        <v>195.01492033675001</v>
      </c>
      <c r="C67" s="585">
        <v>185.501</v>
      </c>
      <c r="D67" s="586">
        <v>-9.5139203367490008</v>
      </c>
      <c r="E67" s="587">
        <v>0.95121439774799998</v>
      </c>
      <c r="F67" s="585">
        <v>169.765853340738</v>
      </c>
      <c r="G67" s="586">
        <v>42.441463335183997</v>
      </c>
      <c r="H67" s="588">
        <v>16.637</v>
      </c>
      <c r="I67" s="585">
        <v>60.222999999999999</v>
      </c>
      <c r="J67" s="586">
        <v>17.781536664815</v>
      </c>
      <c r="K67" s="589">
        <v>0.35474153850599999</v>
      </c>
    </row>
    <row r="68" spans="1:11" ht="14.4" customHeight="1" thickBot="1" x14ac:dyDescent="0.35">
      <c r="A68" s="608" t="s">
        <v>386</v>
      </c>
      <c r="B68" s="590">
        <v>1311.49161688803</v>
      </c>
      <c r="C68" s="590">
        <v>1468.4956999999999</v>
      </c>
      <c r="D68" s="591">
        <v>157.00408311196799</v>
      </c>
      <c r="E68" s="597">
        <v>1.1197141339600001</v>
      </c>
      <c r="F68" s="590">
        <v>1243.1577507889101</v>
      </c>
      <c r="G68" s="591">
        <v>310.78943769722702</v>
      </c>
      <c r="H68" s="593">
        <v>72.746799999999993</v>
      </c>
      <c r="I68" s="590">
        <v>265.34212000000002</v>
      </c>
      <c r="J68" s="591">
        <v>-45.447317697225998</v>
      </c>
      <c r="K68" s="598">
        <v>0.21344203487499999</v>
      </c>
    </row>
    <row r="69" spans="1:11" ht="14.4" customHeight="1" thickBot="1" x14ac:dyDescent="0.35">
      <c r="A69" s="605" t="s">
        <v>45</v>
      </c>
      <c r="B69" s="585">
        <v>369.147707294209</v>
      </c>
      <c r="C69" s="585">
        <v>502.8886</v>
      </c>
      <c r="D69" s="586">
        <v>133.740892705791</v>
      </c>
      <c r="E69" s="587">
        <v>1.362296419734</v>
      </c>
      <c r="F69" s="585">
        <v>351.66175781058598</v>
      </c>
      <c r="G69" s="586">
        <v>87.915439452645998</v>
      </c>
      <c r="H69" s="588">
        <v>2.69814</v>
      </c>
      <c r="I69" s="585">
        <v>99.216080000000005</v>
      </c>
      <c r="J69" s="586">
        <v>11.300640547353</v>
      </c>
      <c r="K69" s="589">
        <v>0.28213497144999999</v>
      </c>
    </row>
    <row r="70" spans="1:11" ht="14.4" customHeight="1" thickBot="1" x14ac:dyDescent="0.35">
      <c r="A70" s="609" t="s">
        <v>387</v>
      </c>
      <c r="B70" s="585">
        <v>369.147707294209</v>
      </c>
      <c r="C70" s="585">
        <v>502.8886</v>
      </c>
      <c r="D70" s="586">
        <v>133.740892705791</v>
      </c>
      <c r="E70" s="587">
        <v>1.362296419734</v>
      </c>
      <c r="F70" s="585">
        <v>351.66175781058598</v>
      </c>
      <c r="G70" s="586">
        <v>87.915439452645998</v>
      </c>
      <c r="H70" s="588">
        <v>2.69814</v>
      </c>
      <c r="I70" s="585">
        <v>99.216080000000005</v>
      </c>
      <c r="J70" s="586">
        <v>11.300640547353</v>
      </c>
      <c r="K70" s="589">
        <v>0.28213497144999999</v>
      </c>
    </row>
    <row r="71" spans="1:11" ht="14.4" customHeight="1" thickBot="1" x14ac:dyDescent="0.35">
      <c r="A71" s="607" t="s">
        <v>388</v>
      </c>
      <c r="B71" s="585">
        <v>293.654558718224</v>
      </c>
      <c r="C71" s="585">
        <v>306.10527000000002</v>
      </c>
      <c r="D71" s="586">
        <v>12.450711281776</v>
      </c>
      <c r="E71" s="587">
        <v>1.042399175875</v>
      </c>
      <c r="F71" s="585">
        <v>282.27187136280099</v>
      </c>
      <c r="G71" s="586">
        <v>70.567967840700007</v>
      </c>
      <c r="H71" s="588">
        <v>4.9406564584124654E-324</v>
      </c>
      <c r="I71" s="585">
        <v>86.004310000000004</v>
      </c>
      <c r="J71" s="586">
        <v>15.436342159299</v>
      </c>
      <c r="K71" s="589">
        <v>0.30468608007100001</v>
      </c>
    </row>
    <row r="72" spans="1:11" ht="14.4" customHeight="1" thickBot="1" x14ac:dyDescent="0.35">
      <c r="A72" s="607" t="s">
        <v>389</v>
      </c>
      <c r="B72" s="585">
        <v>4.9406564584124654E-324</v>
      </c>
      <c r="C72" s="585">
        <v>4.0540000000000003</v>
      </c>
      <c r="D72" s="586">
        <v>4.0540000000000003</v>
      </c>
      <c r="E72" s="595" t="s">
        <v>328</v>
      </c>
      <c r="F72" s="585">
        <v>0</v>
      </c>
      <c r="G72" s="586">
        <v>0</v>
      </c>
      <c r="H72" s="588">
        <v>4.9406564584124654E-324</v>
      </c>
      <c r="I72" s="585">
        <v>1.4821969375237396E-323</v>
      </c>
      <c r="J72" s="586">
        <v>1.4821969375237396E-323</v>
      </c>
      <c r="K72" s="596" t="s">
        <v>322</v>
      </c>
    </row>
    <row r="73" spans="1:11" ht="14.4" customHeight="1" thickBot="1" x14ac:dyDescent="0.35">
      <c r="A73" s="607" t="s">
        <v>390</v>
      </c>
      <c r="B73" s="585">
        <v>0.49899020546400003</v>
      </c>
      <c r="C73" s="585">
        <v>5.6252000000000004</v>
      </c>
      <c r="D73" s="586">
        <v>5.1262097945349998</v>
      </c>
      <c r="E73" s="587">
        <v>11.273167165208999</v>
      </c>
      <c r="F73" s="585">
        <v>6.54334379314</v>
      </c>
      <c r="G73" s="586">
        <v>1.635835948285</v>
      </c>
      <c r="H73" s="588">
        <v>4.9406564584124654E-324</v>
      </c>
      <c r="I73" s="585">
        <v>1.4821969375237396E-323</v>
      </c>
      <c r="J73" s="586">
        <v>-1.635835948285</v>
      </c>
      <c r="K73" s="589">
        <v>0</v>
      </c>
    </row>
    <row r="74" spans="1:11" ht="14.4" customHeight="1" thickBot="1" x14ac:dyDescent="0.35">
      <c r="A74" s="607" t="s">
        <v>391</v>
      </c>
      <c r="B74" s="585">
        <v>44.996371158099997</v>
      </c>
      <c r="C74" s="585">
        <v>166.51021</v>
      </c>
      <c r="D74" s="586">
        <v>121.5138388419</v>
      </c>
      <c r="E74" s="587">
        <v>3.7005253026939999</v>
      </c>
      <c r="F74" s="585">
        <v>44.999924026344999</v>
      </c>
      <c r="G74" s="586">
        <v>11.249981006585999</v>
      </c>
      <c r="H74" s="588">
        <v>0.98977999999999999</v>
      </c>
      <c r="I74" s="585">
        <v>10.59327</v>
      </c>
      <c r="J74" s="586">
        <v>-0.65671100658600001</v>
      </c>
      <c r="K74" s="589">
        <v>0.23540639743700001</v>
      </c>
    </row>
    <row r="75" spans="1:11" ht="14.4" customHeight="1" thickBot="1" x14ac:dyDescent="0.35">
      <c r="A75" s="607" t="s">
        <v>392</v>
      </c>
      <c r="B75" s="585">
        <v>29.997787212420999</v>
      </c>
      <c r="C75" s="585">
        <v>20.593920000000001</v>
      </c>
      <c r="D75" s="586">
        <v>-9.4038672124209999</v>
      </c>
      <c r="E75" s="587">
        <v>0.68651463703500004</v>
      </c>
      <c r="F75" s="585">
        <v>17.846618628299002</v>
      </c>
      <c r="G75" s="586">
        <v>4.4616546570739999</v>
      </c>
      <c r="H75" s="588">
        <v>1.7083600000000001</v>
      </c>
      <c r="I75" s="585">
        <v>2.6185</v>
      </c>
      <c r="J75" s="586">
        <v>-1.8431546570740001</v>
      </c>
      <c r="K75" s="589">
        <v>0.146722471888</v>
      </c>
    </row>
    <row r="76" spans="1:11" ht="14.4" customHeight="1" thickBot="1" x14ac:dyDescent="0.35">
      <c r="A76" s="610" t="s">
        <v>46</v>
      </c>
      <c r="B76" s="590">
        <v>0</v>
      </c>
      <c r="C76" s="590">
        <v>57.143999999999998</v>
      </c>
      <c r="D76" s="591">
        <v>57.143999999999998</v>
      </c>
      <c r="E76" s="592" t="s">
        <v>322</v>
      </c>
      <c r="F76" s="590">
        <v>0</v>
      </c>
      <c r="G76" s="591">
        <v>0</v>
      </c>
      <c r="H76" s="593">
        <v>4.7679999999999998</v>
      </c>
      <c r="I76" s="590">
        <v>13.907</v>
      </c>
      <c r="J76" s="591">
        <v>13.907</v>
      </c>
      <c r="K76" s="594" t="s">
        <v>322</v>
      </c>
    </row>
    <row r="77" spans="1:11" ht="14.4" customHeight="1" thickBot="1" x14ac:dyDescent="0.35">
      <c r="A77" s="606" t="s">
        <v>393</v>
      </c>
      <c r="B77" s="590">
        <v>0</v>
      </c>
      <c r="C77" s="590">
        <v>57.143999999999998</v>
      </c>
      <c r="D77" s="591">
        <v>57.143999999999998</v>
      </c>
      <c r="E77" s="592" t="s">
        <v>322</v>
      </c>
      <c r="F77" s="590">
        <v>0</v>
      </c>
      <c r="G77" s="591">
        <v>0</v>
      </c>
      <c r="H77" s="593">
        <v>4.7679999999999998</v>
      </c>
      <c r="I77" s="590">
        <v>13.907</v>
      </c>
      <c r="J77" s="591">
        <v>13.907</v>
      </c>
      <c r="K77" s="594" t="s">
        <v>322</v>
      </c>
    </row>
    <row r="78" spans="1:11" ht="14.4" customHeight="1" thickBot="1" x14ac:dyDescent="0.35">
      <c r="A78" s="607" t="s">
        <v>394</v>
      </c>
      <c r="B78" s="585">
        <v>0</v>
      </c>
      <c r="C78" s="585">
        <v>26.224</v>
      </c>
      <c r="D78" s="586">
        <v>26.224</v>
      </c>
      <c r="E78" s="595" t="s">
        <v>322</v>
      </c>
      <c r="F78" s="585">
        <v>0</v>
      </c>
      <c r="G78" s="586">
        <v>0</v>
      </c>
      <c r="H78" s="588">
        <v>1.6879999999999999</v>
      </c>
      <c r="I78" s="585">
        <v>7.7469999999999999</v>
      </c>
      <c r="J78" s="586">
        <v>7.7469999999999999</v>
      </c>
      <c r="K78" s="596" t="s">
        <v>322</v>
      </c>
    </row>
    <row r="79" spans="1:11" ht="14.4" customHeight="1" thickBot="1" x14ac:dyDescent="0.35">
      <c r="A79" s="607" t="s">
        <v>395</v>
      </c>
      <c r="B79" s="585">
        <v>0</v>
      </c>
      <c r="C79" s="585">
        <v>30.92</v>
      </c>
      <c r="D79" s="586">
        <v>30.92</v>
      </c>
      <c r="E79" s="595" t="s">
        <v>322</v>
      </c>
      <c r="F79" s="585">
        <v>0</v>
      </c>
      <c r="G79" s="586">
        <v>0</v>
      </c>
      <c r="H79" s="588">
        <v>3.08</v>
      </c>
      <c r="I79" s="585">
        <v>6.16</v>
      </c>
      <c r="J79" s="586">
        <v>6.16</v>
      </c>
      <c r="K79" s="596" t="s">
        <v>322</v>
      </c>
    </row>
    <row r="80" spans="1:11" ht="14.4" customHeight="1" thickBot="1" x14ac:dyDescent="0.35">
      <c r="A80" s="605" t="s">
        <v>47</v>
      </c>
      <c r="B80" s="585">
        <v>942.34390959382301</v>
      </c>
      <c r="C80" s="585">
        <v>908.46310000000096</v>
      </c>
      <c r="D80" s="586">
        <v>-33.880809593822001</v>
      </c>
      <c r="E80" s="587">
        <v>0.96404623699500003</v>
      </c>
      <c r="F80" s="585">
        <v>891.49599297832299</v>
      </c>
      <c r="G80" s="586">
        <v>222.873998244581</v>
      </c>
      <c r="H80" s="588">
        <v>65.280659999999997</v>
      </c>
      <c r="I80" s="585">
        <v>152.21904000000001</v>
      </c>
      <c r="J80" s="586">
        <v>-70.654958244580001</v>
      </c>
      <c r="K80" s="589">
        <v>0.170745624432</v>
      </c>
    </row>
    <row r="81" spans="1:11" ht="14.4" customHeight="1" thickBot="1" x14ac:dyDescent="0.35">
      <c r="A81" s="606" t="s">
        <v>396</v>
      </c>
      <c r="B81" s="590">
        <v>11.284946544835</v>
      </c>
      <c r="C81" s="590">
        <v>0.51800000000000002</v>
      </c>
      <c r="D81" s="591">
        <v>-10.766946544834999</v>
      </c>
      <c r="E81" s="597">
        <v>4.5901856773000002E-2</v>
      </c>
      <c r="F81" s="590">
        <v>0.20704397083500001</v>
      </c>
      <c r="G81" s="591">
        <v>5.1760992707999998E-2</v>
      </c>
      <c r="H81" s="593">
        <v>4.9406564584124654E-324</v>
      </c>
      <c r="I81" s="590">
        <v>0.20699999999999999</v>
      </c>
      <c r="J81" s="591">
        <v>0.15523900729099999</v>
      </c>
      <c r="K81" s="598">
        <v>0.99978762561699996</v>
      </c>
    </row>
    <row r="82" spans="1:11" ht="14.4" customHeight="1" thickBot="1" x14ac:dyDescent="0.35">
      <c r="A82" s="607" t="s">
        <v>397</v>
      </c>
      <c r="B82" s="585">
        <v>11.284946544835</v>
      </c>
      <c r="C82" s="585">
        <v>0.51800000000000002</v>
      </c>
      <c r="D82" s="586">
        <v>-10.766946544834999</v>
      </c>
      <c r="E82" s="587">
        <v>4.5901856773000002E-2</v>
      </c>
      <c r="F82" s="585">
        <v>0.20704397083500001</v>
      </c>
      <c r="G82" s="586">
        <v>5.1760992707999998E-2</v>
      </c>
      <c r="H82" s="588">
        <v>4.9406564584124654E-324</v>
      </c>
      <c r="I82" s="585">
        <v>0.20699999999999999</v>
      </c>
      <c r="J82" s="586">
        <v>0.15523900729099999</v>
      </c>
      <c r="K82" s="589">
        <v>0.99978762561699996</v>
      </c>
    </row>
    <row r="83" spans="1:11" ht="14.4" customHeight="1" thickBot="1" x14ac:dyDescent="0.35">
      <c r="A83" s="606" t="s">
        <v>398</v>
      </c>
      <c r="B83" s="590">
        <v>6.4491310371879997</v>
      </c>
      <c r="C83" s="590">
        <v>7.03878</v>
      </c>
      <c r="D83" s="591">
        <v>0.58964896281099999</v>
      </c>
      <c r="E83" s="597">
        <v>1.0914307616650001</v>
      </c>
      <c r="F83" s="590">
        <v>6.7003989996410001</v>
      </c>
      <c r="G83" s="591">
        <v>1.67509974991</v>
      </c>
      <c r="H83" s="593">
        <v>0.48020000000000002</v>
      </c>
      <c r="I83" s="590">
        <v>1.3054300000000001</v>
      </c>
      <c r="J83" s="591">
        <v>-0.36966974991000001</v>
      </c>
      <c r="K83" s="598">
        <v>0.19482869603200001</v>
      </c>
    </row>
    <row r="84" spans="1:11" ht="14.4" customHeight="1" thickBot="1" x14ac:dyDescent="0.35">
      <c r="A84" s="607" t="s">
        <v>399</v>
      </c>
      <c r="B84" s="585">
        <v>1.60928824368</v>
      </c>
      <c r="C84" s="585">
        <v>1.0697000000000001</v>
      </c>
      <c r="D84" s="586">
        <v>-0.53958824368000002</v>
      </c>
      <c r="E84" s="587">
        <v>0.66470379324499995</v>
      </c>
      <c r="F84" s="585">
        <v>1.0942883678140001</v>
      </c>
      <c r="G84" s="586">
        <v>0.27357209195299997</v>
      </c>
      <c r="H84" s="588">
        <v>0.1159</v>
      </c>
      <c r="I84" s="585">
        <v>0.37430000000000002</v>
      </c>
      <c r="J84" s="586">
        <v>0.100727908046</v>
      </c>
      <c r="K84" s="589">
        <v>0.34204877892199997</v>
      </c>
    </row>
    <row r="85" spans="1:11" ht="14.4" customHeight="1" thickBot="1" x14ac:dyDescent="0.35">
      <c r="A85" s="607" t="s">
        <v>400</v>
      </c>
      <c r="B85" s="585">
        <v>4.8398427935079997</v>
      </c>
      <c r="C85" s="585">
        <v>5.9690799999999999</v>
      </c>
      <c r="D85" s="586">
        <v>1.1292372064909999</v>
      </c>
      <c r="E85" s="587">
        <v>1.2333210508420001</v>
      </c>
      <c r="F85" s="585">
        <v>5.6061106318259997</v>
      </c>
      <c r="G85" s="586">
        <v>1.4015276579560001</v>
      </c>
      <c r="H85" s="588">
        <v>0.36430000000000001</v>
      </c>
      <c r="I85" s="585">
        <v>0.93113000000000001</v>
      </c>
      <c r="J85" s="586">
        <v>-0.47039765795600003</v>
      </c>
      <c r="K85" s="589">
        <v>0.166091977335</v>
      </c>
    </row>
    <row r="86" spans="1:11" ht="14.4" customHeight="1" thickBot="1" x14ac:dyDescent="0.35">
      <c r="A86" s="606" t="s">
        <v>401</v>
      </c>
      <c r="B86" s="590">
        <v>26.288204153319999</v>
      </c>
      <c r="C86" s="590">
        <v>32.188769999999998</v>
      </c>
      <c r="D86" s="591">
        <v>5.9005658466790001</v>
      </c>
      <c r="E86" s="597">
        <v>1.224456787244</v>
      </c>
      <c r="F86" s="590">
        <v>30.480234060506</v>
      </c>
      <c r="G86" s="591">
        <v>7.6200585151259999</v>
      </c>
      <c r="H86" s="593">
        <v>1.7520800000000001</v>
      </c>
      <c r="I86" s="590">
        <v>9.2587200000000003</v>
      </c>
      <c r="J86" s="591">
        <v>1.6386614848729999</v>
      </c>
      <c r="K86" s="598">
        <v>0.30376144689700002</v>
      </c>
    </row>
    <row r="87" spans="1:11" ht="14.4" customHeight="1" thickBot="1" x14ac:dyDescent="0.35">
      <c r="A87" s="607" t="s">
        <v>402</v>
      </c>
      <c r="B87" s="585">
        <v>13.996366320678</v>
      </c>
      <c r="C87" s="585">
        <v>13.095000000000001</v>
      </c>
      <c r="D87" s="586">
        <v>-0.90136632067800004</v>
      </c>
      <c r="E87" s="587">
        <v>0.93559997644899995</v>
      </c>
      <c r="F87" s="585">
        <v>13.001786673335999</v>
      </c>
      <c r="G87" s="586">
        <v>3.2504466683339999</v>
      </c>
      <c r="H87" s="588">
        <v>4.9406564584124654E-324</v>
      </c>
      <c r="I87" s="585">
        <v>3.24</v>
      </c>
      <c r="J87" s="586">
        <v>-1.0446668333E-2</v>
      </c>
      <c r="K87" s="589">
        <v>0.249196520555</v>
      </c>
    </row>
    <row r="88" spans="1:11" ht="14.4" customHeight="1" thickBot="1" x14ac:dyDescent="0.35">
      <c r="A88" s="607" t="s">
        <v>403</v>
      </c>
      <c r="B88" s="585">
        <v>12.291837832642001</v>
      </c>
      <c r="C88" s="585">
        <v>19.093769999999999</v>
      </c>
      <c r="D88" s="586">
        <v>6.8019321673570001</v>
      </c>
      <c r="E88" s="587">
        <v>1.5533698263810001</v>
      </c>
      <c r="F88" s="585">
        <v>17.47844738717</v>
      </c>
      <c r="G88" s="586">
        <v>4.369611846792</v>
      </c>
      <c r="H88" s="588">
        <v>1.7520800000000001</v>
      </c>
      <c r="I88" s="585">
        <v>6.0187200000000001</v>
      </c>
      <c r="J88" s="586">
        <v>1.649108153207</v>
      </c>
      <c r="K88" s="589">
        <v>0.34435095215700001</v>
      </c>
    </row>
    <row r="89" spans="1:11" ht="14.4" customHeight="1" thickBot="1" x14ac:dyDescent="0.35">
      <c r="A89" s="606" t="s">
        <v>404</v>
      </c>
      <c r="B89" s="590">
        <v>409.00041530669603</v>
      </c>
      <c r="C89" s="590">
        <v>436.35645</v>
      </c>
      <c r="D89" s="591">
        <v>27.356034693304</v>
      </c>
      <c r="E89" s="597">
        <v>1.0668851024820001</v>
      </c>
      <c r="F89" s="590">
        <v>439.79805378141299</v>
      </c>
      <c r="G89" s="591">
        <v>109.94951344535301</v>
      </c>
      <c r="H89" s="593">
        <v>34.198639999999997</v>
      </c>
      <c r="I89" s="590">
        <v>76.848200000000006</v>
      </c>
      <c r="J89" s="591">
        <v>-33.101313445351998</v>
      </c>
      <c r="K89" s="598">
        <v>0.17473519798199999</v>
      </c>
    </row>
    <row r="90" spans="1:11" ht="14.4" customHeight="1" thickBot="1" x14ac:dyDescent="0.35">
      <c r="A90" s="607" t="s">
        <v>405</v>
      </c>
      <c r="B90" s="585">
        <v>409.00041530669603</v>
      </c>
      <c r="C90" s="585">
        <v>436.35645</v>
      </c>
      <c r="D90" s="586">
        <v>27.356034693304</v>
      </c>
      <c r="E90" s="587">
        <v>1.0668851024820001</v>
      </c>
      <c r="F90" s="585">
        <v>439.79805378141299</v>
      </c>
      <c r="G90" s="586">
        <v>109.94951344535301</v>
      </c>
      <c r="H90" s="588">
        <v>34.198639999999997</v>
      </c>
      <c r="I90" s="585">
        <v>76.848200000000006</v>
      </c>
      <c r="J90" s="586">
        <v>-33.101313445351998</v>
      </c>
      <c r="K90" s="589">
        <v>0.17473519798199999</v>
      </c>
    </row>
    <row r="91" spans="1:11" ht="14.4" customHeight="1" thickBot="1" x14ac:dyDescent="0.35">
      <c r="A91" s="606" t="s">
        <v>406</v>
      </c>
      <c r="B91" s="590">
        <v>489.32121255178299</v>
      </c>
      <c r="C91" s="590">
        <v>417.16210000000001</v>
      </c>
      <c r="D91" s="591">
        <v>-72.159112551782002</v>
      </c>
      <c r="E91" s="597">
        <v>0.85253222075599999</v>
      </c>
      <c r="F91" s="590">
        <v>414.31026216592699</v>
      </c>
      <c r="G91" s="591">
        <v>103.577565541482</v>
      </c>
      <c r="H91" s="593">
        <v>28.849740000000001</v>
      </c>
      <c r="I91" s="590">
        <v>64.599689999999995</v>
      </c>
      <c r="J91" s="591">
        <v>-38.977875541480998</v>
      </c>
      <c r="K91" s="598">
        <v>0.155921047338</v>
      </c>
    </row>
    <row r="92" spans="1:11" ht="14.4" customHeight="1" thickBot="1" x14ac:dyDescent="0.35">
      <c r="A92" s="607" t="s">
        <v>407</v>
      </c>
      <c r="B92" s="585">
        <v>1.001306779394</v>
      </c>
      <c r="C92" s="585">
        <v>14.260999999999999</v>
      </c>
      <c r="D92" s="586">
        <v>13.259693220605</v>
      </c>
      <c r="E92" s="587">
        <v>14.242388340392999</v>
      </c>
      <c r="F92" s="585">
        <v>14.636300222075</v>
      </c>
      <c r="G92" s="586">
        <v>3.6590750555180001</v>
      </c>
      <c r="H92" s="588">
        <v>4.9406564584124654E-324</v>
      </c>
      <c r="I92" s="585">
        <v>1.4821969375237396E-323</v>
      </c>
      <c r="J92" s="586">
        <v>-3.6590750555180001</v>
      </c>
      <c r="K92" s="589">
        <v>0</v>
      </c>
    </row>
    <row r="93" spans="1:11" ht="14.4" customHeight="1" thickBot="1" x14ac:dyDescent="0.35">
      <c r="A93" s="607" t="s">
        <v>408</v>
      </c>
      <c r="B93" s="585">
        <v>331.99047281781702</v>
      </c>
      <c r="C93" s="585">
        <v>336.57229999999998</v>
      </c>
      <c r="D93" s="586">
        <v>4.5818271821829999</v>
      </c>
      <c r="E93" s="587">
        <v>1.0138010803240001</v>
      </c>
      <c r="F93" s="585">
        <v>332.75676696885898</v>
      </c>
      <c r="G93" s="586">
        <v>83.189191742214007</v>
      </c>
      <c r="H93" s="588">
        <v>19.90934</v>
      </c>
      <c r="I93" s="585">
        <v>43.77899</v>
      </c>
      <c r="J93" s="586">
        <v>-39.410201742213999</v>
      </c>
      <c r="K93" s="589">
        <v>0.13156453705999999</v>
      </c>
    </row>
    <row r="94" spans="1:11" ht="14.4" customHeight="1" thickBot="1" x14ac:dyDescent="0.35">
      <c r="A94" s="607" t="s">
        <v>409</v>
      </c>
      <c r="B94" s="585">
        <v>8.9953601129309995</v>
      </c>
      <c r="C94" s="585">
        <v>9.9930000000000003</v>
      </c>
      <c r="D94" s="586">
        <v>0.997639887068</v>
      </c>
      <c r="E94" s="587">
        <v>1.110906053181</v>
      </c>
      <c r="F94" s="585">
        <v>1.0003644167400001</v>
      </c>
      <c r="G94" s="586">
        <v>0.25009110418500002</v>
      </c>
      <c r="H94" s="588">
        <v>4.9406564584124654E-324</v>
      </c>
      <c r="I94" s="585">
        <v>1.742</v>
      </c>
      <c r="J94" s="586">
        <v>1.4919088958140001</v>
      </c>
      <c r="K94" s="589">
        <v>1.7413654172899999</v>
      </c>
    </row>
    <row r="95" spans="1:11" ht="14.4" customHeight="1" thickBot="1" x14ac:dyDescent="0.35">
      <c r="A95" s="607" t="s">
        <v>410</v>
      </c>
      <c r="B95" s="585">
        <v>4.9146522645899999</v>
      </c>
      <c r="C95" s="585">
        <v>4.9406564584124654E-324</v>
      </c>
      <c r="D95" s="586">
        <v>-4.9146522645899999</v>
      </c>
      <c r="E95" s="587">
        <v>0</v>
      </c>
      <c r="F95" s="585">
        <v>4.9406564584124654E-324</v>
      </c>
      <c r="G95" s="586">
        <v>0</v>
      </c>
      <c r="H95" s="588">
        <v>4.9406564584124654E-324</v>
      </c>
      <c r="I95" s="585">
        <v>1.1979</v>
      </c>
      <c r="J95" s="586">
        <v>1.1979</v>
      </c>
      <c r="K95" s="596" t="s">
        <v>328</v>
      </c>
    </row>
    <row r="96" spans="1:11" ht="14.4" customHeight="1" thickBot="1" x14ac:dyDescent="0.35">
      <c r="A96" s="607" t="s">
        <v>411</v>
      </c>
      <c r="B96" s="585">
        <v>142.41942057705</v>
      </c>
      <c r="C96" s="585">
        <v>56.335799999999999</v>
      </c>
      <c r="D96" s="586">
        <v>-86.083620577049004</v>
      </c>
      <c r="E96" s="587">
        <v>0.39556262602199999</v>
      </c>
      <c r="F96" s="585">
        <v>65.916830558252002</v>
      </c>
      <c r="G96" s="586">
        <v>16.479207639563</v>
      </c>
      <c r="H96" s="588">
        <v>8.9404000000000003</v>
      </c>
      <c r="I96" s="585">
        <v>17.880800000000001</v>
      </c>
      <c r="J96" s="586">
        <v>1.4015923604360001</v>
      </c>
      <c r="K96" s="589">
        <v>0.27126304235999998</v>
      </c>
    </row>
    <row r="97" spans="1:11" ht="14.4" customHeight="1" thickBot="1" x14ac:dyDescent="0.35">
      <c r="A97" s="606" t="s">
        <v>412</v>
      </c>
      <c r="B97" s="590">
        <v>0</v>
      </c>
      <c r="C97" s="590">
        <v>15.199</v>
      </c>
      <c r="D97" s="591">
        <v>15.199</v>
      </c>
      <c r="E97" s="592" t="s">
        <v>322</v>
      </c>
      <c r="F97" s="590">
        <v>0</v>
      </c>
      <c r="G97" s="591">
        <v>0</v>
      </c>
      <c r="H97" s="593">
        <v>4.9406564584124654E-324</v>
      </c>
      <c r="I97" s="590">
        <v>1.4821969375237396E-323</v>
      </c>
      <c r="J97" s="591">
        <v>1.4821969375237396E-323</v>
      </c>
      <c r="K97" s="594" t="s">
        <v>322</v>
      </c>
    </row>
    <row r="98" spans="1:11" ht="14.4" customHeight="1" thickBot="1" x14ac:dyDescent="0.35">
      <c r="A98" s="607" t="s">
        <v>413</v>
      </c>
      <c r="B98" s="585">
        <v>4.9406564584124654E-324</v>
      </c>
      <c r="C98" s="585">
        <v>15.199</v>
      </c>
      <c r="D98" s="586">
        <v>15.199</v>
      </c>
      <c r="E98" s="595" t="s">
        <v>328</v>
      </c>
      <c r="F98" s="585">
        <v>0</v>
      </c>
      <c r="G98" s="586">
        <v>0</v>
      </c>
      <c r="H98" s="588">
        <v>4.9406564584124654E-324</v>
      </c>
      <c r="I98" s="585">
        <v>1.4821969375237396E-323</v>
      </c>
      <c r="J98" s="586">
        <v>1.4821969375237396E-323</v>
      </c>
      <c r="K98" s="596" t="s">
        <v>322</v>
      </c>
    </row>
    <row r="99" spans="1:11" ht="14.4" customHeight="1" thickBot="1" x14ac:dyDescent="0.35">
      <c r="A99" s="604" t="s">
        <v>48</v>
      </c>
      <c r="B99" s="585">
        <v>29946.1593636621</v>
      </c>
      <c r="C99" s="585">
        <v>32314.10053</v>
      </c>
      <c r="D99" s="586">
        <v>2367.9411663379501</v>
      </c>
      <c r="E99" s="587">
        <v>1.0790732840749999</v>
      </c>
      <c r="F99" s="585">
        <v>30448.149869839501</v>
      </c>
      <c r="G99" s="586">
        <v>7612.0374674598797</v>
      </c>
      <c r="H99" s="588">
        <v>2620.4636399999999</v>
      </c>
      <c r="I99" s="585">
        <v>7702.9580600000099</v>
      </c>
      <c r="J99" s="586">
        <v>90.920592540127004</v>
      </c>
      <c r="K99" s="589">
        <v>0.25298607938099998</v>
      </c>
    </row>
    <row r="100" spans="1:11" ht="14.4" customHeight="1" thickBot="1" x14ac:dyDescent="0.35">
      <c r="A100" s="610" t="s">
        <v>414</v>
      </c>
      <c r="B100" s="590">
        <v>22282.749999998901</v>
      </c>
      <c r="C100" s="590">
        <v>23999.949000000001</v>
      </c>
      <c r="D100" s="591">
        <v>1717.1990000011201</v>
      </c>
      <c r="E100" s="597">
        <v>1.0770640517879999</v>
      </c>
      <c r="F100" s="590">
        <v>22610.9999999996</v>
      </c>
      <c r="G100" s="591">
        <v>5652.7499999999</v>
      </c>
      <c r="H100" s="593">
        <v>1942.672</v>
      </c>
      <c r="I100" s="590">
        <v>5711.8380000000097</v>
      </c>
      <c r="J100" s="591">
        <v>59.088000000108998</v>
      </c>
      <c r="K100" s="598">
        <v>0.25261324134199997</v>
      </c>
    </row>
    <row r="101" spans="1:11" ht="14.4" customHeight="1" thickBot="1" x14ac:dyDescent="0.35">
      <c r="A101" s="606" t="s">
        <v>415</v>
      </c>
      <c r="B101" s="590">
        <v>21896.749999998901</v>
      </c>
      <c r="C101" s="590">
        <v>23698.026999999998</v>
      </c>
      <c r="D101" s="591">
        <v>1801.2770000011001</v>
      </c>
      <c r="E101" s="597">
        <v>1.0822622991990001</v>
      </c>
      <c r="F101" s="590">
        <v>22392.9999999996</v>
      </c>
      <c r="G101" s="591">
        <v>5598.2499999999</v>
      </c>
      <c r="H101" s="593">
        <v>1928.2190000000001</v>
      </c>
      <c r="I101" s="590">
        <v>5660.0110000000104</v>
      </c>
      <c r="J101" s="591">
        <v>61.761000000107998</v>
      </c>
      <c r="K101" s="598">
        <v>0.25275804939000002</v>
      </c>
    </row>
    <row r="102" spans="1:11" ht="14.4" customHeight="1" thickBot="1" x14ac:dyDescent="0.35">
      <c r="A102" s="607" t="s">
        <v>416</v>
      </c>
      <c r="B102" s="585">
        <v>21896.749999998901</v>
      </c>
      <c r="C102" s="585">
        <v>23698.026999999998</v>
      </c>
      <c r="D102" s="586">
        <v>1801.2770000011001</v>
      </c>
      <c r="E102" s="587">
        <v>1.0822622991990001</v>
      </c>
      <c r="F102" s="585">
        <v>22392.9999999996</v>
      </c>
      <c r="G102" s="586">
        <v>5598.2499999999</v>
      </c>
      <c r="H102" s="588">
        <v>1928.2190000000001</v>
      </c>
      <c r="I102" s="585">
        <v>5660.0110000000104</v>
      </c>
      <c r="J102" s="586">
        <v>61.761000000107998</v>
      </c>
      <c r="K102" s="589">
        <v>0.25275804939000002</v>
      </c>
    </row>
    <row r="103" spans="1:11" ht="14.4" customHeight="1" thickBot="1" x14ac:dyDescent="0.35">
      <c r="A103" s="606" t="s">
        <v>417</v>
      </c>
      <c r="B103" s="590">
        <v>385.99999999997902</v>
      </c>
      <c r="C103" s="590">
        <v>236</v>
      </c>
      <c r="D103" s="591">
        <v>-149.999999999979</v>
      </c>
      <c r="E103" s="597">
        <v>0.61139896373000002</v>
      </c>
      <c r="F103" s="590">
        <v>141.99999999999699</v>
      </c>
      <c r="G103" s="591">
        <v>35.499999999998998</v>
      </c>
      <c r="H103" s="593">
        <v>8.4</v>
      </c>
      <c r="I103" s="590">
        <v>29.1</v>
      </c>
      <c r="J103" s="591">
        <v>-6.3999999999990003</v>
      </c>
      <c r="K103" s="598">
        <v>0.20492957746400001</v>
      </c>
    </row>
    <row r="104" spans="1:11" ht="14.4" customHeight="1" thickBot="1" x14ac:dyDescent="0.35">
      <c r="A104" s="607" t="s">
        <v>418</v>
      </c>
      <c r="B104" s="585">
        <v>385.99999999997902</v>
      </c>
      <c r="C104" s="585">
        <v>236</v>
      </c>
      <c r="D104" s="586">
        <v>-149.999999999979</v>
      </c>
      <c r="E104" s="587">
        <v>0.61139896373000002</v>
      </c>
      <c r="F104" s="585">
        <v>141.99999999999699</v>
      </c>
      <c r="G104" s="586">
        <v>35.499999999998998</v>
      </c>
      <c r="H104" s="588">
        <v>8.4</v>
      </c>
      <c r="I104" s="585">
        <v>29.1</v>
      </c>
      <c r="J104" s="586">
        <v>-6.3999999999990003</v>
      </c>
      <c r="K104" s="589">
        <v>0.20492957746400001</v>
      </c>
    </row>
    <row r="105" spans="1:11" ht="14.4" customHeight="1" thickBot="1" x14ac:dyDescent="0.35">
      <c r="A105" s="606" t="s">
        <v>419</v>
      </c>
      <c r="B105" s="590">
        <v>0</v>
      </c>
      <c r="C105" s="590">
        <v>65.921999999999997</v>
      </c>
      <c r="D105" s="591">
        <v>65.921999999999997</v>
      </c>
      <c r="E105" s="592" t="s">
        <v>322</v>
      </c>
      <c r="F105" s="590">
        <v>75.999999999997996</v>
      </c>
      <c r="G105" s="591">
        <v>18.999999999999002</v>
      </c>
      <c r="H105" s="593">
        <v>6.0529999999999999</v>
      </c>
      <c r="I105" s="590">
        <v>22.727</v>
      </c>
      <c r="J105" s="591">
        <v>3.7269999999999999</v>
      </c>
      <c r="K105" s="598">
        <v>0.29903947368400002</v>
      </c>
    </row>
    <row r="106" spans="1:11" ht="14.4" customHeight="1" thickBot="1" x14ac:dyDescent="0.35">
      <c r="A106" s="607" t="s">
        <v>420</v>
      </c>
      <c r="B106" s="585">
        <v>0</v>
      </c>
      <c r="C106" s="585">
        <v>65.921999999999997</v>
      </c>
      <c r="D106" s="586">
        <v>65.921999999999997</v>
      </c>
      <c r="E106" s="595" t="s">
        <v>322</v>
      </c>
      <c r="F106" s="585">
        <v>75.999999999997996</v>
      </c>
      <c r="G106" s="586">
        <v>18.999999999999002</v>
      </c>
      <c r="H106" s="588">
        <v>6.0529999999999999</v>
      </c>
      <c r="I106" s="585">
        <v>22.727</v>
      </c>
      <c r="J106" s="586">
        <v>3.7269999999999999</v>
      </c>
      <c r="K106" s="589">
        <v>0.29903947368400002</v>
      </c>
    </row>
    <row r="107" spans="1:11" ht="14.4" customHeight="1" thickBot="1" x14ac:dyDescent="0.35">
      <c r="A107" s="605" t="s">
        <v>421</v>
      </c>
      <c r="B107" s="585">
        <v>7445.4093636631897</v>
      </c>
      <c r="C107" s="585">
        <v>8076.5103799999997</v>
      </c>
      <c r="D107" s="586">
        <v>631.10101633681597</v>
      </c>
      <c r="E107" s="587">
        <v>1.084763776645</v>
      </c>
      <c r="F107" s="585">
        <v>7613.14986983994</v>
      </c>
      <c r="G107" s="586">
        <v>1903.28746745999</v>
      </c>
      <c r="H107" s="588">
        <v>658.44875000000002</v>
      </c>
      <c r="I107" s="585">
        <v>1934.2927500000001</v>
      </c>
      <c r="J107" s="586">
        <v>31.005282540016999</v>
      </c>
      <c r="K107" s="589">
        <v>0.254072595846</v>
      </c>
    </row>
    <row r="108" spans="1:11" ht="14.4" customHeight="1" thickBot="1" x14ac:dyDescent="0.35">
      <c r="A108" s="606" t="s">
        <v>422</v>
      </c>
      <c r="B108" s="590">
        <v>1971.2499861359299</v>
      </c>
      <c r="C108" s="590">
        <v>2154.0570400000001</v>
      </c>
      <c r="D108" s="591">
        <v>182.807053864073</v>
      </c>
      <c r="E108" s="597">
        <v>1.092736616436</v>
      </c>
      <c r="F108" s="590">
        <v>2015.1498698400601</v>
      </c>
      <c r="G108" s="591">
        <v>503.787467460014</v>
      </c>
      <c r="H108" s="593">
        <v>174.29400000000001</v>
      </c>
      <c r="I108" s="590">
        <v>512.01500000000101</v>
      </c>
      <c r="J108" s="591">
        <v>8.2275325399860009</v>
      </c>
      <c r="K108" s="598">
        <v>0.25408283903000001</v>
      </c>
    </row>
    <row r="109" spans="1:11" ht="14.4" customHeight="1" thickBot="1" x14ac:dyDescent="0.35">
      <c r="A109" s="607" t="s">
        <v>423</v>
      </c>
      <c r="B109" s="585">
        <v>1971.2499861359299</v>
      </c>
      <c r="C109" s="585">
        <v>2154.0570400000001</v>
      </c>
      <c r="D109" s="586">
        <v>182.807053864073</v>
      </c>
      <c r="E109" s="587">
        <v>1.092736616436</v>
      </c>
      <c r="F109" s="585">
        <v>2015.1498698400601</v>
      </c>
      <c r="G109" s="586">
        <v>503.787467460014</v>
      </c>
      <c r="H109" s="588">
        <v>174.29400000000001</v>
      </c>
      <c r="I109" s="585">
        <v>512.01500000000101</v>
      </c>
      <c r="J109" s="586">
        <v>8.2275325399860009</v>
      </c>
      <c r="K109" s="589">
        <v>0.25408283903000001</v>
      </c>
    </row>
    <row r="110" spans="1:11" ht="14.4" customHeight="1" thickBot="1" x14ac:dyDescent="0.35">
      <c r="A110" s="606" t="s">
        <v>424</v>
      </c>
      <c r="B110" s="590">
        <v>5474.1593775272604</v>
      </c>
      <c r="C110" s="590">
        <v>5922.45334</v>
      </c>
      <c r="D110" s="591">
        <v>448.29396247274298</v>
      </c>
      <c r="E110" s="597">
        <v>1.081892749471</v>
      </c>
      <c r="F110" s="590">
        <v>5597.99999999989</v>
      </c>
      <c r="G110" s="591">
        <v>1399.49999999997</v>
      </c>
      <c r="H110" s="593">
        <v>484.15474999999998</v>
      </c>
      <c r="I110" s="590">
        <v>1422.27775</v>
      </c>
      <c r="J110" s="591">
        <v>22.77775000003</v>
      </c>
      <c r="K110" s="598">
        <v>0.25406890853800002</v>
      </c>
    </row>
    <row r="111" spans="1:11" ht="14.4" customHeight="1" thickBot="1" x14ac:dyDescent="0.35">
      <c r="A111" s="607" t="s">
        <v>425</v>
      </c>
      <c r="B111" s="585">
        <v>5474.1593775272604</v>
      </c>
      <c r="C111" s="585">
        <v>5922.45334</v>
      </c>
      <c r="D111" s="586">
        <v>448.29396247274298</v>
      </c>
      <c r="E111" s="587">
        <v>1.081892749471</v>
      </c>
      <c r="F111" s="585">
        <v>5597.99999999989</v>
      </c>
      <c r="G111" s="586">
        <v>1399.49999999997</v>
      </c>
      <c r="H111" s="588">
        <v>484.15474999999998</v>
      </c>
      <c r="I111" s="585">
        <v>1422.27775</v>
      </c>
      <c r="J111" s="586">
        <v>22.77775000003</v>
      </c>
      <c r="K111" s="589">
        <v>0.25406890853800002</v>
      </c>
    </row>
    <row r="112" spans="1:11" ht="14.4" customHeight="1" thickBot="1" x14ac:dyDescent="0.35">
      <c r="A112" s="605" t="s">
        <v>426</v>
      </c>
      <c r="B112" s="585">
        <v>217.99999999998801</v>
      </c>
      <c r="C112" s="585">
        <v>237.64115000000001</v>
      </c>
      <c r="D112" s="586">
        <v>19.641150000010999</v>
      </c>
      <c r="E112" s="587">
        <v>1.0900970183480001</v>
      </c>
      <c r="F112" s="585">
        <v>223.99999999999599</v>
      </c>
      <c r="G112" s="586">
        <v>55.999999999998003</v>
      </c>
      <c r="H112" s="588">
        <v>19.342890000000001</v>
      </c>
      <c r="I112" s="585">
        <v>56.827309999999997</v>
      </c>
      <c r="J112" s="586">
        <v>0.82731000000099997</v>
      </c>
      <c r="K112" s="589">
        <v>0.25369334821400003</v>
      </c>
    </row>
    <row r="113" spans="1:11" ht="14.4" customHeight="1" thickBot="1" x14ac:dyDescent="0.35">
      <c r="A113" s="606" t="s">
        <v>427</v>
      </c>
      <c r="B113" s="590">
        <v>217.99999999998801</v>
      </c>
      <c r="C113" s="590">
        <v>237.64115000000001</v>
      </c>
      <c r="D113" s="591">
        <v>19.641150000010999</v>
      </c>
      <c r="E113" s="597">
        <v>1.0900970183480001</v>
      </c>
      <c r="F113" s="590">
        <v>223.99999999999599</v>
      </c>
      <c r="G113" s="591">
        <v>55.999999999998003</v>
      </c>
      <c r="H113" s="593">
        <v>19.342890000000001</v>
      </c>
      <c r="I113" s="590">
        <v>56.827309999999997</v>
      </c>
      <c r="J113" s="591">
        <v>0.82731000000099997</v>
      </c>
      <c r="K113" s="598">
        <v>0.25369334821400003</v>
      </c>
    </row>
    <row r="114" spans="1:11" ht="14.4" customHeight="1" thickBot="1" x14ac:dyDescent="0.35">
      <c r="A114" s="607" t="s">
        <v>428</v>
      </c>
      <c r="B114" s="585">
        <v>217.99999999998801</v>
      </c>
      <c r="C114" s="585">
        <v>237.64115000000001</v>
      </c>
      <c r="D114" s="586">
        <v>19.641150000010999</v>
      </c>
      <c r="E114" s="587">
        <v>1.0900970183480001</v>
      </c>
      <c r="F114" s="585">
        <v>223.99999999999599</v>
      </c>
      <c r="G114" s="586">
        <v>55.999999999998003</v>
      </c>
      <c r="H114" s="588">
        <v>19.342890000000001</v>
      </c>
      <c r="I114" s="585">
        <v>56.827309999999997</v>
      </c>
      <c r="J114" s="586">
        <v>0.82731000000099997</v>
      </c>
      <c r="K114" s="589">
        <v>0.25369334821400003</v>
      </c>
    </row>
    <row r="115" spans="1:11" ht="14.4" customHeight="1" thickBot="1" x14ac:dyDescent="0.35">
      <c r="A115" s="604" t="s">
        <v>429</v>
      </c>
      <c r="B115" s="585">
        <v>0</v>
      </c>
      <c r="C115" s="585">
        <v>429.02379999999999</v>
      </c>
      <c r="D115" s="586">
        <v>429.02379999999999</v>
      </c>
      <c r="E115" s="595" t="s">
        <v>322</v>
      </c>
      <c r="F115" s="585">
        <v>0</v>
      </c>
      <c r="G115" s="586">
        <v>0</v>
      </c>
      <c r="H115" s="588">
        <v>7.97</v>
      </c>
      <c r="I115" s="585">
        <v>18.722000000000001</v>
      </c>
      <c r="J115" s="586">
        <v>18.722000000000001</v>
      </c>
      <c r="K115" s="596" t="s">
        <v>322</v>
      </c>
    </row>
    <row r="116" spans="1:11" ht="14.4" customHeight="1" thickBot="1" x14ac:dyDescent="0.35">
      <c r="A116" s="605" t="s">
        <v>430</v>
      </c>
      <c r="B116" s="585">
        <v>0</v>
      </c>
      <c r="C116" s="585">
        <v>194.18799999999899</v>
      </c>
      <c r="D116" s="586">
        <v>194.18799999999899</v>
      </c>
      <c r="E116" s="595" t="s">
        <v>322</v>
      </c>
      <c r="F116" s="585">
        <v>0</v>
      </c>
      <c r="G116" s="586">
        <v>0</v>
      </c>
      <c r="H116" s="588">
        <v>4.9406564584124654E-324</v>
      </c>
      <c r="I116" s="585">
        <v>1.4821969375237396E-323</v>
      </c>
      <c r="J116" s="586">
        <v>1.4821969375237396E-323</v>
      </c>
      <c r="K116" s="596" t="s">
        <v>322</v>
      </c>
    </row>
    <row r="117" spans="1:11" ht="14.4" customHeight="1" thickBot="1" x14ac:dyDescent="0.35">
      <c r="A117" s="606" t="s">
        <v>431</v>
      </c>
      <c r="B117" s="590">
        <v>0</v>
      </c>
      <c r="C117" s="590">
        <v>194.18799999999899</v>
      </c>
      <c r="D117" s="591">
        <v>194.18799999999899</v>
      </c>
      <c r="E117" s="592" t="s">
        <v>322</v>
      </c>
      <c r="F117" s="590">
        <v>0</v>
      </c>
      <c r="G117" s="591">
        <v>0</v>
      </c>
      <c r="H117" s="593">
        <v>4.9406564584124654E-324</v>
      </c>
      <c r="I117" s="590">
        <v>1.4821969375237396E-323</v>
      </c>
      <c r="J117" s="591">
        <v>1.4821969375237396E-323</v>
      </c>
      <c r="K117" s="594" t="s">
        <v>322</v>
      </c>
    </row>
    <row r="118" spans="1:11" ht="14.4" customHeight="1" thickBot="1" x14ac:dyDescent="0.35">
      <c r="A118" s="607" t="s">
        <v>432</v>
      </c>
      <c r="B118" s="585">
        <v>0</v>
      </c>
      <c r="C118" s="585">
        <v>194.18799999999899</v>
      </c>
      <c r="D118" s="586">
        <v>194.18799999999899</v>
      </c>
      <c r="E118" s="595" t="s">
        <v>322</v>
      </c>
      <c r="F118" s="585">
        <v>0</v>
      </c>
      <c r="G118" s="586">
        <v>0</v>
      </c>
      <c r="H118" s="588">
        <v>4.9406564584124654E-324</v>
      </c>
      <c r="I118" s="585">
        <v>1.4821969375237396E-323</v>
      </c>
      <c r="J118" s="586">
        <v>1.4821969375237396E-323</v>
      </c>
      <c r="K118" s="596" t="s">
        <v>322</v>
      </c>
    </row>
    <row r="119" spans="1:11" ht="14.4" customHeight="1" thickBot="1" x14ac:dyDescent="0.35">
      <c r="A119" s="605" t="s">
        <v>433</v>
      </c>
      <c r="B119" s="585">
        <v>0</v>
      </c>
      <c r="C119" s="585">
        <v>234.83580000000001</v>
      </c>
      <c r="D119" s="586">
        <v>234.83580000000001</v>
      </c>
      <c r="E119" s="595" t="s">
        <v>322</v>
      </c>
      <c r="F119" s="585">
        <v>0</v>
      </c>
      <c r="G119" s="586">
        <v>0</v>
      </c>
      <c r="H119" s="588">
        <v>7.97</v>
      </c>
      <c r="I119" s="585">
        <v>18.722000000000001</v>
      </c>
      <c r="J119" s="586">
        <v>18.722000000000001</v>
      </c>
      <c r="K119" s="596" t="s">
        <v>322</v>
      </c>
    </row>
    <row r="120" spans="1:11" ht="14.4" customHeight="1" thickBot="1" x14ac:dyDescent="0.35">
      <c r="A120" s="606" t="s">
        <v>434</v>
      </c>
      <c r="B120" s="590">
        <v>0</v>
      </c>
      <c r="C120" s="590">
        <v>215.46180000000001</v>
      </c>
      <c r="D120" s="591">
        <v>215.46180000000001</v>
      </c>
      <c r="E120" s="592" t="s">
        <v>322</v>
      </c>
      <c r="F120" s="590">
        <v>0</v>
      </c>
      <c r="G120" s="591">
        <v>0</v>
      </c>
      <c r="H120" s="593">
        <v>7.97</v>
      </c>
      <c r="I120" s="590">
        <v>15.922000000000001</v>
      </c>
      <c r="J120" s="591">
        <v>15.922000000000001</v>
      </c>
      <c r="K120" s="594" t="s">
        <v>322</v>
      </c>
    </row>
    <row r="121" spans="1:11" ht="14.4" customHeight="1" thickBot="1" x14ac:dyDescent="0.35">
      <c r="A121" s="607" t="s">
        <v>435</v>
      </c>
      <c r="B121" s="585">
        <v>4.9406564584124654E-324</v>
      </c>
      <c r="C121" s="585">
        <v>4.1420000000000003</v>
      </c>
      <c r="D121" s="586">
        <v>4.1420000000000003</v>
      </c>
      <c r="E121" s="595" t="s">
        <v>328</v>
      </c>
      <c r="F121" s="585">
        <v>0</v>
      </c>
      <c r="G121" s="586">
        <v>0</v>
      </c>
      <c r="H121" s="588">
        <v>4.9406564584124654E-324</v>
      </c>
      <c r="I121" s="585">
        <v>1.4821969375237396E-323</v>
      </c>
      <c r="J121" s="586">
        <v>1.4821969375237396E-323</v>
      </c>
      <c r="K121" s="596" t="s">
        <v>322</v>
      </c>
    </row>
    <row r="122" spans="1:11" ht="14.4" customHeight="1" thickBot="1" x14ac:dyDescent="0.35">
      <c r="A122" s="607" t="s">
        <v>436</v>
      </c>
      <c r="B122" s="585">
        <v>0</v>
      </c>
      <c r="C122" s="585">
        <v>211.21979999999999</v>
      </c>
      <c r="D122" s="586">
        <v>211.21979999999999</v>
      </c>
      <c r="E122" s="595" t="s">
        <v>322</v>
      </c>
      <c r="F122" s="585">
        <v>0</v>
      </c>
      <c r="G122" s="586">
        <v>0</v>
      </c>
      <c r="H122" s="588">
        <v>7.97</v>
      </c>
      <c r="I122" s="585">
        <v>15.922000000000001</v>
      </c>
      <c r="J122" s="586">
        <v>15.922000000000001</v>
      </c>
      <c r="K122" s="596" t="s">
        <v>322</v>
      </c>
    </row>
    <row r="123" spans="1:11" ht="14.4" customHeight="1" thickBot="1" x14ac:dyDescent="0.35">
      <c r="A123" s="607" t="s">
        <v>437</v>
      </c>
      <c r="B123" s="585">
        <v>4.9406564584124654E-324</v>
      </c>
      <c r="C123" s="585">
        <v>9.9999999999E-2</v>
      </c>
      <c r="D123" s="586">
        <v>9.9999999999E-2</v>
      </c>
      <c r="E123" s="595" t="s">
        <v>328</v>
      </c>
      <c r="F123" s="585">
        <v>0</v>
      </c>
      <c r="G123" s="586">
        <v>0</v>
      </c>
      <c r="H123" s="588">
        <v>4.9406564584124654E-324</v>
      </c>
      <c r="I123" s="585">
        <v>1.4821969375237396E-323</v>
      </c>
      <c r="J123" s="586">
        <v>1.4821969375237396E-323</v>
      </c>
      <c r="K123" s="596" t="s">
        <v>322</v>
      </c>
    </row>
    <row r="124" spans="1:11" ht="14.4" customHeight="1" thickBot="1" x14ac:dyDescent="0.35">
      <c r="A124" s="606" t="s">
        <v>438</v>
      </c>
      <c r="B124" s="590">
        <v>4.9406564584124654E-324</v>
      </c>
      <c r="C124" s="590">
        <v>1.48</v>
      </c>
      <c r="D124" s="591">
        <v>1.48</v>
      </c>
      <c r="E124" s="592" t="s">
        <v>328</v>
      </c>
      <c r="F124" s="590">
        <v>0</v>
      </c>
      <c r="G124" s="591">
        <v>0</v>
      </c>
      <c r="H124" s="593">
        <v>4.9406564584124654E-324</v>
      </c>
      <c r="I124" s="590">
        <v>1.4821969375237396E-323</v>
      </c>
      <c r="J124" s="591">
        <v>1.4821969375237396E-323</v>
      </c>
      <c r="K124" s="594" t="s">
        <v>322</v>
      </c>
    </row>
    <row r="125" spans="1:11" ht="14.4" customHeight="1" thickBot="1" x14ac:dyDescent="0.35">
      <c r="A125" s="607" t="s">
        <v>439</v>
      </c>
      <c r="B125" s="585">
        <v>4.9406564584124654E-324</v>
      </c>
      <c r="C125" s="585">
        <v>1.48</v>
      </c>
      <c r="D125" s="586">
        <v>1.48</v>
      </c>
      <c r="E125" s="595" t="s">
        <v>328</v>
      </c>
      <c r="F125" s="585">
        <v>0</v>
      </c>
      <c r="G125" s="586">
        <v>0</v>
      </c>
      <c r="H125" s="588">
        <v>4.9406564584124654E-324</v>
      </c>
      <c r="I125" s="585">
        <v>1.4821969375237396E-323</v>
      </c>
      <c r="J125" s="586">
        <v>1.4821969375237396E-323</v>
      </c>
      <c r="K125" s="596" t="s">
        <v>322</v>
      </c>
    </row>
    <row r="126" spans="1:11" ht="14.4" customHeight="1" thickBot="1" x14ac:dyDescent="0.35">
      <c r="A126" s="609" t="s">
        <v>440</v>
      </c>
      <c r="B126" s="585">
        <v>4.9406564584124654E-324</v>
      </c>
      <c r="C126" s="585">
        <v>14.394</v>
      </c>
      <c r="D126" s="586">
        <v>14.394</v>
      </c>
      <c r="E126" s="595" t="s">
        <v>328</v>
      </c>
      <c r="F126" s="585">
        <v>0</v>
      </c>
      <c r="G126" s="586">
        <v>0</v>
      </c>
      <c r="H126" s="588">
        <v>4.9406564584124654E-324</v>
      </c>
      <c r="I126" s="585">
        <v>1.4821969375237396E-323</v>
      </c>
      <c r="J126" s="586">
        <v>1.4821969375237396E-323</v>
      </c>
      <c r="K126" s="596" t="s">
        <v>322</v>
      </c>
    </row>
    <row r="127" spans="1:11" ht="14.4" customHeight="1" thickBot="1" x14ac:dyDescent="0.35">
      <c r="A127" s="607" t="s">
        <v>441</v>
      </c>
      <c r="B127" s="585">
        <v>4.9406564584124654E-324</v>
      </c>
      <c r="C127" s="585">
        <v>14.394</v>
      </c>
      <c r="D127" s="586">
        <v>14.394</v>
      </c>
      <c r="E127" s="595" t="s">
        <v>328</v>
      </c>
      <c r="F127" s="585">
        <v>0</v>
      </c>
      <c r="G127" s="586">
        <v>0</v>
      </c>
      <c r="H127" s="588">
        <v>4.9406564584124654E-324</v>
      </c>
      <c r="I127" s="585">
        <v>1.4821969375237396E-323</v>
      </c>
      <c r="J127" s="586">
        <v>1.4821969375237396E-323</v>
      </c>
      <c r="K127" s="596" t="s">
        <v>322</v>
      </c>
    </row>
    <row r="128" spans="1:11" ht="14.4" customHeight="1" thickBot="1" x14ac:dyDescent="0.35">
      <c r="A128" s="609" t="s">
        <v>442</v>
      </c>
      <c r="B128" s="585">
        <v>0</v>
      </c>
      <c r="C128" s="585">
        <v>3.5</v>
      </c>
      <c r="D128" s="586">
        <v>3.5</v>
      </c>
      <c r="E128" s="595" t="s">
        <v>322</v>
      </c>
      <c r="F128" s="585">
        <v>0</v>
      </c>
      <c r="G128" s="586">
        <v>0</v>
      </c>
      <c r="H128" s="588">
        <v>4.9406564584124654E-324</v>
      </c>
      <c r="I128" s="585">
        <v>2.8</v>
      </c>
      <c r="J128" s="586">
        <v>2.8</v>
      </c>
      <c r="K128" s="596" t="s">
        <v>322</v>
      </c>
    </row>
    <row r="129" spans="1:11" ht="14.4" customHeight="1" thickBot="1" x14ac:dyDescent="0.35">
      <c r="A129" s="607" t="s">
        <v>443</v>
      </c>
      <c r="B129" s="585">
        <v>0</v>
      </c>
      <c r="C129" s="585">
        <v>3.5</v>
      </c>
      <c r="D129" s="586">
        <v>3.5</v>
      </c>
      <c r="E129" s="595" t="s">
        <v>322</v>
      </c>
      <c r="F129" s="585">
        <v>0</v>
      </c>
      <c r="G129" s="586">
        <v>0</v>
      </c>
      <c r="H129" s="588">
        <v>4.9406564584124654E-324</v>
      </c>
      <c r="I129" s="585">
        <v>2.8</v>
      </c>
      <c r="J129" s="586">
        <v>2.8</v>
      </c>
      <c r="K129" s="596" t="s">
        <v>322</v>
      </c>
    </row>
    <row r="130" spans="1:11" ht="14.4" customHeight="1" thickBot="1" x14ac:dyDescent="0.35">
      <c r="A130" s="604" t="s">
        <v>444</v>
      </c>
      <c r="B130" s="585">
        <v>1799.9999999999</v>
      </c>
      <c r="C130" s="585">
        <v>1919.134</v>
      </c>
      <c r="D130" s="586">
        <v>119.1340000001</v>
      </c>
      <c r="E130" s="587">
        <v>1.0661855555549999</v>
      </c>
      <c r="F130" s="585">
        <v>1811.98979524115</v>
      </c>
      <c r="G130" s="586">
        <v>452.99744881028801</v>
      </c>
      <c r="H130" s="588">
        <v>156.74199999999999</v>
      </c>
      <c r="I130" s="585">
        <v>470.23200000000099</v>
      </c>
      <c r="J130" s="586">
        <v>17.234551189712999</v>
      </c>
      <c r="K130" s="589">
        <v>0.25951139528200001</v>
      </c>
    </row>
    <row r="131" spans="1:11" ht="14.4" customHeight="1" thickBot="1" x14ac:dyDescent="0.35">
      <c r="A131" s="605" t="s">
        <v>445</v>
      </c>
      <c r="B131" s="585">
        <v>1799.9999999999</v>
      </c>
      <c r="C131" s="585">
        <v>1803.848</v>
      </c>
      <c r="D131" s="586">
        <v>3.8480000000989998</v>
      </c>
      <c r="E131" s="587">
        <v>1.002137777777</v>
      </c>
      <c r="F131" s="585">
        <v>1811.98979524115</v>
      </c>
      <c r="G131" s="586">
        <v>452.99744881028801</v>
      </c>
      <c r="H131" s="588">
        <v>156.74199999999999</v>
      </c>
      <c r="I131" s="585">
        <v>470.23200000000099</v>
      </c>
      <c r="J131" s="586">
        <v>17.234551189712999</v>
      </c>
      <c r="K131" s="589">
        <v>0.25951139528200001</v>
      </c>
    </row>
    <row r="132" spans="1:11" ht="14.4" customHeight="1" thickBot="1" x14ac:dyDescent="0.35">
      <c r="A132" s="606" t="s">
        <v>446</v>
      </c>
      <c r="B132" s="590">
        <v>1799.9999999999</v>
      </c>
      <c r="C132" s="590">
        <v>1790.5429999999999</v>
      </c>
      <c r="D132" s="591">
        <v>-9.4569999999000007</v>
      </c>
      <c r="E132" s="597">
        <v>0.99474611111099998</v>
      </c>
      <c r="F132" s="590">
        <v>1811.98979524115</v>
      </c>
      <c r="G132" s="591">
        <v>452.99744881028801</v>
      </c>
      <c r="H132" s="593">
        <v>156.74199999999999</v>
      </c>
      <c r="I132" s="590">
        <v>470.23200000000099</v>
      </c>
      <c r="J132" s="591">
        <v>17.234551189712999</v>
      </c>
      <c r="K132" s="598">
        <v>0.25951139528200001</v>
      </c>
    </row>
    <row r="133" spans="1:11" ht="14.4" customHeight="1" thickBot="1" x14ac:dyDescent="0.35">
      <c r="A133" s="607" t="s">
        <v>447</v>
      </c>
      <c r="B133" s="585">
        <v>65.999999999996007</v>
      </c>
      <c r="C133" s="585">
        <v>70.944999999999993</v>
      </c>
      <c r="D133" s="586">
        <v>4.9450000000029997</v>
      </c>
      <c r="E133" s="587">
        <v>1.074924242424</v>
      </c>
      <c r="F133" s="585">
        <v>72.997099726174</v>
      </c>
      <c r="G133" s="586">
        <v>18.249274931542999</v>
      </c>
      <c r="H133" s="588">
        <v>6.0460000000000003</v>
      </c>
      <c r="I133" s="585">
        <v>18.138000000000002</v>
      </c>
      <c r="J133" s="586">
        <v>-0.111274931543</v>
      </c>
      <c r="K133" s="589">
        <v>0.24847562530600001</v>
      </c>
    </row>
    <row r="134" spans="1:11" ht="14.4" customHeight="1" thickBot="1" x14ac:dyDescent="0.35">
      <c r="A134" s="607" t="s">
        <v>448</v>
      </c>
      <c r="B134" s="585">
        <v>871.99999999995202</v>
      </c>
      <c r="C134" s="585">
        <v>821.20399999999995</v>
      </c>
      <c r="D134" s="586">
        <v>-50.795999999951</v>
      </c>
      <c r="E134" s="587">
        <v>0.94174770642200001</v>
      </c>
      <c r="F134" s="585">
        <v>860.99999999998397</v>
      </c>
      <c r="G134" s="586">
        <v>215.24999999999599</v>
      </c>
      <c r="H134" s="588">
        <v>75.766999999999996</v>
      </c>
      <c r="I134" s="585">
        <v>227.30600000000001</v>
      </c>
      <c r="J134" s="586">
        <v>12.056000000004</v>
      </c>
      <c r="K134" s="589">
        <v>0.26400232287999997</v>
      </c>
    </row>
    <row r="135" spans="1:11" ht="14.4" customHeight="1" thickBot="1" x14ac:dyDescent="0.35">
      <c r="A135" s="607" t="s">
        <v>449</v>
      </c>
      <c r="B135" s="585">
        <v>548.99999999996999</v>
      </c>
      <c r="C135" s="585">
        <v>581.81600000000003</v>
      </c>
      <c r="D135" s="586">
        <v>32.816000000030002</v>
      </c>
      <c r="E135" s="587">
        <v>1.05977413479</v>
      </c>
      <c r="F135" s="585">
        <v>592.99269551499697</v>
      </c>
      <c r="G135" s="586">
        <v>148.24817387874899</v>
      </c>
      <c r="H135" s="588">
        <v>49.387</v>
      </c>
      <c r="I135" s="585">
        <v>148.161</v>
      </c>
      <c r="J135" s="586">
        <v>-8.7173878748999997E-2</v>
      </c>
      <c r="K135" s="589">
        <v>0.24985299333399999</v>
      </c>
    </row>
    <row r="136" spans="1:11" ht="14.4" customHeight="1" thickBot="1" x14ac:dyDescent="0.35">
      <c r="A136" s="607" t="s">
        <v>450</v>
      </c>
      <c r="B136" s="585">
        <v>312.999999999983</v>
      </c>
      <c r="C136" s="585">
        <v>316.57799999999997</v>
      </c>
      <c r="D136" s="586">
        <v>3.578000000017</v>
      </c>
      <c r="E136" s="587">
        <v>1.011431309904</v>
      </c>
      <c r="F136" s="585">
        <v>284.999999999995</v>
      </c>
      <c r="G136" s="586">
        <v>71.249999999997996</v>
      </c>
      <c r="H136" s="588">
        <v>25.542000000000002</v>
      </c>
      <c r="I136" s="585">
        <v>76.626999999999995</v>
      </c>
      <c r="J136" s="586">
        <v>5.3770000000009999</v>
      </c>
      <c r="K136" s="589">
        <v>0.26886666666600001</v>
      </c>
    </row>
    <row r="137" spans="1:11" ht="14.4" customHeight="1" thickBot="1" x14ac:dyDescent="0.35">
      <c r="A137" s="606" t="s">
        <v>451</v>
      </c>
      <c r="B137" s="590">
        <v>0</v>
      </c>
      <c r="C137" s="590">
        <v>13.305</v>
      </c>
      <c r="D137" s="591">
        <v>13.305</v>
      </c>
      <c r="E137" s="592" t="s">
        <v>322</v>
      </c>
      <c r="F137" s="590">
        <v>0</v>
      </c>
      <c r="G137" s="591">
        <v>0</v>
      </c>
      <c r="H137" s="593">
        <v>4.9406564584124654E-324</v>
      </c>
      <c r="I137" s="590">
        <v>1.4821969375237396E-323</v>
      </c>
      <c r="J137" s="591">
        <v>1.4821969375237396E-323</v>
      </c>
      <c r="K137" s="594" t="s">
        <v>322</v>
      </c>
    </row>
    <row r="138" spans="1:11" ht="14.4" customHeight="1" thickBot="1" x14ac:dyDescent="0.35">
      <c r="A138" s="607" t="s">
        <v>452</v>
      </c>
      <c r="B138" s="585">
        <v>0</v>
      </c>
      <c r="C138" s="585">
        <v>13.305</v>
      </c>
      <c r="D138" s="586">
        <v>13.305</v>
      </c>
      <c r="E138" s="595" t="s">
        <v>322</v>
      </c>
      <c r="F138" s="585">
        <v>0</v>
      </c>
      <c r="G138" s="586">
        <v>0</v>
      </c>
      <c r="H138" s="588">
        <v>4.9406564584124654E-324</v>
      </c>
      <c r="I138" s="585">
        <v>1.4821969375237396E-323</v>
      </c>
      <c r="J138" s="586">
        <v>1.4821969375237396E-323</v>
      </c>
      <c r="K138" s="596" t="s">
        <v>322</v>
      </c>
    </row>
    <row r="139" spans="1:11" ht="14.4" customHeight="1" thickBot="1" x14ac:dyDescent="0.35">
      <c r="A139" s="605" t="s">
        <v>453</v>
      </c>
      <c r="B139" s="585">
        <v>0</v>
      </c>
      <c r="C139" s="585">
        <v>115.286</v>
      </c>
      <c r="D139" s="586">
        <v>115.286</v>
      </c>
      <c r="E139" s="595" t="s">
        <v>322</v>
      </c>
      <c r="F139" s="585">
        <v>0</v>
      </c>
      <c r="G139" s="586">
        <v>0</v>
      </c>
      <c r="H139" s="588">
        <v>4.9406564584124654E-324</v>
      </c>
      <c r="I139" s="585">
        <v>1.4821969375237396E-323</v>
      </c>
      <c r="J139" s="586">
        <v>1.4821969375237396E-323</v>
      </c>
      <c r="K139" s="596" t="s">
        <v>322</v>
      </c>
    </row>
    <row r="140" spans="1:11" ht="14.4" customHeight="1" thickBot="1" x14ac:dyDescent="0.35">
      <c r="A140" s="606" t="s">
        <v>454</v>
      </c>
      <c r="B140" s="590">
        <v>0</v>
      </c>
      <c r="C140" s="590">
        <v>111.55200000000001</v>
      </c>
      <c r="D140" s="591">
        <v>111.55200000000001</v>
      </c>
      <c r="E140" s="592" t="s">
        <v>322</v>
      </c>
      <c r="F140" s="590">
        <v>0</v>
      </c>
      <c r="G140" s="591">
        <v>0</v>
      </c>
      <c r="H140" s="593">
        <v>4.9406564584124654E-324</v>
      </c>
      <c r="I140" s="590">
        <v>1.4821969375237396E-323</v>
      </c>
      <c r="J140" s="591">
        <v>1.4821969375237396E-323</v>
      </c>
      <c r="K140" s="594" t="s">
        <v>322</v>
      </c>
    </row>
    <row r="141" spans="1:11" ht="14.4" customHeight="1" thickBot="1" x14ac:dyDescent="0.35">
      <c r="A141" s="607" t="s">
        <v>455</v>
      </c>
      <c r="B141" s="585">
        <v>0</v>
      </c>
      <c r="C141" s="585">
        <v>5.79</v>
      </c>
      <c r="D141" s="586">
        <v>5.79</v>
      </c>
      <c r="E141" s="595" t="s">
        <v>322</v>
      </c>
      <c r="F141" s="585">
        <v>0</v>
      </c>
      <c r="G141" s="586">
        <v>0</v>
      </c>
      <c r="H141" s="588">
        <v>4.9406564584124654E-324</v>
      </c>
      <c r="I141" s="585">
        <v>1.4821969375237396E-323</v>
      </c>
      <c r="J141" s="586">
        <v>1.4821969375237396E-323</v>
      </c>
      <c r="K141" s="596" t="s">
        <v>322</v>
      </c>
    </row>
    <row r="142" spans="1:11" ht="14.4" customHeight="1" thickBot="1" x14ac:dyDescent="0.35">
      <c r="A142" s="607" t="s">
        <v>456</v>
      </c>
      <c r="B142" s="585">
        <v>4.9406564584124654E-324</v>
      </c>
      <c r="C142" s="585">
        <v>105.762</v>
      </c>
      <c r="D142" s="586">
        <v>105.762</v>
      </c>
      <c r="E142" s="595" t="s">
        <v>328</v>
      </c>
      <c r="F142" s="585">
        <v>0</v>
      </c>
      <c r="G142" s="586">
        <v>0</v>
      </c>
      <c r="H142" s="588">
        <v>4.9406564584124654E-324</v>
      </c>
      <c r="I142" s="585">
        <v>1.4821969375237396E-323</v>
      </c>
      <c r="J142" s="586">
        <v>1.4821969375237396E-323</v>
      </c>
      <c r="K142" s="596" t="s">
        <v>322</v>
      </c>
    </row>
    <row r="143" spans="1:11" ht="14.4" customHeight="1" thickBot="1" x14ac:dyDescent="0.35">
      <c r="A143" s="606" t="s">
        <v>457</v>
      </c>
      <c r="B143" s="590">
        <v>0</v>
      </c>
      <c r="C143" s="590">
        <v>3.734</v>
      </c>
      <c r="D143" s="591">
        <v>3.734</v>
      </c>
      <c r="E143" s="592" t="s">
        <v>322</v>
      </c>
      <c r="F143" s="590">
        <v>0</v>
      </c>
      <c r="G143" s="591">
        <v>0</v>
      </c>
      <c r="H143" s="593">
        <v>4.9406564584124654E-324</v>
      </c>
      <c r="I143" s="590">
        <v>1.4821969375237396E-323</v>
      </c>
      <c r="J143" s="591">
        <v>1.4821969375237396E-323</v>
      </c>
      <c r="K143" s="594" t="s">
        <v>322</v>
      </c>
    </row>
    <row r="144" spans="1:11" ht="14.4" customHeight="1" thickBot="1" x14ac:dyDescent="0.35">
      <c r="A144" s="607" t="s">
        <v>458</v>
      </c>
      <c r="B144" s="585">
        <v>0</v>
      </c>
      <c r="C144" s="585">
        <v>3.734</v>
      </c>
      <c r="D144" s="586">
        <v>3.734</v>
      </c>
      <c r="E144" s="595" t="s">
        <v>322</v>
      </c>
      <c r="F144" s="585">
        <v>0</v>
      </c>
      <c r="G144" s="586">
        <v>0</v>
      </c>
      <c r="H144" s="588">
        <v>4.9406564584124654E-324</v>
      </c>
      <c r="I144" s="585">
        <v>1.4821969375237396E-323</v>
      </c>
      <c r="J144" s="586">
        <v>1.4821969375237396E-323</v>
      </c>
      <c r="K144" s="596" t="s">
        <v>322</v>
      </c>
    </row>
    <row r="145" spans="1:11" ht="14.4" customHeight="1" thickBot="1" x14ac:dyDescent="0.35">
      <c r="A145" s="603" t="s">
        <v>459</v>
      </c>
      <c r="B145" s="585">
        <v>47539.789909440799</v>
      </c>
      <c r="C145" s="585">
        <v>51891.531589999999</v>
      </c>
      <c r="D145" s="586">
        <v>4351.7416805591602</v>
      </c>
      <c r="E145" s="587">
        <v>1.0915389337820001</v>
      </c>
      <c r="F145" s="585">
        <v>46797.731861497399</v>
      </c>
      <c r="G145" s="586">
        <v>11699.432965374401</v>
      </c>
      <c r="H145" s="588">
        <v>5473.4958800000004</v>
      </c>
      <c r="I145" s="585">
        <v>12574.38593</v>
      </c>
      <c r="J145" s="586">
        <v>874.95296462564102</v>
      </c>
      <c r="K145" s="589">
        <v>0.26869648228199999</v>
      </c>
    </row>
    <row r="146" spans="1:11" ht="14.4" customHeight="1" thickBot="1" x14ac:dyDescent="0.35">
      <c r="A146" s="604" t="s">
        <v>460</v>
      </c>
      <c r="B146" s="585">
        <v>47170.656048515899</v>
      </c>
      <c r="C146" s="585">
        <v>51324.227209999997</v>
      </c>
      <c r="D146" s="586">
        <v>4153.5711614840602</v>
      </c>
      <c r="E146" s="587">
        <v>1.088054131729</v>
      </c>
      <c r="F146" s="585">
        <v>46797.731861497399</v>
      </c>
      <c r="G146" s="586">
        <v>11699.432965374401</v>
      </c>
      <c r="H146" s="588">
        <v>5473.46288</v>
      </c>
      <c r="I146" s="585">
        <v>12574.297930000001</v>
      </c>
      <c r="J146" s="586">
        <v>874.86496462564196</v>
      </c>
      <c r="K146" s="589">
        <v>0.26869460184900001</v>
      </c>
    </row>
    <row r="147" spans="1:11" ht="14.4" customHeight="1" thickBot="1" x14ac:dyDescent="0.35">
      <c r="A147" s="605" t="s">
        <v>461</v>
      </c>
      <c r="B147" s="585">
        <v>47170.656048515899</v>
      </c>
      <c r="C147" s="585">
        <v>51324.227209999997</v>
      </c>
      <c r="D147" s="586">
        <v>4153.5711614840602</v>
      </c>
      <c r="E147" s="587">
        <v>1.088054131729</v>
      </c>
      <c r="F147" s="585">
        <v>46797.731861497399</v>
      </c>
      <c r="G147" s="586">
        <v>11699.432965374401</v>
      </c>
      <c r="H147" s="588">
        <v>5473.46288</v>
      </c>
      <c r="I147" s="585">
        <v>12574.297930000001</v>
      </c>
      <c r="J147" s="586">
        <v>874.86496462564196</v>
      </c>
      <c r="K147" s="589">
        <v>0.26869460184900001</v>
      </c>
    </row>
    <row r="148" spans="1:11" ht="14.4" customHeight="1" thickBot="1" x14ac:dyDescent="0.35">
      <c r="A148" s="606" t="s">
        <v>462</v>
      </c>
      <c r="B148" s="590">
        <v>0.65494229075800003</v>
      </c>
      <c r="C148" s="590">
        <v>330.09640000000002</v>
      </c>
      <c r="D148" s="591">
        <v>329.441457709242</v>
      </c>
      <c r="E148" s="597">
        <v>504.00837548266202</v>
      </c>
      <c r="F148" s="590">
        <v>0.73186149742499995</v>
      </c>
      <c r="G148" s="591">
        <v>0.18296537435599999</v>
      </c>
      <c r="H148" s="593">
        <v>0.11075</v>
      </c>
      <c r="I148" s="590">
        <v>0.25456000000000001</v>
      </c>
      <c r="J148" s="591">
        <v>7.1594625642999996E-2</v>
      </c>
      <c r="K148" s="598">
        <v>0.34782537528599999</v>
      </c>
    </row>
    <row r="149" spans="1:11" ht="14.4" customHeight="1" thickBot="1" x14ac:dyDescent="0.35">
      <c r="A149" s="607" t="s">
        <v>463</v>
      </c>
      <c r="B149" s="585">
        <v>0.33163004944300001</v>
      </c>
      <c r="C149" s="585">
        <v>4.9406564584124654E-324</v>
      </c>
      <c r="D149" s="586">
        <v>-0.33163004944300001</v>
      </c>
      <c r="E149" s="587">
        <v>1.4821969375237396E-323</v>
      </c>
      <c r="F149" s="585">
        <v>4.9406564584124654E-324</v>
      </c>
      <c r="G149" s="586">
        <v>0</v>
      </c>
      <c r="H149" s="588">
        <v>0.11075</v>
      </c>
      <c r="I149" s="585">
        <v>0.25456000000000001</v>
      </c>
      <c r="J149" s="586">
        <v>0.25456000000000001</v>
      </c>
      <c r="K149" s="596" t="s">
        <v>328</v>
      </c>
    </row>
    <row r="150" spans="1:11" ht="14.4" customHeight="1" thickBot="1" x14ac:dyDescent="0.35">
      <c r="A150" s="607" t="s">
        <v>464</v>
      </c>
      <c r="B150" s="585">
        <v>6.1190644598999998E-2</v>
      </c>
      <c r="C150" s="585">
        <v>0.308</v>
      </c>
      <c r="D150" s="586">
        <v>0.24680935540000001</v>
      </c>
      <c r="E150" s="587">
        <v>5.03344918188</v>
      </c>
      <c r="F150" s="585">
        <v>0.32732594891900002</v>
      </c>
      <c r="G150" s="586">
        <v>8.1831487228999994E-2</v>
      </c>
      <c r="H150" s="588">
        <v>4.9406564584124654E-324</v>
      </c>
      <c r="I150" s="585">
        <v>1.4821969375237396E-323</v>
      </c>
      <c r="J150" s="586">
        <v>-8.1831487228999994E-2</v>
      </c>
      <c r="K150" s="589">
        <v>4.4465908125712189E-323</v>
      </c>
    </row>
    <row r="151" spans="1:11" ht="14.4" customHeight="1" thickBot="1" x14ac:dyDescent="0.35">
      <c r="A151" s="607" t="s">
        <v>465</v>
      </c>
      <c r="B151" s="585">
        <v>4.9406564584124654E-324</v>
      </c>
      <c r="C151" s="585">
        <v>329.41568000000001</v>
      </c>
      <c r="D151" s="586">
        <v>329.41568000000001</v>
      </c>
      <c r="E151" s="595" t="s">
        <v>328</v>
      </c>
      <c r="F151" s="585">
        <v>4.9406564584124654E-324</v>
      </c>
      <c r="G151" s="586">
        <v>0</v>
      </c>
      <c r="H151" s="588">
        <v>4.9406564584124654E-324</v>
      </c>
      <c r="I151" s="585">
        <v>1.4821969375237396E-323</v>
      </c>
      <c r="J151" s="586">
        <v>1.4821969375237396E-323</v>
      </c>
      <c r="K151" s="589">
        <v>3</v>
      </c>
    </row>
    <row r="152" spans="1:11" ht="14.4" customHeight="1" thickBot="1" x14ac:dyDescent="0.35">
      <c r="A152" s="607" t="s">
        <v>466</v>
      </c>
      <c r="B152" s="585">
        <v>0.26212159671500002</v>
      </c>
      <c r="C152" s="585">
        <v>0.37272</v>
      </c>
      <c r="D152" s="586">
        <v>0.110598403284</v>
      </c>
      <c r="E152" s="587">
        <v>1.421935485938</v>
      </c>
      <c r="F152" s="585">
        <v>0.40453554850500001</v>
      </c>
      <c r="G152" s="586">
        <v>0.10113388712599999</v>
      </c>
      <c r="H152" s="588">
        <v>4.9406564584124654E-324</v>
      </c>
      <c r="I152" s="585">
        <v>1.4821969375237396E-323</v>
      </c>
      <c r="J152" s="586">
        <v>-0.10113388712599999</v>
      </c>
      <c r="K152" s="589">
        <v>3.4584595208887258E-323</v>
      </c>
    </row>
    <row r="153" spans="1:11" ht="14.4" customHeight="1" thickBot="1" x14ac:dyDescent="0.35">
      <c r="A153" s="606" t="s">
        <v>467</v>
      </c>
      <c r="B153" s="590">
        <v>556.00775513628002</v>
      </c>
      <c r="C153" s="590">
        <v>12.8344</v>
      </c>
      <c r="D153" s="591">
        <v>-543.17335513628097</v>
      </c>
      <c r="E153" s="597">
        <v>2.3083131271E-2</v>
      </c>
      <c r="F153" s="590">
        <v>0</v>
      </c>
      <c r="G153" s="591">
        <v>0</v>
      </c>
      <c r="H153" s="593">
        <v>4.9406564584124654E-324</v>
      </c>
      <c r="I153" s="590">
        <v>1.4821969375237396E-323</v>
      </c>
      <c r="J153" s="591">
        <v>1.4821969375237396E-323</v>
      </c>
      <c r="K153" s="594" t="s">
        <v>322</v>
      </c>
    </row>
    <row r="154" spans="1:11" ht="14.4" customHeight="1" thickBot="1" x14ac:dyDescent="0.35">
      <c r="A154" s="607" t="s">
        <v>468</v>
      </c>
      <c r="B154" s="585">
        <v>556.00775513628002</v>
      </c>
      <c r="C154" s="585">
        <v>12.8344</v>
      </c>
      <c r="D154" s="586">
        <v>-543.17335513628097</v>
      </c>
      <c r="E154" s="587">
        <v>2.3083131271E-2</v>
      </c>
      <c r="F154" s="585">
        <v>0</v>
      </c>
      <c r="G154" s="586">
        <v>0</v>
      </c>
      <c r="H154" s="588">
        <v>4.9406564584124654E-324</v>
      </c>
      <c r="I154" s="585">
        <v>1.4821969375237396E-323</v>
      </c>
      <c r="J154" s="586">
        <v>1.4821969375237396E-323</v>
      </c>
      <c r="K154" s="596" t="s">
        <v>322</v>
      </c>
    </row>
    <row r="155" spans="1:11" ht="14.4" customHeight="1" thickBot="1" x14ac:dyDescent="0.35">
      <c r="A155" s="606" t="s">
        <v>469</v>
      </c>
      <c r="B155" s="590">
        <v>191.993505072403</v>
      </c>
      <c r="C155" s="590">
        <v>4.9406564584124654E-324</v>
      </c>
      <c r="D155" s="591">
        <v>-191.993505072403</v>
      </c>
      <c r="E155" s="597">
        <v>0</v>
      </c>
      <c r="F155" s="590">
        <v>4.9406564584124654E-324</v>
      </c>
      <c r="G155" s="591">
        <v>0</v>
      </c>
      <c r="H155" s="593">
        <v>48.010359999999999</v>
      </c>
      <c r="I155" s="590">
        <v>48.010359999999999</v>
      </c>
      <c r="J155" s="591">
        <v>48.010359999999999</v>
      </c>
      <c r="K155" s="594" t="s">
        <v>328</v>
      </c>
    </row>
    <row r="156" spans="1:11" ht="14.4" customHeight="1" thickBot="1" x14ac:dyDescent="0.35">
      <c r="A156" s="607" t="s">
        <v>470</v>
      </c>
      <c r="B156" s="585">
        <v>4.9406564584124654E-324</v>
      </c>
      <c r="C156" s="585">
        <v>4.9406564584124654E-324</v>
      </c>
      <c r="D156" s="586">
        <v>0</v>
      </c>
      <c r="E156" s="587">
        <v>1</v>
      </c>
      <c r="F156" s="585">
        <v>4.9406564584124654E-324</v>
      </c>
      <c r="G156" s="586">
        <v>0</v>
      </c>
      <c r="H156" s="588">
        <v>48.010359999999999</v>
      </c>
      <c r="I156" s="585">
        <v>48.010359999999999</v>
      </c>
      <c r="J156" s="586">
        <v>48.010359999999999</v>
      </c>
      <c r="K156" s="596" t="s">
        <v>328</v>
      </c>
    </row>
    <row r="157" spans="1:11" ht="14.4" customHeight="1" thickBot="1" x14ac:dyDescent="0.35">
      <c r="A157" s="606" t="s">
        <v>471</v>
      </c>
      <c r="B157" s="590">
        <v>4.9406564584124654E-324</v>
      </c>
      <c r="C157" s="590">
        <v>-1.32321</v>
      </c>
      <c r="D157" s="591">
        <v>-1.32321</v>
      </c>
      <c r="E157" s="592" t="s">
        <v>328</v>
      </c>
      <c r="F157" s="590">
        <v>0</v>
      </c>
      <c r="G157" s="591">
        <v>0</v>
      </c>
      <c r="H157" s="593">
        <v>4.9406564584124654E-324</v>
      </c>
      <c r="I157" s="590">
        <v>1.4821969375237396E-323</v>
      </c>
      <c r="J157" s="591">
        <v>1.4821969375237396E-323</v>
      </c>
      <c r="K157" s="594" t="s">
        <v>322</v>
      </c>
    </row>
    <row r="158" spans="1:11" ht="14.4" customHeight="1" thickBot="1" x14ac:dyDescent="0.35">
      <c r="A158" s="607" t="s">
        <v>472</v>
      </c>
      <c r="B158" s="585">
        <v>4.9406564584124654E-324</v>
      </c>
      <c r="C158" s="585">
        <v>-1.32321</v>
      </c>
      <c r="D158" s="586">
        <v>-1.32321</v>
      </c>
      <c r="E158" s="595" t="s">
        <v>328</v>
      </c>
      <c r="F158" s="585">
        <v>0</v>
      </c>
      <c r="G158" s="586">
        <v>0</v>
      </c>
      <c r="H158" s="588">
        <v>4.9406564584124654E-324</v>
      </c>
      <c r="I158" s="585">
        <v>1.4821969375237396E-323</v>
      </c>
      <c r="J158" s="586">
        <v>1.4821969375237396E-323</v>
      </c>
      <c r="K158" s="596" t="s">
        <v>322</v>
      </c>
    </row>
    <row r="159" spans="1:11" ht="14.4" customHeight="1" thickBot="1" x14ac:dyDescent="0.35">
      <c r="A159" s="606" t="s">
        <v>473</v>
      </c>
      <c r="B159" s="590">
        <v>46421.999846016501</v>
      </c>
      <c r="C159" s="590">
        <v>48500.482600000003</v>
      </c>
      <c r="D159" s="591">
        <v>2078.4827539835201</v>
      </c>
      <c r="E159" s="597">
        <v>1.0447736581980001</v>
      </c>
      <c r="F159" s="590">
        <v>46797</v>
      </c>
      <c r="G159" s="591">
        <v>11699.25</v>
      </c>
      <c r="H159" s="593">
        <v>5425.34177</v>
      </c>
      <c r="I159" s="590">
        <v>12335.006719999999</v>
      </c>
      <c r="J159" s="591">
        <v>635.75671999999599</v>
      </c>
      <c r="K159" s="598">
        <v>0.263585416159</v>
      </c>
    </row>
    <row r="160" spans="1:11" ht="14.4" customHeight="1" thickBot="1" x14ac:dyDescent="0.35">
      <c r="A160" s="607" t="s">
        <v>474</v>
      </c>
      <c r="B160" s="585">
        <v>23345.999929617599</v>
      </c>
      <c r="C160" s="585">
        <v>24709.30932</v>
      </c>
      <c r="D160" s="586">
        <v>1363.3093903824199</v>
      </c>
      <c r="E160" s="587">
        <v>1.058395844876</v>
      </c>
      <c r="F160" s="585">
        <v>25542</v>
      </c>
      <c r="G160" s="586">
        <v>6385.5</v>
      </c>
      <c r="H160" s="588">
        <v>2883.35896</v>
      </c>
      <c r="I160" s="585">
        <v>6765.58367</v>
      </c>
      <c r="J160" s="586">
        <v>380.083669999996</v>
      </c>
      <c r="K160" s="589">
        <v>0.26488073251799998</v>
      </c>
    </row>
    <row r="161" spans="1:11" ht="14.4" customHeight="1" thickBot="1" x14ac:dyDescent="0.35">
      <c r="A161" s="607" t="s">
        <v>475</v>
      </c>
      <c r="B161" s="585">
        <v>23075.999916398901</v>
      </c>
      <c r="C161" s="585">
        <v>23791.173279999999</v>
      </c>
      <c r="D161" s="586">
        <v>715.173363601098</v>
      </c>
      <c r="E161" s="587">
        <v>1.030992085551</v>
      </c>
      <c r="F161" s="585">
        <v>21255</v>
      </c>
      <c r="G161" s="586">
        <v>5313.75</v>
      </c>
      <c r="H161" s="588">
        <v>2541.98281</v>
      </c>
      <c r="I161" s="585">
        <v>5569.4230500000003</v>
      </c>
      <c r="J161" s="586">
        <v>255.67304999999899</v>
      </c>
      <c r="K161" s="589">
        <v>0.26202884262499998</v>
      </c>
    </row>
    <row r="162" spans="1:11" ht="14.4" customHeight="1" thickBot="1" x14ac:dyDescent="0.35">
      <c r="A162" s="606" t="s">
        <v>476</v>
      </c>
      <c r="B162" s="590">
        <v>0</v>
      </c>
      <c r="C162" s="590">
        <v>2482.1370200000001</v>
      </c>
      <c r="D162" s="591">
        <v>2482.1370200000001</v>
      </c>
      <c r="E162" s="592" t="s">
        <v>322</v>
      </c>
      <c r="F162" s="590">
        <v>0</v>
      </c>
      <c r="G162" s="591">
        <v>0</v>
      </c>
      <c r="H162" s="593">
        <v>4.9406564584124654E-324</v>
      </c>
      <c r="I162" s="590">
        <v>191.02628999999999</v>
      </c>
      <c r="J162" s="591">
        <v>191.02628999999999</v>
      </c>
      <c r="K162" s="594" t="s">
        <v>322</v>
      </c>
    </row>
    <row r="163" spans="1:11" ht="14.4" customHeight="1" thickBot="1" x14ac:dyDescent="0.35">
      <c r="A163" s="607" t="s">
        <v>477</v>
      </c>
      <c r="B163" s="585">
        <v>4.9406564584124654E-324</v>
      </c>
      <c r="C163" s="585">
        <v>1747.1069600000001</v>
      </c>
      <c r="D163" s="586">
        <v>1747.1069600000001</v>
      </c>
      <c r="E163" s="595" t="s">
        <v>328</v>
      </c>
      <c r="F163" s="585">
        <v>0</v>
      </c>
      <c r="G163" s="586">
        <v>0</v>
      </c>
      <c r="H163" s="588">
        <v>4.9406564584124654E-324</v>
      </c>
      <c r="I163" s="585">
        <v>127.02262</v>
      </c>
      <c r="J163" s="586">
        <v>127.02262</v>
      </c>
      <c r="K163" s="596" t="s">
        <v>322</v>
      </c>
    </row>
    <row r="164" spans="1:11" ht="14.4" customHeight="1" thickBot="1" x14ac:dyDescent="0.35">
      <c r="A164" s="607" t="s">
        <v>478</v>
      </c>
      <c r="B164" s="585">
        <v>0</v>
      </c>
      <c r="C164" s="585">
        <v>735.03006000000005</v>
      </c>
      <c r="D164" s="586">
        <v>735.03006000000005</v>
      </c>
      <c r="E164" s="595" t="s">
        <v>322</v>
      </c>
      <c r="F164" s="585">
        <v>0</v>
      </c>
      <c r="G164" s="586">
        <v>0</v>
      </c>
      <c r="H164" s="588">
        <v>4.9406564584124654E-324</v>
      </c>
      <c r="I164" s="585">
        <v>64.00367</v>
      </c>
      <c r="J164" s="586">
        <v>64.00367</v>
      </c>
      <c r="K164" s="596" t="s">
        <v>322</v>
      </c>
    </row>
    <row r="165" spans="1:11" ht="14.4" customHeight="1" thickBot="1" x14ac:dyDescent="0.35">
      <c r="A165" s="604" t="s">
        <v>479</v>
      </c>
      <c r="B165" s="585">
        <v>369.13386092489702</v>
      </c>
      <c r="C165" s="585">
        <v>567.30438000000004</v>
      </c>
      <c r="D165" s="586">
        <v>198.17051907510299</v>
      </c>
      <c r="E165" s="587">
        <v>1.536852724858</v>
      </c>
      <c r="F165" s="585">
        <v>0</v>
      </c>
      <c r="G165" s="586">
        <v>0</v>
      </c>
      <c r="H165" s="588">
        <v>3.3000000000000002E-2</v>
      </c>
      <c r="I165" s="585">
        <v>8.7999999999999995E-2</v>
      </c>
      <c r="J165" s="586">
        <v>8.7999999999999995E-2</v>
      </c>
      <c r="K165" s="596" t="s">
        <v>322</v>
      </c>
    </row>
    <row r="166" spans="1:11" ht="14.4" customHeight="1" thickBot="1" x14ac:dyDescent="0.35">
      <c r="A166" s="605" t="s">
        <v>480</v>
      </c>
      <c r="B166" s="585">
        <v>369.13386092489702</v>
      </c>
      <c r="C166" s="585">
        <v>441.25544000000002</v>
      </c>
      <c r="D166" s="586">
        <v>72.121579075102005</v>
      </c>
      <c r="E166" s="587">
        <v>1.195380556241</v>
      </c>
      <c r="F166" s="585">
        <v>0</v>
      </c>
      <c r="G166" s="586">
        <v>0</v>
      </c>
      <c r="H166" s="588">
        <v>4.9406564584124654E-324</v>
      </c>
      <c r="I166" s="585">
        <v>1.4821969375237396E-323</v>
      </c>
      <c r="J166" s="586">
        <v>1.4821969375237396E-323</v>
      </c>
      <c r="K166" s="596" t="s">
        <v>322</v>
      </c>
    </row>
    <row r="167" spans="1:11" ht="14.4" customHeight="1" thickBot="1" x14ac:dyDescent="0.35">
      <c r="A167" s="606" t="s">
        <v>481</v>
      </c>
      <c r="B167" s="590">
        <v>369.13386092489702</v>
      </c>
      <c r="C167" s="590">
        <v>441.25544000000002</v>
      </c>
      <c r="D167" s="591">
        <v>72.121579075102005</v>
      </c>
      <c r="E167" s="597">
        <v>1.195380556241</v>
      </c>
      <c r="F167" s="590">
        <v>0</v>
      </c>
      <c r="G167" s="591">
        <v>0</v>
      </c>
      <c r="H167" s="593">
        <v>4.9406564584124654E-324</v>
      </c>
      <c r="I167" s="590">
        <v>1.4821969375237396E-323</v>
      </c>
      <c r="J167" s="591">
        <v>1.4821969375237396E-323</v>
      </c>
      <c r="K167" s="594" t="s">
        <v>322</v>
      </c>
    </row>
    <row r="168" spans="1:11" ht="14.4" customHeight="1" thickBot="1" x14ac:dyDescent="0.35">
      <c r="A168" s="607" t="s">
        <v>482</v>
      </c>
      <c r="B168" s="585">
        <v>0</v>
      </c>
      <c r="C168" s="585">
        <v>296.77427</v>
      </c>
      <c r="D168" s="586">
        <v>296.77427</v>
      </c>
      <c r="E168" s="595" t="s">
        <v>322</v>
      </c>
      <c r="F168" s="585">
        <v>0</v>
      </c>
      <c r="G168" s="586">
        <v>0</v>
      </c>
      <c r="H168" s="588">
        <v>4.9406564584124654E-324</v>
      </c>
      <c r="I168" s="585">
        <v>1.4821969375237396E-323</v>
      </c>
      <c r="J168" s="586">
        <v>1.4821969375237396E-323</v>
      </c>
      <c r="K168" s="596" t="s">
        <v>322</v>
      </c>
    </row>
    <row r="169" spans="1:11" ht="14.4" customHeight="1" thickBot="1" x14ac:dyDescent="0.35">
      <c r="A169" s="607" t="s">
        <v>483</v>
      </c>
      <c r="B169" s="585">
        <v>4.9406564584124654E-324</v>
      </c>
      <c r="C169" s="585">
        <v>4.0540000000000003</v>
      </c>
      <c r="D169" s="586">
        <v>4.0540000000000003</v>
      </c>
      <c r="E169" s="595" t="s">
        <v>328</v>
      </c>
      <c r="F169" s="585">
        <v>0</v>
      </c>
      <c r="G169" s="586">
        <v>0</v>
      </c>
      <c r="H169" s="588">
        <v>4.9406564584124654E-324</v>
      </c>
      <c r="I169" s="585">
        <v>1.4821969375237396E-323</v>
      </c>
      <c r="J169" s="586">
        <v>1.4821969375237396E-323</v>
      </c>
      <c r="K169" s="596" t="s">
        <v>322</v>
      </c>
    </row>
    <row r="170" spans="1:11" ht="14.4" customHeight="1" thickBot="1" x14ac:dyDescent="0.35">
      <c r="A170" s="607" t="s">
        <v>484</v>
      </c>
      <c r="B170" s="585">
        <v>0</v>
      </c>
      <c r="C170" s="585">
        <v>5.0321999999999996</v>
      </c>
      <c r="D170" s="586">
        <v>5.0321999999999996</v>
      </c>
      <c r="E170" s="595" t="s">
        <v>322</v>
      </c>
      <c r="F170" s="585">
        <v>0</v>
      </c>
      <c r="G170" s="586">
        <v>0</v>
      </c>
      <c r="H170" s="588">
        <v>4.9406564584124654E-324</v>
      </c>
      <c r="I170" s="585">
        <v>1.4821969375237396E-323</v>
      </c>
      <c r="J170" s="586">
        <v>1.4821969375237396E-323</v>
      </c>
      <c r="K170" s="596" t="s">
        <v>322</v>
      </c>
    </row>
    <row r="171" spans="1:11" ht="14.4" customHeight="1" thickBot="1" x14ac:dyDescent="0.35">
      <c r="A171" s="607" t="s">
        <v>485</v>
      </c>
      <c r="B171" s="585">
        <v>0</v>
      </c>
      <c r="C171" s="585">
        <v>119.05304</v>
      </c>
      <c r="D171" s="586">
        <v>119.05304</v>
      </c>
      <c r="E171" s="595" t="s">
        <v>322</v>
      </c>
      <c r="F171" s="585">
        <v>0</v>
      </c>
      <c r="G171" s="586">
        <v>0</v>
      </c>
      <c r="H171" s="588">
        <v>4.9406564584124654E-324</v>
      </c>
      <c r="I171" s="585">
        <v>1.4821969375237396E-323</v>
      </c>
      <c r="J171" s="586">
        <v>1.4821969375237396E-323</v>
      </c>
      <c r="K171" s="596" t="s">
        <v>322</v>
      </c>
    </row>
    <row r="172" spans="1:11" ht="14.4" customHeight="1" thickBot="1" x14ac:dyDescent="0.35">
      <c r="A172" s="607" t="s">
        <v>486</v>
      </c>
      <c r="B172" s="585">
        <v>0</v>
      </c>
      <c r="C172" s="585">
        <v>16.341930000000001</v>
      </c>
      <c r="D172" s="586">
        <v>16.341930000000001</v>
      </c>
      <c r="E172" s="595" t="s">
        <v>322</v>
      </c>
      <c r="F172" s="585">
        <v>0</v>
      </c>
      <c r="G172" s="586">
        <v>0</v>
      </c>
      <c r="H172" s="588">
        <v>4.9406564584124654E-324</v>
      </c>
      <c r="I172" s="585">
        <v>1.4821969375237396E-323</v>
      </c>
      <c r="J172" s="586">
        <v>1.4821969375237396E-323</v>
      </c>
      <c r="K172" s="596" t="s">
        <v>322</v>
      </c>
    </row>
    <row r="173" spans="1:11" ht="14.4" customHeight="1" thickBot="1" x14ac:dyDescent="0.35">
      <c r="A173" s="610" t="s">
        <v>487</v>
      </c>
      <c r="B173" s="590">
        <v>0</v>
      </c>
      <c r="C173" s="590">
        <v>126.04894</v>
      </c>
      <c r="D173" s="591">
        <v>126.04894</v>
      </c>
      <c r="E173" s="592" t="s">
        <v>322</v>
      </c>
      <c r="F173" s="590">
        <v>0</v>
      </c>
      <c r="G173" s="591">
        <v>0</v>
      </c>
      <c r="H173" s="593">
        <v>3.3000000000000002E-2</v>
      </c>
      <c r="I173" s="590">
        <v>8.7999999999999995E-2</v>
      </c>
      <c r="J173" s="591">
        <v>8.7999999999999995E-2</v>
      </c>
      <c r="K173" s="594" t="s">
        <v>322</v>
      </c>
    </row>
    <row r="174" spans="1:11" ht="14.4" customHeight="1" thickBot="1" x14ac:dyDescent="0.35">
      <c r="A174" s="606" t="s">
        <v>488</v>
      </c>
      <c r="B174" s="590">
        <v>0</v>
      </c>
      <c r="C174" s="590">
        <v>15.873939999999999</v>
      </c>
      <c r="D174" s="591">
        <v>15.873939999999999</v>
      </c>
      <c r="E174" s="592" t="s">
        <v>322</v>
      </c>
      <c r="F174" s="590">
        <v>0</v>
      </c>
      <c r="G174" s="591">
        <v>0</v>
      </c>
      <c r="H174" s="593">
        <v>4.9406564584124654E-324</v>
      </c>
      <c r="I174" s="590">
        <v>1.4821969375237396E-323</v>
      </c>
      <c r="J174" s="591">
        <v>1.4821969375237396E-323</v>
      </c>
      <c r="K174" s="594" t="s">
        <v>322</v>
      </c>
    </row>
    <row r="175" spans="1:11" ht="14.4" customHeight="1" thickBot="1" x14ac:dyDescent="0.35">
      <c r="A175" s="607" t="s">
        <v>489</v>
      </c>
      <c r="B175" s="585">
        <v>0</v>
      </c>
      <c r="C175" s="585">
        <v>-6.0000000000000002E-5</v>
      </c>
      <c r="D175" s="586">
        <v>-6.0000000000000002E-5</v>
      </c>
      <c r="E175" s="595" t="s">
        <v>322</v>
      </c>
      <c r="F175" s="585">
        <v>0</v>
      </c>
      <c r="G175" s="586">
        <v>0</v>
      </c>
      <c r="H175" s="588">
        <v>4.9406564584124654E-324</v>
      </c>
      <c r="I175" s="585">
        <v>1.4821969375237396E-323</v>
      </c>
      <c r="J175" s="586">
        <v>1.4821969375237396E-323</v>
      </c>
      <c r="K175" s="596" t="s">
        <v>322</v>
      </c>
    </row>
    <row r="176" spans="1:11" ht="14.4" customHeight="1" thickBot="1" x14ac:dyDescent="0.35">
      <c r="A176" s="607" t="s">
        <v>490</v>
      </c>
      <c r="B176" s="585">
        <v>4.9406564584124654E-324</v>
      </c>
      <c r="C176" s="585">
        <v>15.874000000000001</v>
      </c>
      <c r="D176" s="586">
        <v>15.874000000000001</v>
      </c>
      <c r="E176" s="595" t="s">
        <v>328</v>
      </c>
      <c r="F176" s="585">
        <v>0</v>
      </c>
      <c r="G176" s="586">
        <v>0</v>
      </c>
      <c r="H176" s="588">
        <v>4.9406564584124654E-324</v>
      </c>
      <c r="I176" s="585">
        <v>1.4821969375237396E-323</v>
      </c>
      <c r="J176" s="586">
        <v>1.4821969375237396E-323</v>
      </c>
      <c r="K176" s="596" t="s">
        <v>322</v>
      </c>
    </row>
    <row r="177" spans="1:11" ht="14.4" customHeight="1" thickBot="1" x14ac:dyDescent="0.35">
      <c r="A177" s="606" t="s">
        <v>491</v>
      </c>
      <c r="B177" s="590">
        <v>0</v>
      </c>
      <c r="C177" s="590">
        <v>0.67900000000000005</v>
      </c>
      <c r="D177" s="591">
        <v>0.67900000000000005</v>
      </c>
      <c r="E177" s="592" t="s">
        <v>322</v>
      </c>
      <c r="F177" s="590">
        <v>0</v>
      </c>
      <c r="G177" s="591">
        <v>0</v>
      </c>
      <c r="H177" s="593">
        <v>3.3000000000000002E-2</v>
      </c>
      <c r="I177" s="590">
        <v>8.7999999999999995E-2</v>
      </c>
      <c r="J177" s="591">
        <v>8.7999999999999995E-2</v>
      </c>
      <c r="K177" s="594" t="s">
        <v>322</v>
      </c>
    </row>
    <row r="178" spans="1:11" ht="14.4" customHeight="1" thickBot="1" x14ac:dyDescent="0.35">
      <c r="A178" s="607" t="s">
        <v>492</v>
      </c>
      <c r="B178" s="585">
        <v>0</v>
      </c>
      <c r="C178" s="585">
        <v>0.67900000000000005</v>
      </c>
      <c r="D178" s="586">
        <v>0.67900000000000005</v>
      </c>
      <c r="E178" s="595" t="s">
        <v>322</v>
      </c>
      <c r="F178" s="585">
        <v>0</v>
      </c>
      <c r="G178" s="586">
        <v>0</v>
      </c>
      <c r="H178" s="588">
        <v>3.3000000000000002E-2</v>
      </c>
      <c r="I178" s="585">
        <v>8.7999999999999995E-2</v>
      </c>
      <c r="J178" s="586">
        <v>8.7999999999999995E-2</v>
      </c>
      <c r="K178" s="596" t="s">
        <v>322</v>
      </c>
    </row>
    <row r="179" spans="1:11" ht="14.4" customHeight="1" thickBot="1" x14ac:dyDescent="0.35">
      <c r="A179" s="606" t="s">
        <v>493</v>
      </c>
      <c r="B179" s="590">
        <v>0</v>
      </c>
      <c r="C179" s="590">
        <v>109.496</v>
      </c>
      <c r="D179" s="591">
        <v>109.496</v>
      </c>
      <c r="E179" s="592" t="s">
        <v>322</v>
      </c>
      <c r="F179" s="590">
        <v>0</v>
      </c>
      <c r="G179" s="591">
        <v>0</v>
      </c>
      <c r="H179" s="593">
        <v>4.9406564584124654E-324</v>
      </c>
      <c r="I179" s="590">
        <v>1.4821969375237396E-323</v>
      </c>
      <c r="J179" s="591">
        <v>1.4821969375237396E-323</v>
      </c>
      <c r="K179" s="594" t="s">
        <v>322</v>
      </c>
    </row>
    <row r="180" spans="1:11" ht="14.4" customHeight="1" thickBot="1" x14ac:dyDescent="0.35">
      <c r="A180" s="607" t="s">
        <v>494</v>
      </c>
      <c r="B180" s="585">
        <v>0</v>
      </c>
      <c r="C180" s="585">
        <v>109.496</v>
      </c>
      <c r="D180" s="586">
        <v>109.496</v>
      </c>
      <c r="E180" s="595" t="s">
        <v>322</v>
      </c>
      <c r="F180" s="585">
        <v>0</v>
      </c>
      <c r="G180" s="586">
        <v>0</v>
      </c>
      <c r="H180" s="588">
        <v>4.9406564584124654E-324</v>
      </c>
      <c r="I180" s="585">
        <v>1.4821969375237396E-323</v>
      </c>
      <c r="J180" s="586">
        <v>1.4821969375237396E-323</v>
      </c>
      <c r="K180" s="596" t="s">
        <v>322</v>
      </c>
    </row>
    <row r="181" spans="1:11" ht="14.4" customHeight="1" thickBot="1" x14ac:dyDescent="0.35">
      <c r="A181" s="603" t="s">
        <v>495</v>
      </c>
      <c r="B181" s="585">
        <v>4928.5239242703401</v>
      </c>
      <c r="C181" s="585">
        <v>5797.0298000000003</v>
      </c>
      <c r="D181" s="586">
        <v>868.50587572966197</v>
      </c>
      <c r="E181" s="587">
        <v>1.1762202819900001</v>
      </c>
      <c r="F181" s="585">
        <v>4619.0160192798403</v>
      </c>
      <c r="G181" s="586">
        <v>1154.7540048199601</v>
      </c>
      <c r="H181" s="588">
        <v>515.77937999999995</v>
      </c>
      <c r="I181" s="585">
        <v>1473.74143</v>
      </c>
      <c r="J181" s="586">
        <v>318.98742518004002</v>
      </c>
      <c r="K181" s="589">
        <v>0.31905960573600001</v>
      </c>
    </row>
    <row r="182" spans="1:11" ht="14.4" customHeight="1" thickBot="1" x14ac:dyDescent="0.35">
      <c r="A182" s="608" t="s">
        <v>496</v>
      </c>
      <c r="B182" s="590">
        <v>4928.5239242703401</v>
      </c>
      <c r="C182" s="590">
        <v>5797.0298000000003</v>
      </c>
      <c r="D182" s="591">
        <v>868.50587572966197</v>
      </c>
      <c r="E182" s="597">
        <v>1.1762202819900001</v>
      </c>
      <c r="F182" s="590">
        <v>4619.0160192798403</v>
      </c>
      <c r="G182" s="591">
        <v>1154.7540048199601</v>
      </c>
      <c r="H182" s="593">
        <v>515.77937999999995</v>
      </c>
      <c r="I182" s="590">
        <v>1473.74143</v>
      </c>
      <c r="J182" s="591">
        <v>318.98742518004002</v>
      </c>
      <c r="K182" s="598">
        <v>0.31905960573600001</v>
      </c>
    </row>
    <row r="183" spans="1:11" ht="14.4" customHeight="1" thickBot="1" x14ac:dyDescent="0.35">
      <c r="A183" s="610" t="s">
        <v>54</v>
      </c>
      <c r="B183" s="590">
        <v>4928.5239242703401</v>
      </c>
      <c r="C183" s="590">
        <v>5797.0298000000003</v>
      </c>
      <c r="D183" s="591">
        <v>868.50587572966197</v>
      </c>
      <c r="E183" s="597">
        <v>1.1762202819900001</v>
      </c>
      <c r="F183" s="590">
        <v>4619.0160192798403</v>
      </c>
      <c r="G183" s="591">
        <v>1154.7540048199601</v>
      </c>
      <c r="H183" s="593">
        <v>515.77937999999995</v>
      </c>
      <c r="I183" s="590">
        <v>1473.74143</v>
      </c>
      <c r="J183" s="591">
        <v>318.98742518004002</v>
      </c>
      <c r="K183" s="598">
        <v>0.31905960573600001</v>
      </c>
    </row>
    <row r="184" spans="1:11" ht="14.4" customHeight="1" thickBot="1" x14ac:dyDescent="0.35">
      <c r="A184" s="606" t="s">
        <v>497</v>
      </c>
      <c r="B184" s="590">
        <v>24.999999999999002</v>
      </c>
      <c r="C184" s="590">
        <v>52.566360000000003</v>
      </c>
      <c r="D184" s="591">
        <v>27.56636</v>
      </c>
      <c r="E184" s="597">
        <v>2.1026544</v>
      </c>
      <c r="F184" s="590">
        <v>25</v>
      </c>
      <c r="G184" s="591">
        <v>6.25</v>
      </c>
      <c r="H184" s="593">
        <v>4.0655999999999999</v>
      </c>
      <c r="I184" s="590">
        <v>12.1968</v>
      </c>
      <c r="J184" s="591">
        <v>5.9467999999999996</v>
      </c>
      <c r="K184" s="598">
        <v>0.48787199999999997</v>
      </c>
    </row>
    <row r="185" spans="1:11" ht="14.4" customHeight="1" thickBot="1" x14ac:dyDescent="0.35">
      <c r="A185" s="607" t="s">
        <v>498</v>
      </c>
      <c r="B185" s="585">
        <v>24.999999999999002</v>
      </c>
      <c r="C185" s="585">
        <v>52.566360000000003</v>
      </c>
      <c r="D185" s="586">
        <v>27.56636</v>
      </c>
      <c r="E185" s="587">
        <v>2.1026544</v>
      </c>
      <c r="F185" s="585">
        <v>25</v>
      </c>
      <c r="G185" s="586">
        <v>6.25</v>
      </c>
      <c r="H185" s="588">
        <v>4.0655999999999999</v>
      </c>
      <c r="I185" s="585">
        <v>12.1968</v>
      </c>
      <c r="J185" s="586">
        <v>5.9467999999999996</v>
      </c>
      <c r="K185" s="589">
        <v>0.48787199999999997</v>
      </c>
    </row>
    <row r="186" spans="1:11" ht="14.4" customHeight="1" thickBot="1" x14ac:dyDescent="0.35">
      <c r="A186" s="606" t="s">
        <v>499</v>
      </c>
      <c r="B186" s="590">
        <v>110.50354723422301</v>
      </c>
      <c r="C186" s="590">
        <v>100.67</v>
      </c>
      <c r="D186" s="591">
        <v>-9.8335472342219994</v>
      </c>
      <c r="E186" s="597">
        <v>0.91101147899400003</v>
      </c>
      <c r="F186" s="590">
        <v>113.016019279841</v>
      </c>
      <c r="G186" s="591">
        <v>28.254004819959999</v>
      </c>
      <c r="H186" s="593">
        <v>8.14</v>
      </c>
      <c r="I186" s="590">
        <v>20.596</v>
      </c>
      <c r="J186" s="591">
        <v>-7.6580048199600004</v>
      </c>
      <c r="K186" s="598">
        <v>0.182239651787</v>
      </c>
    </row>
    <row r="187" spans="1:11" ht="14.4" customHeight="1" thickBot="1" x14ac:dyDescent="0.35">
      <c r="A187" s="607" t="s">
        <v>500</v>
      </c>
      <c r="B187" s="585">
        <v>110.50354723422301</v>
      </c>
      <c r="C187" s="585">
        <v>100.67</v>
      </c>
      <c r="D187" s="586">
        <v>-9.8335472342219994</v>
      </c>
      <c r="E187" s="587">
        <v>0.91101147899400003</v>
      </c>
      <c r="F187" s="585">
        <v>113.016019279841</v>
      </c>
      <c r="G187" s="586">
        <v>28.254004819959999</v>
      </c>
      <c r="H187" s="588">
        <v>8.14</v>
      </c>
      <c r="I187" s="585">
        <v>20.596</v>
      </c>
      <c r="J187" s="586">
        <v>-7.6580048199600004</v>
      </c>
      <c r="K187" s="589">
        <v>0.182239651787</v>
      </c>
    </row>
    <row r="188" spans="1:11" ht="14.4" customHeight="1" thickBot="1" x14ac:dyDescent="0.35">
      <c r="A188" s="606" t="s">
        <v>501</v>
      </c>
      <c r="B188" s="590">
        <v>571.020377036171</v>
      </c>
      <c r="C188" s="590">
        <v>756.63189999999997</v>
      </c>
      <c r="D188" s="591">
        <v>185.611522963829</v>
      </c>
      <c r="E188" s="597">
        <v>1.3250523631519999</v>
      </c>
      <c r="F188" s="590">
        <v>826</v>
      </c>
      <c r="G188" s="591">
        <v>206.5</v>
      </c>
      <c r="H188" s="593">
        <v>68.322299999999998</v>
      </c>
      <c r="I188" s="590">
        <v>179.1542</v>
      </c>
      <c r="J188" s="591">
        <v>-27.345800000000001</v>
      </c>
      <c r="K188" s="598">
        <v>0.21689370459999999</v>
      </c>
    </row>
    <row r="189" spans="1:11" ht="14.4" customHeight="1" thickBot="1" x14ac:dyDescent="0.35">
      <c r="A189" s="607" t="s">
        <v>502</v>
      </c>
      <c r="B189" s="585">
        <v>571.020377036171</v>
      </c>
      <c r="C189" s="585">
        <v>756.63189999999997</v>
      </c>
      <c r="D189" s="586">
        <v>185.611522963829</v>
      </c>
      <c r="E189" s="587">
        <v>1.3250523631519999</v>
      </c>
      <c r="F189" s="585">
        <v>826</v>
      </c>
      <c r="G189" s="586">
        <v>206.5</v>
      </c>
      <c r="H189" s="588">
        <v>68.322299999999998</v>
      </c>
      <c r="I189" s="585">
        <v>179.1542</v>
      </c>
      <c r="J189" s="586">
        <v>-27.345800000000001</v>
      </c>
      <c r="K189" s="589">
        <v>0.21689370459999999</v>
      </c>
    </row>
    <row r="190" spans="1:11" ht="14.4" customHeight="1" thickBot="1" x14ac:dyDescent="0.35">
      <c r="A190" s="606" t="s">
        <v>503</v>
      </c>
      <c r="B190" s="590">
        <v>0</v>
      </c>
      <c r="C190" s="590">
        <v>5.22</v>
      </c>
      <c r="D190" s="591">
        <v>5.22</v>
      </c>
      <c r="E190" s="592" t="s">
        <v>322</v>
      </c>
      <c r="F190" s="590">
        <v>4.9406564584124654E-324</v>
      </c>
      <c r="G190" s="591">
        <v>0</v>
      </c>
      <c r="H190" s="593">
        <v>0.224</v>
      </c>
      <c r="I190" s="590">
        <v>1.0269999999999999</v>
      </c>
      <c r="J190" s="591">
        <v>1.0269999999999999</v>
      </c>
      <c r="K190" s="594" t="s">
        <v>328</v>
      </c>
    </row>
    <row r="191" spans="1:11" ht="14.4" customHeight="1" thickBot="1" x14ac:dyDescent="0.35">
      <c r="A191" s="607" t="s">
        <v>504</v>
      </c>
      <c r="B191" s="585">
        <v>0</v>
      </c>
      <c r="C191" s="585">
        <v>5.22</v>
      </c>
      <c r="D191" s="586">
        <v>5.22</v>
      </c>
      <c r="E191" s="595" t="s">
        <v>322</v>
      </c>
      <c r="F191" s="585">
        <v>4.9406564584124654E-324</v>
      </c>
      <c r="G191" s="586">
        <v>0</v>
      </c>
      <c r="H191" s="588">
        <v>0.224</v>
      </c>
      <c r="I191" s="585">
        <v>1.0269999999999999</v>
      </c>
      <c r="J191" s="586">
        <v>1.0269999999999999</v>
      </c>
      <c r="K191" s="596" t="s">
        <v>328</v>
      </c>
    </row>
    <row r="192" spans="1:11" ht="14.4" customHeight="1" thickBot="1" x14ac:dyDescent="0.35">
      <c r="A192" s="606" t="s">
        <v>505</v>
      </c>
      <c r="B192" s="590">
        <v>213.99999999999699</v>
      </c>
      <c r="C192" s="590">
        <v>189.58769000000001</v>
      </c>
      <c r="D192" s="591">
        <v>-24.412309999996999</v>
      </c>
      <c r="E192" s="597">
        <v>0.885923785046</v>
      </c>
      <c r="F192" s="590">
        <v>228</v>
      </c>
      <c r="G192" s="591">
        <v>57</v>
      </c>
      <c r="H192" s="593">
        <v>13.16778</v>
      </c>
      <c r="I192" s="590">
        <v>36.92398</v>
      </c>
      <c r="J192" s="591">
        <v>-20.07602</v>
      </c>
      <c r="K192" s="598">
        <v>0.16194728070100001</v>
      </c>
    </row>
    <row r="193" spans="1:11" ht="14.4" customHeight="1" thickBot="1" x14ac:dyDescent="0.35">
      <c r="A193" s="607" t="s">
        <v>506</v>
      </c>
      <c r="B193" s="585">
        <v>213.99999999999699</v>
      </c>
      <c r="C193" s="585">
        <v>189.43817000000001</v>
      </c>
      <c r="D193" s="586">
        <v>-24.561829999996998</v>
      </c>
      <c r="E193" s="587">
        <v>0.88522509345699996</v>
      </c>
      <c r="F193" s="585">
        <v>220</v>
      </c>
      <c r="G193" s="586">
        <v>55</v>
      </c>
      <c r="H193" s="588">
        <v>12.485799999999999</v>
      </c>
      <c r="I193" s="585">
        <v>34.878039999999999</v>
      </c>
      <c r="J193" s="586">
        <v>-20.121960000000001</v>
      </c>
      <c r="K193" s="589">
        <v>0.15853654545400001</v>
      </c>
    </row>
    <row r="194" spans="1:11" ht="14.4" customHeight="1" thickBot="1" x14ac:dyDescent="0.35">
      <c r="A194" s="607" t="s">
        <v>507</v>
      </c>
      <c r="B194" s="585">
        <v>0</v>
      </c>
      <c r="C194" s="585">
        <v>0.14951999999999999</v>
      </c>
      <c r="D194" s="586">
        <v>0.14951999999999999</v>
      </c>
      <c r="E194" s="595" t="s">
        <v>322</v>
      </c>
      <c r="F194" s="585">
        <v>8</v>
      </c>
      <c r="G194" s="586">
        <v>2</v>
      </c>
      <c r="H194" s="588">
        <v>0.68198000000000003</v>
      </c>
      <c r="I194" s="585">
        <v>2.0459399999999999</v>
      </c>
      <c r="J194" s="586">
        <v>4.5939999999000003E-2</v>
      </c>
      <c r="K194" s="589">
        <v>0.25574249999999998</v>
      </c>
    </row>
    <row r="195" spans="1:11" ht="14.4" customHeight="1" thickBot="1" x14ac:dyDescent="0.35">
      <c r="A195" s="606" t="s">
        <v>508</v>
      </c>
      <c r="B195" s="590">
        <v>0</v>
      </c>
      <c r="C195" s="590">
        <v>1272.42839</v>
      </c>
      <c r="D195" s="591">
        <v>1272.42839</v>
      </c>
      <c r="E195" s="592" t="s">
        <v>322</v>
      </c>
      <c r="F195" s="590">
        <v>4.9406564584124654E-324</v>
      </c>
      <c r="G195" s="591">
        <v>0</v>
      </c>
      <c r="H195" s="593">
        <v>107.37321</v>
      </c>
      <c r="I195" s="590">
        <v>305.98056000000003</v>
      </c>
      <c r="J195" s="591">
        <v>305.98056000000003</v>
      </c>
      <c r="K195" s="594" t="s">
        <v>328</v>
      </c>
    </row>
    <row r="196" spans="1:11" ht="14.4" customHeight="1" thickBot="1" x14ac:dyDescent="0.35">
      <c r="A196" s="607" t="s">
        <v>509</v>
      </c>
      <c r="B196" s="585">
        <v>0</v>
      </c>
      <c r="C196" s="585">
        <v>1272.42839</v>
      </c>
      <c r="D196" s="586">
        <v>1272.42839</v>
      </c>
      <c r="E196" s="595" t="s">
        <v>322</v>
      </c>
      <c r="F196" s="585">
        <v>4.9406564584124654E-324</v>
      </c>
      <c r="G196" s="586">
        <v>0</v>
      </c>
      <c r="H196" s="588">
        <v>107.37321</v>
      </c>
      <c r="I196" s="585">
        <v>305.98056000000003</v>
      </c>
      <c r="J196" s="586">
        <v>305.98056000000003</v>
      </c>
      <c r="K196" s="596" t="s">
        <v>328</v>
      </c>
    </row>
    <row r="197" spans="1:11" ht="14.4" customHeight="1" thickBot="1" x14ac:dyDescent="0.35">
      <c r="A197" s="606" t="s">
        <v>510</v>
      </c>
      <c r="B197" s="590">
        <v>4007.99999999995</v>
      </c>
      <c r="C197" s="590">
        <v>3419.9254599999999</v>
      </c>
      <c r="D197" s="591">
        <v>-588.074539999948</v>
      </c>
      <c r="E197" s="597">
        <v>0.85327481536899996</v>
      </c>
      <c r="F197" s="590">
        <v>3427</v>
      </c>
      <c r="G197" s="591">
        <v>856.75</v>
      </c>
      <c r="H197" s="593">
        <v>314.48649</v>
      </c>
      <c r="I197" s="590">
        <v>917.86288999999999</v>
      </c>
      <c r="J197" s="591">
        <v>61.112889999998998</v>
      </c>
      <c r="K197" s="598">
        <v>0.26783276626699998</v>
      </c>
    </row>
    <row r="198" spans="1:11" ht="14.4" customHeight="1" thickBot="1" x14ac:dyDescent="0.35">
      <c r="A198" s="607" t="s">
        <v>511</v>
      </c>
      <c r="B198" s="585">
        <v>4007.99999999995</v>
      </c>
      <c r="C198" s="585">
        <v>3419.9254599999999</v>
      </c>
      <c r="D198" s="586">
        <v>-588.074539999948</v>
      </c>
      <c r="E198" s="587">
        <v>0.85327481536899996</v>
      </c>
      <c r="F198" s="585">
        <v>3427</v>
      </c>
      <c r="G198" s="586">
        <v>856.75</v>
      </c>
      <c r="H198" s="588">
        <v>314.48649</v>
      </c>
      <c r="I198" s="585">
        <v>917.86288999999999</v>
      </c>
      <c r="J198" s="586">
        <v>61.112889999998998</v>
      </c>
      <c r="K198" s="589">
        <v>0.26783276626699998</v>
      </c>
    </row>
    <row r="199" spans="1:11" ht="14.4" customHeight="1" thickBot="1" x14ac:dyDescent="0.35">
      <c r="A199" s="611"/>
      <c r="B199" s="585">
        <v>-6478.8502495688499</v>
      </c>
      <c r="C199" s="585">
        <v>-5486.3888800000204</v>
      </c>
      <c r="D199" s="586">
        <v>992.46136956883095</v>
      </c>
      <c r="E199" s="587">
        <v>0.84681520156500001</v>
      </c>
      <c r="F199" s="585">
        <v>-6207.2995957339199</v>
      </c>
      <c r="G199" s="586">
        <v>-1551.82489893348</v>
      </c>
      <c r="H199" s="588">
        <v>543.22681999999998</v>
      </c>
      <c r="I199" s="585">
        <v>-956.41681000001802</v>
      </c>
      <c r="J199" s="586">
        <v>595.40808893346195</v>
      </c>
      <c r="K199" s="589">
        <v>0.15407936982000001</v>
      </c>
    </row>
    <row r="200" spans="1:11" ht="14.4" customHeight="1" thickBot="1" x14ac:dyDescent="0.35">
      <c r="A200" s="612" t="s">
        <v>66</v>
      </c>
      <c r="B200" s="599">
        <v>-6478.8502495688599</v>
      </c>
      <c r="C200" s="599">
        <v>-5486.3888800000204</v>
      </c>
      <c r="D200" s="600">
        <v>992.46136956884095</v>
      </c>
      <c r="E200" s="601">
        <v>-1.1354201654330001</v>
      </c>
      <c r="F200" s="599">
        <v>-6207.2995957339199</v>
      </c>
      <c r="G200" s="600">
        <v>-1551.82489893348</v>
      </c>
      <c r="H200" s="599">
        <v>543.22681999999998</v>
      </c>
      <c r="I200" s="599">
        <v>-956.41681000001904</v>
      </c>
      <c r="J200" s="600">
        <v>595.40808893346195</v>
      </c>
      <c r="K200" s="602">
        <v>0.15407936982000001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41" customWidth="1"/>
    <col min="2" max="2" width="61.109375" style="341" customWidth="1"/>
    <col min="3" max="3" width="9.5546875" style="257" customWidth="1"/>
    <col min="4" max="4" width="9.5546875" style="342" customWidth="1"/>
    <col min="5" max="5" width="2.21875" style="342" customWidth="1"/>
    <col min="6" max="6" width="9.5546875" style="343" customWidth="1"/>
    <col min="7" max="7" width="9.5546875" style="340" customWidth="1"/>
    <col min="8" max="9" width="9.5546875" style="257" customWidth="1"/>
    <col min="10" max="10" width="0" style="257" hidden="1" customWidth="1"/>
    <col min="11" max="16384" width="8.88671875" style="257"/>
  </cols>
  <sheetData>
    <row r="1" spans="1:10" ht="18.600000000000001" customHeight="1" thickBot="1" x14ac:dyDescent="0.4">
      <c r="A1" s="487" t="s">
        <v>177</v>
      </c>
      <c r="B1" s="488"/>
      <c r="C1" s="488"/>
      <c r="D1" s="488"/>
      <c r="E1" s="488"/>
      <c r="F1" s="488"/>
      <c r="G1" s="459"/>
      <c r="H1" s="489"/>
      <c r="I1" s="489"/>
    </row>
    <row r="2" spans="1:10" ht="14.4" customHeight="1" thickBot="1" x14ac:dyDescent="0.35">
      <c r="A2" s="386" t="s">
        <v>321</v>
      </c>
      <c r="B2" s="339"/>
      <c r="C2" s="339"/>
      <c r="D2" s="339"/>
      <c r="E2" s="339"/>
      <c r="F2" s="339"/>
    </row>
    <row r="3" spans="1:10" ht="14.4" customHeight="1" thickBot="1" x14ac:dyDescent="0.35">
      <c r="A3" s="386"/>
      <c r="B3" s="339"/>
      <c r="C3" s="444">
        <v>2012</v>
      </c>
      <c r="D3" s="445">
        <v>2013</v>
      </c>
      <c r="E3" s="11"/>
      <c r="F3" s="482">
        <v>2014</v>
      </c>
      <c r="G3" s="483"/>
      <c r="H3" s="483"/>
      <c r="I3" s="484"/>
    </row>
    <row r="4" spans="1:10" ht="14.4" customHeight="1" thickBot="1" x14ac:dyDescent="0.35">
      <c r="A4" s="449" t="s">
        <v>0</v>
      </c>
      <c r="B4" s="450" t="s">
        <v>313</v>
      </c>
      <c r="C4" s="485" t="s">
        <v>94</v>
      </c>
      <c r="D4" s="486"/>
      <c r="E4" s="451"/>
      <c r="F4" s="446" t="s">
        <v>94</v>
      </c>
      <c r="G4" s="447" t="s">
        <v>95</v>
      </c>
      <c r="H4" s="447" t="s">
        <v>69</v>
      </c>
      <c r="I4" s="448" t="s">
        <v>96</v>
      </c>
    </row>
    <row r="5" spans="1:10" ht="14.4" customHeight="1" x14ac:dyDescent="0.3">
      <c r="A5" s="613" t="s">
        <v>512</v>
      </c>
      <c r="B5" s="614" t="s">
        <v>513</v>
      </c>
      <c r="C5" s="615" t="s">
        <v>514</v>
      </c>
      <c r="D5" s="615" t="s">
        <v>514</v>
      </c>
      <c r="E5" s="615"/>
      <c r="F5" s="615" t="s">
        <v>514</v>
      </c>
      <c r="G5" s="615" t="s">
        <v>514</v>
      </c>
      <c r="H5" s="615" t="s">
        <v>514</v>
      </c>
      <c r="I5" s="616" t="s">
        <v>514</v>
      </c>
      <c r="J5" s="617" t="s">
        <v>74</v>
      </c>
    </row>
    <row r="6" spans="1:10" ht="14.4" customHeight="1" x14ac:dyDescent="0.3">
      <c r="A6" s="613" t="s">
        <v>512</v>
      </c>
      <c r="B6" s="614" t="s">
        <v>331</v>
      </c>
      <c r="C6" s="615">
        <v>888.35949000000005</v>
      </c>
      <c r="D6" s="615">
        <v>953.52053999999998</v>
      </c>
      <c r="E6" s="615"/>
      <c r="F6" s="615">
        <v>676.28545000000099</v>
      </c>
      <c r="G6" s="615">
        <v>861.25</v>
      </c>
      <c r="H6" s="615">
        <v>-184.96454999999901</v>
      </c>
      <c r="I6" s="616">
        <v>0.78523709724238144</v>
      </c>
      <c r="J6" s="617" t="s">
        <v>1</v>
      </c>
    </row>
    <row r="7" spans="1:10" ht="14.4" customHeight="1" x14ac:dyDescent="0.3">
      <c r="A7" s="613" t="s">
        <v>512</v>
      </c>
      <c r="B7" s="614" t="s">
        <v>332</v>
      </c>
      <c r="C7" s="615">
        <v>207.44049000000001</v>
      </c>
      <c r="D7" s="615">
        <v>347.09450000000004</v>
      </c>
      <c r="E7" s="615"/>
      <c r="F7" s="615">
        <v>364.98274000000004</v>
      </c>
      <c r="G7" s="615">
        <v>385.5</v>
      </c>
      <c r="H7" s="615">
        <v>-20.517259999999965</v>
      </c>
      <c r="I7" s="616">
        <v>0.94677753566796374</v>
      </c>
      <c r="J7" s="617" t="s">
        <v>1</v>
      </c>
    </row>
    <row r="8" spans="1:10" ht="14.4" customHeight="1" x14ac:dyDescent="0.3">
      <c r="A8" s="613" t="s">
        <v>512</v>
      </c>
      <c r="B8" s="614" t="s">
        <v>333</v>
      </c>
      <c r="C8" s="615">
        <v>13.2</v>
      </c>
      <c r="D8" s="615">
        <v>27.062760000000001</v>
      </c>
      <c r="E8" s="615"/>
      <c r="F8" s="615">
        <v>0</v>
      </c>
      <c r="G8" s="615">
        <v>6.5</v>
      </c>
      <c r="H8" s="615">
        <v>-6.5</v>
      </c>
      <c r="I8" s="616">
        <v>0</v>
      </c>
      <c r="J8" s="617" t="s">
        <v>1</v>
      </c>
    </row>
    <row r="9" spans="1:10" ht="14.4" customHeight="1" x14ac:dyDescent="0.3">
      <c r="A9" s="613" t="s">
        <v>512</v>
      </c>
      <c r="B9" s="614" t="s">
        <v>334</v>
      </c>
      <c r="C9" s="615">
        <v>31.200200000000002</v>
      </c>
      <c r="D9" s="615">
        <v>204.84532999999999</v>
      </c>
      <c r="E9" s="615"/>
      <c r="F9" s="615">
        <v>105.89059999999999</v>
      </c>
      <c r="G9" s="615">
        <v>90</v>
      </c>
      <c r="H9" s="615">
        <v>15.890599999999992</v>
      </c>
      <c r="I9" s="616">
        <v>1.1765622222222221</v>
      </c>
      <c r="J9" s="617" t="s">
        <v>1</v>
      </c>
    </row>
    <row r="10" spans="1:10" ht="14.4" customHeight="1" x14ac:dyDescent="0.3">
      <c r="A10" s="613" t="s">
        <v>512</v>
      </c>
      <c r="B10" s="614" t="s">
        <v>335</v>
      </c>
      <c r="C10" s="615">
        <v>0</v>
      </c>
      <c r="D10" s="615">
        <v>0</v>
      </c>
      <c r="E10" s="615"/>
      <c r="F10" s="615">
        <v>0</v>
      </c>
      <c r="G10" s="615">
        <v>4.5</v>
      </c>
      <c r="H10" s="615">
        <v>-4.5</v>
      </c>
      <c r="I10" s="616">
        <v>0</v>
      </c>
      <c r="J10" s="617" t="s">
        <v>1</v>
      </c>
    </row>
    <row r="11" spans="1:10" ht="14.4" customHeight="1" x14ac:dyDescent="0.3">
      <c r="A11" s="613" t="s">
        <v>512</v>
      </c>
      <c r="B11" s="614" t="s">
        <v>336</v>
      </c>
      <c r="C11" s="615">
        <v>421.55664000000002</v>
      </c>
      <c r="D11" s="615">
        <v>385.10674</v>
      </c>
      <c r="E11" s="615"/>
      <c r="F11" s="615">
        <v>319.27291000000002</v>
      </c>
      <c r="G11" s="615">
        <v>243.75</v>
      </c>
      <c r="H11" s="615">
        <v>75.522910000000024</v>
      </c>
      <c r="I11" s="616">
        <v>1.3098375794871795</v>
      </c>
      <c r="J11" s="617" t="s">
        <v>1</v>
      </c>
    </row>
    <row r="12" spans="1:10" ht="14.4" customHeight="1" x14ac:dyDescent="0.3">
      <c r="A12" s="613" t="s">
        <v>512</v>
      </c>
      <c r="B12" s="614" t="s">
        <v>337</v>
      </c>
      <c r="C12" s="615">
        <v>18.923909999999999</v>
      </c>
      <c r="D12" s="615">
        <v>38.295070000000003</v>
      </c>
      <c r="E12" s="615"/>
      <c r="F12" s="615">
        <v>272.51542000000001</v>
      </c>
      <c r="G12" s="615">
        <v>138</v>
      </c>
      <c r="H12" s="615">
        <v>134.51542000000001</v>
      </c>
      <c r="I12" s="616">
        <v>1.974749420289855</v>
      </c>
      <c r="J12" s="617" t="s">
        <v>1</v>
      </c>
    </row>
    <row r="13" spans="1:10" ht="14.4" customHeight="1" x14ac:dyDescent="0.3">
      <c r="A13" s="613" t="s">
        <v>512</v>
      </c>
      <c r="B13" s="614" t="s">
        <v>338</v>
      </c>
      <c r="C13" s="615">
        <v>27.51998</v>
      </c>
      <c r="D13" s="615">
        <v>43.029539999999997</v>
      </c>
      <c r="E13" s="615"/>
      <c r="F13" s="615">
        <v>37.603719999999996</v>
      </c>
      <c r="G13" s="615">
        <v>34.25</v>
      </c>
      <c r="H13" s="615">
        <v>3.3537199999999956</v>
      </c>
      <c r="I13" s="616">
        <v>1.0979188321167881</v>
      </c>
      <c r="J13" s="617" t="s">
        <v>1</v>
      </c>
    </row>
    <row r="14" spans="1:10" ht="14.4" customHeight="1" x14ac:dyDescent="0.3">
      <c r="A14" s="613" t="s">
        <v>512</v>
      </c>
      <c r="B14" s="614" t="s">
        <v>515</v>
      </c>
      <c r="C14" s="615">
        <v>1608.2007100000001</v>
      </c>
      <c r="D14" s="615">
        <v>1998.9544799999999</v>
      </c>
      <c r="E14" s="615"/>
      <c r="F14" s="615">
        <v>1776.550840000001</v>
      </c>
      <c r="G14" s="615">
        <v>1763.75</v>
      </c>
      <c r="H14" s="615">
        <v>12.800840000001017</v>
      </c>
      <c r="I14" s="616">
        <v>1.0072577406094974</v>
      </c>
      <c r="J14" s="617" t="s">
        <v>516</v>
      </c>
    </row>
    <row r="16" spans="1:10" ht="14.4" customHeight="1" x14ac:dyDescent="0.3">
      <c r="A16" s="613" t="s">
        <v>512</v>
      </c>
      <c r="B16" s="614" t="s">
        <v>513</v>
      </c>
      <c r="C16" s="615" t="s">
        <v>514</v>
      </c>
      <c r="D16" s="615" t="s">
        <v>514</v>
      </c>
      <c r="E16" s="615"/>
      <c r="F16" s="615" t="s">
        <v>514</v>
      </c>
      <c r="G16" s="615" t="s">
        <v>514</v>
      </c>
      <c r="H16" s="615" t="s">
        <v>514</v>
      </c>
      <c r="I16" s="616" t="s">
        <v>514</v>
      </c>
      <c r="J16" s="617" t="s">
        <v>74</v>
      </c>
    </row>
    <row r="17" spans="1:10" ht="14.4" customHeight="1" x14ac:dyDescent="0.3">
      <c r="A17" s="613" t="s">
        <v>517</v>
      </c>
      <c r="B17" s="614" t="s">
        <v>518</v>
      </c>
      <c r="C17" s="615" t="s">
        <v>514</v>
      </c>
      <c r="D17" s="615" t="s">
        <v>514</v>
      </c>
      <c r="E17" s="615"/>
      <c r="F17" s="615" t="s">
        <v>514</v>
      </c>
      <c r="G17" s="615" t="s">
        <v>514</v>
      </c>
      <c r="H17" s="615" t="s">
        <v>514</v>
      </c>
      <c r="I17" s="616" t="s">
        <v>514</v>
      </c>
      <c r="J17" s="617" t="s">
        <v>0</v>
      </c>
    </row>
    <row r="18" spans="1:10" ht="14.4" customHeight="1" x14ac:dyDescent="0.3">
      <c r="A18" s="613" t="s">
        <v>517</v>
      </c>
      <c r="B18" s="614" t="s">
        <v>331</v>
      </c>
      <c r="C18" s="615">
        <v>888.35949000000005</v>
      </c>
      <c r="D18" s="615">
        <v>953.52053999999998</v>
      </c>
      <c r="E18" s="615"/>
      <c r="F18" s="615">
        <v>676.28545000000099</v>
      </c>
      <c r="G18" s="615">
        <v>861.25</v>
      </c>
      <c r="H18" s="615">
        <v>-184.96454999999901</v>
      </c>
      <c r="I18" s="616">
        <v>0.78523709724238144</v>
      </c>
      <c r="J18" s="617" t="s">
        <v>1</v>
      </c>
    </row>
    <row r="19" spans="1:10" ht="14.4" customHeight="1" x14ac:dyDescent="0.3">
      <c r="A19" s="613" t="s">
        <v>517</v>
      </c>
      <c r="B19" s="614" t="s">
        <v>332</v>
      </c>
      <c r="C19" s="615">
        <v>207.44049000000001</v>
      </c>
      <c r="D19" s="615">
        <v>347.09450000000004</v>
      </c>
      <c r="E19" s="615"/>
      <c r="F19" s="615">
        <v>364.98274000000004</v>
      </c>
      <c r="G19" s="615">
        <v>385.5</v>
      </c>
      <c r="H19" s="615">
        <v>-20.517259999999965</v>
      </c>
      <c r="I19" s="616">
        <v>0.94677753566796374</v>
      </c>
      <c r="J19" s="617" t="s">
        <v>1</v>
      </c>
    </row>
    <row r="20" spans="1:10" ht="14.4" customHeight="1" x14ac:dyDescent="0.3">
      <c r="A20" s="613" t="s">
        <v>517</v>
      </c>
      <c r="B20" s="614" t="s">
        <v>333</v>
      </c>
      <c r="C20" s="615">
        <v>13.2</v>
      </c>
      <c r="D20" s="615">
        <v>27.062760000000001</v>
      </c>
      <c r="E20" s="615"/>
      <c r="F20" s="615">
        <v>0</v>
      </c>
      <c r="G20" s="615">
        <v>6.5</v>
      </c>
      <c r="H20" s="615">
        <v>-6.5</v>
      </c>
      <c r="I20" s="616">
        <v>0</v>
      </c>
      <c r="J20" s="617" t="s">
        <v>1</v>
      </c>
    </row>
    <row r="21" spans="1:10" ht="14.4" customHeight="1" x14ac:dyDescent="0.3">
      <c r="A21" s="613" t="s">
        <v>517</v>
      </c>
      <c r="B21" s="614" t="s">
        <v>334</v>
      </c>
      <c r="C21" s="615">
        <v>31.200200000000002</v>
      </c>
      <c r="D21" s="615">
        <v>204.84532999999999</v>
      </c>
      <c r="E21" s="615"/>
      <c r="F21" s="615">
        <v>105.89059999999999</v>
      </c>
      <c r="G21" s="615">
        <v>90</v>
      </c>
      <c r="H21" s="615">
        <v>15.890599999999992</v>
      </c>
      <c r="I21" s="616">
        <v>1.1765622222222221</v>
      </c>
      <c r="J21" s="617" t="s">
        <v>1</v>
      </c>
    </row>
    <row r="22" spans="1:10" ht="14.4" customHeight="1" x14ac:dyDescent="0.3">
      <c r="A22" s="613" t="s">
        <v>517</v>
      </c>
      <c r="B22" s="614" t="s">
        <v>335</v>
      </c>
      <c r="C22" s="615">
        <v>0</v>
      </c>
      <c r="D22" s="615">
        <v>0</v>
      </c>
      <c r="E22" s="615"/>
      <c r="F22" s="615">
        <v>0</v>
      </c>
      <c r="G22" s="615">
        <v>4.5</v>
      </c>
      <c r="H22" s="615">
        <v>-4.5</v>
      </c>
      <c r="I22" s="616">
        <v>0</v>
      </c>
      <c r="J22" s="617" t="s">
        <v>1</v>
      </c>
    </row>
    <row r="23" spans="1:10" ht="14.4" customHeight="1" x14ac:dyDescent="0.3">
      <c r="A23" s="613" t="s">
        <v>517</v>
      </c>
      <c r="B23" s="614" t="s">
        <v>336</v>
      </c>
      <c r="C23" s="615">
        <v>421.55664000000002</v>
      </c>
      <c r="D23" s="615">
        <v>385.10674</v>
      </c>
      <c r="E23" s="615"/>
      <c r="F23" s="615">
        <v>319.27291000000002</v>
      </c>
      <c r="G23" s="615">
        <v>243.75</v>
      </c>
      <c r="H23" s="615">
        <v>75.522910000000024</v>
      </c>
      <c r="I23" s="616">
        <v>1.3098375794871795</v>
      </c>
      <c r="J23" s="617" t="s">
        <v>1</v>
      </c>
    </row>
    <row r="24" spans="1:10" ht="14.4" customHeight="1" x14ac:dyDescent="0.3">
      <c r="A24" s="613" t="s">
        <v>517</v>
      </c>
      <c r="B24" s="614" t="s">
        <v>337</v>
      </c>
      <c r="C24" s="615">
        <v>18.923909999999999</v>
      </c>
      <c r="D24" s="615">
        <v>38.295070000000003</v>
      </c>
      <c r="E24" s="615"/>
      <c r="F24" s="615">
        <v>272.51542000000001</v>
      </c>
      <c r="G24" s="615">
        <v>138</v>
      </c>
      <c r="H24" s="615">
        <v>134.51542000000001</v>
      </c>
      <c r="I24" s="616">
        <v>1.974749420289855</v>
      </c>
      <c r="J24" s="617" t="s">
        <v>1</v>
      </c>
    </row>
    <row r="25" spans="1:10" ht="14.4" customHeight="1" x14ac:dyDescent="0.3">
      <c r="A25" s="613" t="s">
        <v>517</v>
      </c>
      <c r="B25" s="614" t="s">
        <v>338</v>
      </c>
      <c r="C25" s="615">
        <v>27.51998</v>
      </c>
      <c r="D25" s="615">
        <v>43.029539999999997</v>
      </c>
      <c r="E25" s="615"/>
      <c r="F25" s="615">
        <v>37.603719999999996</v>
      </c>
      <c r="G25" s="615">
        <v>34.25</v>
      </c>
      <c r="H25" s="615">
        <v>3.3537199999999956</v>
      </c>
      <c r="I25" s="616">
        <v>1.0979188321167881</v>
      </c>
      <c r="J25" s="617" t="s">
        <v>1</v>
      </c>
    </row>
    <row r="26" spans="1:10" ht="14.4" customHeight="1" x14ac:dyDescent="0.3">
      <c r="A26" s="613" t="s">
        <v>517</v>
      </c>
      <c r="B26" s="614" t="s">
        <v>519</v>
      </c>
      <c r="C26" s="615">
        <v>1608.2007100000001</v>
      </c>
      <c r="D26" s="615">
        <v>1998.9544799999999</v>
      </c>
      <c r="E26" s="615"/>
      <c r="F26" s="615">
        <v>1776.550840000001</v>
      </c>
      <c r="G26" s="615">
        <v>1763.75</v>
      </c>
      <c r="H26" s="615">
        <v>12.800840000001017</v>
      </c>
      <c r="I26" s="616">
        <v>1.0072577406094974</v>
      </c>
      <c r="J26" s="617" t="s">
        <v>520</v>
      </c>
    </row>
    <row r="27" spans="1:10" ht="14.4" customHeight="1" x14ac:dyDescent="0.3">
      <c r="A27" s="613" t="s">
        <v>514</v>
      </c>
      <c r="B27" s="614" t="s">
        <v>514</v>
      </c>
      <c r="C27" s="615" t="s">
        <v>514</v>
      </c>
      <c r="D27" s="615" t="s">
        <v>514</v>
      </c>
      <c r="E27" s="615"/>
      <c r="F27" s="615" t="s">
        <v>514</v>
      </c>
      <c r="G27" s="615" t="s">
        <v>514</v>
      </c>
      <c r="H27" s="615" t="s">
        <v>514</v>
      </c>
      <c r="I27" s="616" t="s">
        <v>514</v>
      </c>
      <c r="J27" s="617" t="s">
        <v>521</v>
      </c>
    </row>
    <row r="28" spans="1:10" ht="14.4" customHeight="1" x14ac:dyDescent="0.3">
      <c r="A28" s="613" t="s">
        <v>512</v>
      </c>
      <c r="B28" s="614" t="s">
        <v>515</v>
      </c>
      <c r="C28" s="615">
        <v>1608.2007100000001</v>
      </c>
      <c r="D28" s="615">
        <v>1998.9544799999999</v>
      </c>
      <c r="E28" s="615"/>
      <c r="F28" s="615">
        <v>1776.550840000001</v>
      </c>
      <c r="G28" s="615">
        <v>1763.75</v>
      </c>
      <c r="H28" s="615">
        <v>12.800840000001017</v>
      </c>
      <c r="I28" s="616">
        <v>1.0072577406094974</v>
      </c>
      <c r="J28" s="617" t="s">
        <v>516</v>
      </c>
    </row>
  </sheetData>
  <mergeCells count="3">
    <mergeCell ref="F3:I3"/>
    <mergeCell ref="C4:D4"/>
    <mergeCell ref="A1:I1"/>
  </mergeCells>
  <conditionalFormatting sqref="F15 F29:F65537">
    <cfRule type="cellIs" dxfId="69" priority="18" stopIfTrue="1" operator="greaterThan">
      <formula>1</formula>
    </cfRule>
  </conditionalFormatting>
  <conditionalFormatting sqref="H5:H14">
    <cfRule type="expression" dxfId="68" priority="14">
      <formula>$H5&gt;0</formula>
    </cfRule>
  </conditionalFormatting>
  <conditionalFormatting sqref="I5:I14">
    <cfRule type="expression" dxfId="67" priority="15">
      <formula>$I5&gt;1</formula>
    </cfRule>
  </conditionalFormatting>
  <conditionalFormatting sqref="B5:B14">
    <cfRule type="expression" dxfId="66" priority="11">
      <formula>OR($J5="NS",$J5="SumaNS",$J5="Účet")</formula>
    </cfRule>
  </conditionalFormatting>
  <conditionalFormatting sqref="B5:D14 F5:I14">
    <cfRule type="expression" dxfId="65" priority="17">
      <formula>AND($J5&lt;&gt;"",$J5&lt;&gt;"mezeraKL")</formula>
    </cfRule>
  </conditionalFormatting>
  <conditionalFormatting sqref="B5:D14 F5:I14">
    <cfRule type="expression" dxfId="6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63" priority="13">
      <formula>OR($J5="SumaNS",$J5="NS")</formula>
    </cfRule>
  </conditionalFormatting>
  <conditionalFormatting sqref="A5:A14">
    <cfRule type="expression" dxfId="62" priority="9">
      <formula>AND($J5&lt;&gt;"mezeraKL",$J5&lt;&gt;"")</formula>
    </cfRule>
  </conditionalFormatting>
  <conditionalFormatting sqref="A5:A14">
    <cfRule type="expression" dxfId="61" priority="10">
      <formula>AND($J5&lt;&gt;"",$J5&lt;&gt;"mezeraKL")</formula>
    </cfRule>
  </conditionalFormatting>
  <conditionalFormatting sqref="H16:H28">
    <cfRule type="expression" dxfId="60" priority="5">
      <formula>$H16&gt;0</formula>
    </cfRule>
  </conditionalFormatting>
  <conditionalFormatting sqref="A16:A28">
    <cfRule type="expression" dxfId="59" priority="2">
      <formula>AND($J16&lt;&gt;"mezeraKL",$J16&lt;&gt;"")</formula>
    </cfRule>
  </conditionalFormatting>
  <conditionalFormatting sqref="I16:I28">
    <cfRule type="expression" dxfId="58" priority="6">
      <formula>$I16&gt;1</formula>
    </cfRule>
  </conditionalFormatting>
  <conditionalFormatting sqref="B16:B28">
    <cfRule type="expression" dxfId="57" priority="1">
      <formula>OR($J16="NS",$J16="SumaNS",$J16="Účet")</formula>
    </cfRule>
  </conditionalFormatting>
  <conditionalFormatting sqref="A16:D28 F16:I28">
    <cfRule type="expression" dxfId="56" priority="8">
      <formula>AND($J16&lt;&gt;"",$J16&lt;&gt;"mezeraKL")</formula>
    </cfRule>
  </conditionalFormatting>
  <conditionalFormatting sqref="B16:D28 F16:I28">
    <cfRule type="expression" dxfId="55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28 F16:I28">
    <cfRule type="expression" dxfId="54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7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7" hidden="1" customWidth="1" outlineLevel="1"/>
    <col min="2" max="2" width="28.33203125" style="257" hidden="1" customWidth="1" outlineLevel="1"/>
    <col min="3" max="3" width="5.33203125" style="342" bestFit="1" customWidth="1" collapsed="1"/>
    <col min="4" max="4" width="18.77734375" style="346" customWidth="1"/>
    <col min="5" max="5" width="9" style="342" bestFit="1" customWidth="1"/>
    <col min="6" max="6" width="18.77734375" style="346" customWidth="1"/>
    <col min="7" max="7" width="5" style="342" customWidth="1"/>
    <col min="8" max="8" width="12.44140625" style="342" hidden="1" customWidth="1" outlineLevel="1"/>
    <col min="9" max="9" width="8.5546875" style="342" hidden="1" customWidth="1" outlineLevel="1"/>
    <col min="10" max="10" width="25.77734375" style="342" customWidth="1" collapsed="1"/>
    <col min="11" max="11" width="8.77734375" style="342" customWidth="1"/>
    <col min="12" max="13" width="7.77734375" style="340" customWidth="1"/>
    <col min="14" max="14" width="11.109375" style="340" customWidth="1"/>
    <col min="15" max="16384" width="8.88671875" style="257"/>
  </cols>
  <sheetData>
    <row r="1" spans="1:14" ht="18.600000000000001" customHeight="1" thickBot="1" x14ac:dyDescent="0.4">
      <c r="A1" s="494" t="s">
        <v>208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</row>
    <row r="2" spans="1:14" ht="14.4" customHeight="1" thickBot="1" x14ac:dyDescent="0.35">
      <c r="A2" s="386" t="s">
        <v>321</v>
      </c>
      <c r="B2" s="66"/>
      <c r="C2" s="344"/>
      <c r="D2" s="344"/>
      <c r="E2" s="344"/>
      <c r="F2" s="344"/>
      <c r="G2" s="344"/>
      <c r="H2" s="344"/>
      <c r="I2" s="344"/>
      <c r="J2" s="344"/>
      <c r="K2" s="344"/>
      <c r="L2" s="345"/>
      <c r="M2" s="345"/>
      <c r="N2" s="345"/>
    </row>
    <row r="3" spans="1:14" ht="14.4" customHeight="1" thickBot="1" x14ac:dyDescent="0.35">
      <c r="A3" s="66"/>
      <c r="B3" s="66"/>
      <c r="C3" s="490"/>
      <c r="D3" s="491"/>
      <c r="E3" s="491"/>
      <c r="F3" s="491"/>
      <c r="G3" s="491"/>
      <c r="H3" s="491"/>
      <c r="I3" s="491"/>
      <c r="J3" s="492" t="s">
        <v>160</v>
      </c>
      <c r="K3" s="493"/>
      <c r="L3" s="210">
        <f>IF(M3&lt;&gt;0,N3/M3,0)</f>
        <v>275.89649387135381</v>
      </c>
      <c r="M3" s="210">
        <f>SUBTOTAL(9,M5:M1048576)</f>
        <v>6307.9521999999997</v>
      </c>
      <c r="N3" s="211">
        <f>SUBTOTAL(9,N5:N1048576)</f>
        <v>1740341.8954880927</v>
      </c>
    </row>
    <row r="4" spans="1:14" s="341" customFormat="1" ht="14.4" customHeight="1" thickBot="1" x14ac:dyDescent="0.35">
      <c r="A4" s="618" t="s">
        <v>4</v>
      </c>
      <c r="B4" s="619" t="s">
        <v>5</v>
      </c>
      <c r="C4" s="619" t="s">
        <v>0</v>
      </c>
      <c r="D4" s="619" t="s">
        <v>6</v>
      </c>
      <c r="E4" s="619" t="s">
        <v>7</v>
      </c>
      <c r="F4" s="619" t="s">
        <v>1</v>
      </c>
      <c r="G4" s="619" t="s">
        <v>8</v>
      </c>
      <c r="H4" s="619" t="s">
        <v>9</v>
      </c>
      <c r="I4" s="619" t="s">
        <v>10</v>
      </c>
      <c r="J4" s="620" t="s">
        <v>11</v>
      </c>
      <c r="K4" s="620" t="s">
        <v>12</v>
      </c>
      <c r="L4" s="621" t="s">
        <v>185</v>
      </c>
      <c r="M4" s="621" t="s">
        <v>13</v>
      </c>
      <c r="N4" s="622" t="s">
        <v>202</v>
      </c>
    </row>
    <row r="5" spans="1:14" ht="14.4" customHeight="1" x14ac:dyDescent="0.3">
      <c r="A5" s="625" t="s">
        <v>512</v>
      </c>
      <c r="B5" s="626" t="s">
        <v>1459</v>
      </c>
      <c r="C5" s="627" t="s">
        <v>517</v>
      </c>
      <c r="D5" s="628" t="s">
        <v>1460</v>
      </c>
      <c r="E5" s="627" t="s">
        <v>522</v>
      </c>
      <c r="F5" s="628" t="s">
        <v>1461</v>
      </c>
      <c r="G5" s="627"/>
      <c r="H5" s="627" t="s">
        <v>523</v>
      </c>
      <c r="I5" s="627" t="s">
        <v>524</v>
      </c>
      <c r="J5" s="627" t="s">
        <v>525</v>
      </c>
      <c r="K5" s="627" t="s">
        <v>526</v>
      </c>
      <c r="L5" s="629">
        <v>260.72967473626375</v>
      </c>
      <c r="M5" s="629">
        <v>20</v>
      </c>
      <c r="N5" s="630">
        <v>5214.5934947252754</v>
      </c>
    </row>
    <row r="6" spans="1:14" ht="14.4" customHeight="1" x14ac:dyDescent="0.3">
      <c r="A6" s="631" t="s">
        <v>512</v>
      </c>
      <c r="B6" s="632" t="s">
        <v>1459</v>
      </c>
      <c r="C6" s="633" t="s">
        <v>517</v>
      </c>
      <c r="D6" s="634" t="s">
        <v>1460</v>
      </c>
      <c r="E6" s="633" t="s">
        <v>522</v>
      </c>
      <c r="F6" s="634" t="s">
        <v>1461</v>
      </c>
      <c r="G6" s="633"/>
      <c r="H6" s="633" t="s">
        <v>527</v>
      </c>
      <c r="I6" s="633" t="s">
        <v>527</v>
      </c>
      <c r="J6" s="633" t="s">
        <v>528</v>
      </c>
      <c r="K6" s="633" t="s">
        <v>529</v>
      </c>
      <c r="L6" s="635">
        <v>221.68999999999997</v>
      </c>
      <c r="M6" s="635">
        <v>2</v>
      </c>
      <c r="N6" s="636">
        <v>443.37999999999994</v>
      </c>
    </row>
    <row r="7" spans="1:14" ht="14.4" customHeight="1" x14ac:dyDescent="0.3">
      <c r="A7" s="631" t="s">
        <v>512</v>
      </c>
      <c r="B7" s="632" t="s">
        <v>1459</v>
      </c>
      <c r="C7" s="633" t="s">
        <v>517</v>
      </c>
      <c r="D7" s="634" t="s">
        <v>1460</v>
      </c>
      <c r="E7" s="633" t="s">
        <v>522</v>
      </c>
      <c r="F7" s="634" t="s">
        <v>1461</v>
      </c>
      <c r="G7" s="633"/>
      <c r="H7" s="633" t="s">
        <v>530</v>
      </c>
      <c r="I7" s="633" t="s">
        <v>530</v>
      </c>
      <c r="J7" s="633" t="s">
        <v>531</v>
      </c>
      <c r="K7" s="633" t="s">
        <v>532</v>
      </c>
      <c r="L7" s="635">
        <v>900.00070203790347</v>
      </c>
      <c r="M7" s="635">
        <v>1</v>
      </c>
      <c r="N7" s="636">
        <v>900.00070203790347</v>
      </c>
    </row>
    <row r="8" spans="1:14" ht="14.4" customHeight="1" x14ac:dyDescent="0.3">
      <c r="A8" s="631" t="s">
        <v>512</v>
      </c>
      <c r="B8" s="632" t="s">
        <v>1459</v>
      </c>
      <c r="C8" s="633" t="s">
        <v>517</v>
      </c>
      <c r="D8" s="634" t="s">
        <v>1460</v>
      </c>
      <c r="E8" s="633" t="s">
        <v>522</v>
      </c>
      <c r="F8" s="634" t="s">
        <v>1461</v>
      </c>
      <c r="G8" s="633"/>
      <c r="H8" s="633" t="s">
        <v>533</v>
      </c>
      <c r="I8" s="633" t="s">
        <v>533</v>
      </c>
      <c r="J8" s="633" t="s">
        <v>534</v>
      </c>
      <c r="K8" s="633" t="s">
        <v>535</v>
      </c>
      <c r="L8" s="635">
        <v>49.8</v>
      </c>
      <c r="M8" s="635">
        <v>1</v>
      </c>
      <c r="N8" s="636">
        <v>49.8</v>
      </c>
    </row>
    <row r="9" spans="1:14" ht="14.4" customHeight="1" x14ac:dyDescent="0.3">
      <c r="A9" s="631" t="s">
        <v>512</v>
      </c>
      <c r="B9" s="632" t="s">
        <v>1459</v>
      </c>
      <c r="C9" s="633" t="s">
        <v>517</v>
      </c>
      <c r="D9" s="634" t="s">
        <v>1460</v>
      </c>
      <c r="E9" s="633" t="s">
        <v>522</v>
      </c>
      <c r="F9" s="634" t="s">
        <v>1461</v>
      </c>
      <c r="G9" s="633"/>
      <c r="H9" s="633" t="s">
        <v>536</v>
      </c>
      <c r="I9" s="633" t="s">
        <v>536</v>
      </c>
      <c r="J9" s="633" t="s">
        <v>537</v>
      </c>
      <c r="K9" s="633" t="s">
        <v>538</v>
      </c>
      <c r="L9" s="635">
        <v>505.10222222222251</v>
      </c>
      <c r="M9" s="635">
        <v>18</v>
      </c>
      <c r="N9" s="636">
        <v>9091.8400000000056</v>
      </c>
    </row>
    <row r="10" spans="1:14" ht="14.4" customHeight="1" x14ac:dyDescent="0.3">
      <c r="A10" s="631" t="s">
        <v>512</v>
      </c>
      <c r="B10" s="632" t="s">
        <v>1459</v>
      </c>
      <c r="C10" s="633" t="s">
        <v>517</v>
      </c>
      <c r="D10" s="634" t="s">
        <v>1460</v>
      </c>
      <c r="E10" s="633" t="s">
        <v>522</v>
      </c>
      <c r="F10" s="634" t="s">
        <v>1461</v>
      </c>
      <c r="G10" s="633" t="s">
        <v>539</v>
      </c>
      <c r="H10" s="633" t="s">
        <v>540</v>
      </c>
      <c r="I10" s="633" t="s">
        <v>540</v>
      </c>
      <c r="J10" s="633" t="s">
        <v>541</v>
      </c>
      <c r="K10" s="633" t="s">
        <v>542</v>
      </c>
      <c r="L10" s="635">
        <v>179.4</v>
      </c>
      <c r="M10" s="635">
        <v>51</v>
      </c>
      <c r="N10" s="636">
        <v>9149.4</v>
      </c>
    </row>
    <row r="11" spans="1:14" ht="14.4" customHeight="1" x14ac:dyDescent="0.3">
      <c r="A11" s="631" t="s">
        <v>512</v>
      </c>
      <c r="B11" s="632" t="s">
        <v>1459</v>
      </c>
      <c r="C11" s="633" t="s">
        <v>517</v>
      </c>
      <c r="D11" s="634" t="s">
        <v>1460</v>
      </c>
      <c r="E11" s="633" t="s">
        <v>522</v>
      </c>
      <c r="F11" s="634" t="s">
        <v>1461</v>
      </c>
      <c r="G11" s="633" t="s">
        <v>539</v>
      </c>
      <c r="H11" s="633" t="s">
        <v>543</v>
      </c>
      <c r="I11" s="633" t="s">
        <v>543</v>
      </c>
      <c r="J11" s="633" t="s">
        <v>544</v>
      </c>
      <c r="K11" s="633" t="s">
        <v>545</v>
      </c>
      <c r="L11" s="635">
        <v>181.59000000000003</v>
      </c>
      <c r="M11" s="635">
        <v>60</v>
      </c>
      <c r="N11" s="636">
        <v>10895.400000000001</v>
      </c>
    </row>
    <row r="12" spans="1:14" ht="14.4" customHeight="1" x14ac:dyDescent="0.3">
      <c r="A12" s="631" t="s">
        <v>512</v>
      </c>
      <c r="B12" s="632" t="s">
        <v>1459</v>
      </c>
      <c r="C12" s="633" t="s">
        <v>517</v>
      </c>
      <c r="D12" s="634" t="s">
        <v>1460</v>
      </c>
      <c r="E12" s="633" t="s">
        <v>522</v>
      </c>
      <c r="F12" s="634" t="s">
        <v>1461</v>
      </c>
      <c r="G12" s="633" t="s">
        <v>539</v>
      </c>
      <c r="H12" s="633" t="s">
        <v>546</v>
      </c>
      <c r="I12" s="633" t="s">
        <v>546</v>
      </c>
      <c r="J12" s="633" t="s">
        <v>547</v>
      </c>
      <c r="K12" s="633" t="s">
        <v>545</v>
      </c>
      <c r="L12" s="635">
        <v>149.5</v>
      </c>
      <c r="M12" s="635">
        <v>16</v>
      </c>
      <c r="N12" s="636">
        <v>2392</v>
      </c>
    </row>
    <row r="13" spans="1:14" ht="14.4" customHeight="1" x14ac:dyDescent="0.3">
      <c r="A13" s="631" t="s">
        <v>512</v>
      </c>
      <c r="B13" s="632" t="s">
        <v>1459</v>
      </c>
      <c r="C13" s="633" t="s">
        <v>517</v>
      </c>
      <c r="D13" s="634" t="s">
        <v>1460</v>
      </c>
      <c r="E13" s="633" t="s">
        <v>522</v>
      </c>
      <c r="F13" s="634" t="s">
        <v>1461</v>
      </c>
      <c r="G13" s="633" t="s">
        <v>539</v>
      </c>
      <c r="H13" s="633" t="s">
        <v>548</v>
      </c>
      <c r="I13" s="633" t="s">
        <v>548</v>
      </c>
      <c r="J13" s="633" t="s">
        <v>547</v>
      </c>
      <c r="K13" s="633" t="s">
        <v>549</v>
      </c>
      <c r="L13" s="635">
        <v>132.25</v>
      </c>
      <c r="M13" s="635">
        <v>16</v>
      </c>
      <c r="N13" s="636">
        <v>2116</v>
      </c>
    </row>
    <row r="14" spans="1:14" ht="14.4" customHeight="1" x14ac:dyDescent="0.3">
      <c r="A14" s="631" t="s">
        <v>512</v>
      </c>
      <c r="B14" s="632" t="s">
        <v>1459</v>
      </c>
      <c r="C14" s="633" t="s">
        <v>517</v>
      </c>
      <c r="D14" s="634" t="s">
        <v>1460</v>
      </c>
      <c r="E14" s="633" t="s">
        <v>522</v>
      </c>
      <c r="F14" s="634" t="s">
        <v>1461</v>
      </c>
      <c r="G14" s="633" t="s">
        <v>539</v>
      </c>
      <c r="H14" s="633" t="s">
        <v>550</v>
      </c>
      <c r="I14" s="633" t="s">
        <v>550</v>
      </c>
      <c r="J14" s="633" t="s">
        <v>541</v>
      </c>
      <c r="K14" s="633" t="s">
        <v>551</v>
      </c>
      <c r="L14" s="635">
        <v>97.18</v>
      </c>
      <c r="M14" s="635">
        <v>48</v>
      </c>
      <c r="N14" s="636">
        <v>4664.6400000000003</v>
      </c>
    </row>
    <row r="15" spans="1:14" ht="14.4" customHeight="1" x14ac:dyDescent="0.3">
      <c r="A15" s="631" t="s">
        <v>512</v>
      </c>
      <c r="B15" s="632" t="s">
        <v>1459</v>
      </c>
      <c r="C15" s="633" t="s">
        <v>517</v>
      </c>
      <c r="D15" s="634" t="s">
        <v>1460</v>
      </c>
      <c r="E15" s="633" t="s">
        <v>522</v>
      </c>
      <c r="F15" s="634" t="s">
        <v>1461</v>
      </c>
      <c r="G15" s="633" t="s">
        <v>539</v>
      </c>
      <c r="H15" s="633" t="s">
        <v>552</v>
      </c>
      <c r="I15" s="633" t="s">
        <v>552</v>
      </c>
      <c r="J15" s="633" t="s">
        <v>541</v>
      </c>
      <c r="K15" s="633" t="s">
        <v>553</v>
      </c>
      <c r="L15" s="635">
        <v>97.750581828371551</v>
      </c>
      <c r="M15" s="635">
        <v>45</v>
      </c>
      <c r="N15" s="636">
        <v>4398.7761822767197</v>
      </c>
    </row>
    <row r="16" spans="1:14" ht="14.4" customHeight="1" x14ac:dyDescent="0.3">
      <c r="A16" s="631" t="s">
        <v>512</v>
      </c>
      <c r="B16" s="632" t="s">
        <v>1459</v>
      </c>
      <c r="C16" s="633" t="s">
        <v>517</v>
      </c>
      <c r="D16" s="634" t="s">
        <v>1460</v>
      </c>
      <c r="E16" s="633" t="s">
        <v>522</v>
      </c>
      <c r="F16" s="634" t="s">
        <v>1461</v>
      </c>
      <c r="G16" s="633" t="s">
        <v>539</v>
      </c>
      <c r="H16" s="633" t="s">
        <v>554</v>
      </c>
      <c r="I16" s="633" t="s">
        <v>555</v>
      </c>
      <c r="J16" s="633" t="s">
        <v>556</v>
      </c>
      <c r="K16" s="633" t="s">
        <v>557</v>
      </c>
      <c r="L16" s="635">
        <v>84.569999999999965</v>
      </c>
      <c r="M16" s="635">
        <v>4</v>
      </c>
      <c r="N16" s="636">
        <v>338.27999999999986</v>
      </c>
    </row>
    <row r="17" spans="1:14" ht="14.4" customHeight="1" x14ac:dyDescent="0.3">
      <c r="A17" s="631" t="s">
        <v>512</v>
      </c>
      <c r="B17" s="632" t="s">
        <v>1459</v>
      </c>
      <c r="C17" s="633" t="s">
        <v>517</v>
      </c>
      <c r="D17" s="634" t="s">
        <v>1460</v>
      </c>
      <c r="E17" s="633" t="s">
        <v>522</v>
      </c>
      <c r="F17" s="634" t="s">
        <v>1461</v>
      </c>
      <c r="G17" s="633" t="s">
        <v>539</v>
      </c>
      <c r="H17" s="633" t="s">
        <v>558</v>
      </c>
      <c r="I17" s="633" t="s">
        <v>559</v>
      </c>
      <c r="J17" s="633" t="s">
        <v>560</v>
      </c>
      <c r="K17" s="633" t="s">
        <v>561</v>
      </c>
      <c r="L17" s="635">
        <v>97.660787493164705</v>
      </c>
      <c r="M17" s="635">
        <v>98</v>
      </c>
      <c r="N17" s="636">
        <v>9570.7571743301414</v>
      </c>
    </row>
    <row r="18" spans="1:14" ht="14.4" customHeight="1" x14ac:dyDescent="0.3">
      <c r="A18" s="631" t="s">
        <v>512</v>
      </c>
      <c r="B18" s="632" t="s">
        <v>1459</v>
      </c>
      <c r="C18" s="633" t="s">
        <v>517</v>
      </c>
      <c r="D18" s="634" t="s">
        <v>1460</v>
      </c>
      <c r="E18" s="633" t="s">
        <v>522</v>
      </c>
      <c r="F18" s="634" t="s">
        <v>1461</v>
      </c>
      <c r="G18" s="633" t="s">
        <v>539</v>
      </c>
      <c r="H18" s="633" t="s">
        <v>562</v>
      </c>
      <c r="I18" s="633" t="s">
        <v>563</v>
      </c>
      <c r="J18" s="633" t="s">
        <v>560</v>
      </c>
      <c r="K18" s="633" t="s">
        <v>564</v>
      </c>
      <c r="L18" s="635">
        <v>103.20988590223035</v>
      </c>
      <c r="M18" s="635">
        <v>10</v>
      </c>
      <c r="N18" s="636">
        <v>1032.0988590223035</v>
      </c>
    </row>
    <row r="19" spans="1:14" ht="14.4" customHeight="1" x14ac:dyDescent="0.3">
      <c r="A19" s="631" t="s">
        <v>512</v>
      </c>
      <c r="B19" s="632" t="s">
        <v>1459</v>
      </c>
      <c r="C19" s="633" t="s">
        <v>517</v>
      </c>
      <c r="D19" s="634" t="s">
        <v>1460</v>
      </c>
      <c r="E19" s="633" t="s">
        <v>522</v>
      </c>
      <c r="F19" s="634" t="s">
        <v>1461</v>
      </c>
      <c r="G19" s="633" t="s">
        <v>539</v>
      </c>
      <c r="H19" s="633" t="s">
        <v>565</v>
      </c>
      <c r="I19" s="633" t="s">
        <v>566</v>
      </c>
      <c r="J19" s="633" t="s">
        <v>567</v>
      </c>
      <c r="K19" s="633" t="s">
        <v>568</v>
      </c>
      <c r="L19" s="635">
        <v>170.12</v>
      </c>
      <c r="M19" s="635">
        <v>2</v>
      </c>
      <c r="N19" s="636">
        <v>340.24</v>
      </c>
    </row>
    <row r="20" spans="1:14" ht="14.4" customHeight="1" x14ac:dyDescent="0.3">
      <c r="A20" s="631" t="s">
        <v>512</v>
      </c>
      <c r="B20" s="632" t="s">
        <v>1459</v>
      </c>
      <c r="C20" s="633" t="s">
        <v>517</v>
      </c>
      <c r="D20" s="634" t="s">
        <v>1460</v>
      </c>
      <c r="E20" s="633" t="s">
        <v>522</v>
      </c>
      <c r="F20" s="634" t="s">
        <v>1461</v>
      </c>
      <c r="G20" s="633" t="s">
        <v>539</v>
      </c>
      <c r="H20" s="633" t="s">
        <v>569</v>
      </c>
      <c r="I20" s="633" t="s">
        <v>570</v>
      </c>
      <c r="J20" s="633" t="s">
        <v>571</v>
      </c>
      <c r="K20" s="633" t="s">
        <v>572</v>
      </c>
      <c r="L20" s="635">
        <v>65.781340804281086</v>
      </c>
      <c r="M20" s="635">
        <v>72</v>
      </c>
      <c r="N20" s="636">
        <v>4736.256537908238</v>
      </c>
    </row>
    <row r="21" spans="1:14" ht="14.4" customHeight="1" x14ac:dyDescent="0.3">
      <c r="A21" s="631" t="s">
        <v>512</v>
      </c>
      <c r="B21" s="632" t="s">
        <v>1459</v>
      </c>
      <c r="C21" s="633" t="s">
        <v>517</v>
      </c>
      <c r="D21" s="634" t="s">
        <v>1460</v>
      </c>
      <c r="E21" s="633" t="s">
        <v>522</v>
      </c>
      <c r="F21" s="634" t="s">
        <v>1461</v>
      </c>
      <c r="G21" s="633" t="s">
        <v>539</v>
      </c>
      <c r="H21" s="633" t="s">
        <v>573</v>
      </c>
      <c r="I21" s="633" t="s">
        <v>574</v>
      </c>
      <c r="J21" s="633" t="s">
        <v>575</v>
      </c>
      <c r="K21" s="633" t="s">
        <v>576</v>
      </c>
      <c r="L21" s="635">
        <v>56.156765422918525</v>
      </c>
      <c r="M21" s="635">
        <v>28</v>
      </c>
      <c r="N21" s="636">
        <v>1572.3894318417188</v>
      </c>
    </row>
    <row r="22" spans="1:14" ht="14.4" customHeight="1" x14ac:dyDescent="0.3">
      <c r="A22" s="631" t="s">
        <v>512</v>
      </c>
      <c r="B22" s="632" t="s">
        <v>1459</v>
      </c>
      <c r="C22" s="633" t="s">
        <v>517</v>
      </c>
      <c r="D22" s="634" t="s">
        <v>1460</v>
      </c>
      <c r="E22" s="633" t="s">
        <v>522</v>
      </c>
      <c r="F22" s="634" t="s">
        <v>1461</v>
      </c>
      <c r="G22" s="633" t="s">
        <v>539</v>
      </c>
      <c r="H22" s="633" t="s">
        <v>577</v>
      </c>
      <c r="I22" s="633" t="s">
        <v>578</v>
      </c>
      <c r="J22" s="633" t="s">
        <v>579</v>
      </c>
      <c r="K22" s="633" t="s">
        <v>580</v>
      </c>
      <c r="L22" s="635">
        <v>65.179613051014385</v>
      </c>
      <c r="M22" s="635">
        <v>8</v>
      </c>
      <c r="N22" s="636">
        <v>521.43690440811508</v>
      </c>
    </row>
    <row r="23" spans="1:14" ht="14.4" customHeight="1" x14ac:dyDescent="0.3">
      <c r="A23" s="631" t="s">
        <v>512</v>
      </c>
      <c r="B23" s="632" t="s">
        <v>1459</v>
      </c>
      <c r="C23" s="633" t="s">
        <v>517</v>
      </c>
      <c r="D23" s="634" t="s">
        <v>1460</v>
      </c>
      <c r="E23" s="633" t="s">
        <v>522</v>
      </c>
      <c r="F23" s="634" t="s">
        <v>1461</v>
      </c>
      <c r="G23" s="633" t="s">
        <v>539</v>
      </c>
      <c r="H23" s="633" t="s">
        <v>581</v>
      </c>
      <c r="I23" s="633" t="s">
        <v>582</v>
      </c>
      <c r="J23" s="633" t="s">
        <v>583</v>
      </c>
      <c r="K23" s="633" t="s">
        <v>584</v>
      </c>
      <c r="L23" s="635">
        <v>84.120283488120151</v>
      </c>
      <c r="M23" s="635">
        <v>20</v>
      </c>
      <c r="N23" s="636">
        <v>1682.405669762403</v>
      </c>
    </row>
    <row r="24" spans="1:14" ht="14.4" customHeight="1" x14ac:dyDescent="0.3">
      <c r="A24" s="631" t="s">
        <v>512</v>
      </c>
      <c r="B24" s="632" t="s">
        <v>1459</v>
      </c>
      <c r="C24" s="633" t="s">
        <v>517</v>
      </c>
      <c r="D24" s="634" t="s">
        <v>1460</v>
      </c>
      <c r="E24" s="633" t="s">
        <v>522</v>
      </c>
      <c r="F24" s="634" t="s">
        <v>1461</v>
      </c>
      <c r="G24" s="633" t="s">
        <v>539</v>
      </c>
      <c r="H24" s="633" t="s">
        <v>585</v>
      </c>
      <c r="I24" s="633" t="s">
        <v>586</v>
      </c>
      <c r="J24" s="633" t="s">
        <v>587</v>
      </c>
      <c r="K24" s="633" t="s">
        <v>588</v>
      </c>
      <c r="L24" s="635">
        <v>28.242029907199967</v>
      </c>
      <c r="M24" s="635">
        <v>267</v>
      </c>
      <c r="N24" s="636">
        <v>7540.6219852223912</v>
      </c>
    </row>
    <row r="25" spans="1:14" ht="14.4" customHeight="1" x14ac:dyDescent="0.3">
      <c r="A25" s="631" t="s">
        <v>512</v>
      </c>
      <c r="B25" s="632" t="s">
        <v>1459</v>
      </c>
      <c r="C25" s="633" t="s">
        <v>517</v>
      </c>
      <c r="D25" s="634" t="s">
        <v>1460</v>
      </c>
      <c r="E25" s="633" t="s">
        <v>522</v>
      </c>
      <c r="F25" s="634" t="s">
        <v>1461</v>
      </c>
      <c r="G25" s="633" t="s">
        <v>539</v>
      </c>
      <c r="H25" s="633" t="s">
        <v>589</v>
      </c>
      <c r="I25" s="633" t="s">
        <v>590</v>
      </c>
      <c r="J25" s="633" t="s">
        <v>591</v>
      </c>
      <c r="K25" s="633" t="s">
        <v>592</v>
      </c>
      <c r="L25" s="635">
        <v>80.19</v>
      </c>
      <c r="M25" s="635">
        <v>1</v>
      </c>
      <c r="N25" s="636">
        <v>80.19</v>
      </c>
    </row>
    <row r="26" spans="1:14" ht="14.4" customHeight="1" x14ac:dyDescent="0.3">
      <c r="A26" s="631" t="s">
        <v>512</v>
      </c>
      <c r="B26" s="632" t="s">
        <v>1459</v>
      </c>
      <c r="C26" s="633" t="s">
        <v>517</v>
      </c>
      <c r="D26" s="634" t="s">
        <v>1460</v>
      </c>
      <c r="E26" s="633" t="s">
        <v>522</v>
      </c>
      <c r="F26" s="634" t="s">
        <v>1461</v>
      </c>
      <c r="G26" s="633" t="s">
        <v>539</v>
      </c>
      <c r="H26" s="633" t="s">
        <v>593</v>
      </c>
      <c r="I26" s="633" t="s">
        <v>594</v>
      </c>
      <c r="J26" s="633" t="s">
        <v>595</v>
      </c>
      <c r="K26" s="633" t="s">
        <v>596</v>
      </c>
      <c r="L26" s="635">
        <v>55.380037158326957</v>
      </c>
      <c r="M26" s="635">
        <v>6</v>
      </c>
      <c r="N26" s="636">
        <v>332.28022294996174</v>
      </c>
    </row>
    <row r="27" spans="1:14" ht="14.4" customHeight="1" x14ac:dyDescent="0.3">
      <c r="A27" s="631" t="s">
        <v>512</v>
      </c>
      <c r="B27" s="632" t="s">
        <v>1459</v>
      </c>
      <c r="C27" s="633" t="s">
        <v>517</v>
      </c>
      <c r="D27" s="634" t="s">
        <v>1460</v>
      </c>
      <c r="E27" s="633" t="s">
        <v>522</v>
      </c>
      <c r="F27" s="634" t="s">
        <v>1461</v>
      </c>
      <c r="G27" s="633" t="s">
        <v>539</v>
      </c>
      <c r="H27" s="633" t="s">
        <v>597</v>
      </c>
      <c r="I27" s="633" t="s">
        <v>598</v>
      </c>
      <c r="J27" s="633" t="s">
        <v>599</v>
      </c>
      <c r="K27" s="633" t="s">
        <v>600</v>
      </c>
      <c r="L27" s="635">
        <v>37.189761712065675</v>
      </c>
      <c r="M27" s="635">
        <v>1</v>
      </c>
      <c r="N27" s="636">
        <v>37.189761712065675</v>
      </c>
    </row>
    <row r="28" spans="1:14" ht="14.4" customHeight="1" x14ac:dyDescent="0.3">
      <c r="A28" s="631" t="s">
        <v>512</v>
      </c>
      <c r="B28" s="632" t="s">
        <v>1459</v>
      </c>
      <c r="C28" s="633" t="s">
        <v>517</v>
      </c>
      <c r="D28" s="634" t="s">
        <v>1460</v>
      </c>
      <c r="E28" s="633" t="s">
        <v>522</v>
      </c>
      <c r="F28" s="634" t="s">
        <v>1461</v>
      </c>
      <c r="G28" s="633" t="s">
        <v>539</v>
      </c>
      <c r="H28" s="633" t="s">
        <v>601</v>
      </c>
      <c r="I28" s="633" t="s">
        <v>602</v>
      </c>
      <c r="J28" s="633" t="s">
        <v>603</v>
      </c>
      <c r="K28" s="633" t="s">
        <v>576</v>
      </c>
      <c r="L28" s="635">
        <v>67.379972515405171</v>
      </c>
      <c r="M28" s="635">
        <v>19</v>
      </c>
      <c r="N28" s="636">
        <v>1280.2194777926982</v>
      </c>
    </row>
    <row r="29" spans="1:14" ht="14.4" customHeight="1" x14ac:dyDescent="0.3">
      <c r="A29" s="631" t="s">
        <v>512</v>
      </c>
      <c r="B29" s="632" t="s">
        <v>1459</v>
      </c>
      <c r="C29" s="633" t="s">
        <v>517</v>
      </c>
      <c r="D29" s="634" t="s">
        <v>1460</v>
      </c>
      <c r="E29" s="633" t="s">
        <v>522</v>
      </c>
      <c r="F29" s="634" t="s">
        <v>1461</v>
      </c>
      <c r="G29" s="633" t="s">
        <v>539</v>
      </c>
      <c r="H29" s="633" t="s">
        <v>604</v>
      </c>
      <c r="I29" s="633" t="s">
        <v>605</v>
      </c>
      <c r="J29" s="633" t="s">
        <v>606</v>
      </c>
      <c r="K29" s="633" t="s">
        <v>607</v>
      </c>
      <c r="L29" s="635">
        <v>33.828571428571415</v>
      </c>
      <c r="M29" s="635">
        <v>7</v>
      </c>
      <c r="N29" s="636">
        <v>236.79999999999993</v>
      </c>
    </row>
    <row r="30" spans="1:14" ht="14.4" customHeight="1" x14ac:dyDescent="0.3">
      <c r="A30" s="631" t="s">
        <v>512</v>
      </c>
      <c r="B30" s="632" t="s">
        <v>1459</v>
      </c>
      <c r="C30" s="633" t="s">
        <v>517</v>
      </c>
      <c r="D30" s="634" t="s">
        <v>1460</v>
      </c>
      <c r="E30" s="633" t="s">
        <v>522</v>
      </c>
      <c r="F30" s="634" t="s">
        <v>1461</v>
      </c>
      <c r="G30" s="633" t="s">
        <v>539</v>
      </c>
      <c r="H30" s="633" t="s">
        <v>608</v>
      </c>
      <c r="I30" s="633" t="s">
        <v>609</v>
      </c>
      <c r="J30" s="633" t="s">
        <v>610</v>
      </c>
      <c r="K30" s="633" t="s">
        <v>611</v>
      </c>
      <c r="L30" s="635">
        <v>29.889645380800868</v>
      </c>
      <c r="M30" s="635">
        <v>3</v>
      </c>
      <c r="N30" s="636">
        <v>89.6689361424026</v>
      </c>
    </row>
    <row r="31" spans="1:14" ht="14.4" customHeight="1" x14ac:dyDescent="0.3">
      <c r="A31" s="631" t="s">
        <v>512</v>
      </c>
      <c r="B31" s="632" t="s">
        <v>1459</v>
      </c>
      <c r="C31" s="633" t="s">
        <v>517</v>
      </c>
      <c r="D31" s="634" t="s">
        <v>1460</v>
      </c>
      <c r="E31" s="633" t="s">
        <v>522</v>
      </c>
      <c r="F31" s="634" t="s">
        <v>1461</v>
      </c>
      <c r="G31" s="633" t="s">
        <v>539</v>
      </c>
      <c r="H31" s="633" t="s">
        <v>612</v>
      </c>
      <c r="I31" s="633" t="s">
        <v>613</v>
      </c>
      <c r="J31" s="633" t="s">
        <v>614</v>
      </c>
      <c r="K31" s="633" t="s">
        <v>615</v>
      </c>
      <c r="L31" s="635">
        <v>60.350143175552624</v>
      </c>
      <c r="M31" s="635">
        <v>76</v>
      </c>
      <c r="N31" s="636">
        <v>4586.6108813419996</v>
      </c>
    </row>
    <row r="32" spans="1:14" ht="14.4" customHeight="1" x14ac:dyDescent="0.3">
      <c r="A32" s="631" t="s">
        <v>512</v>
      </c>
      <c r="B32" s="632" t="s">
        <v>1459</v>
      </c>
      <c r="C32" s="633" t="s">
        <v>517</v>
      </c>
      <c r="D32" s="634" t="s">
        <v>1460</v>
      </c>
      <c r="E32" s="633" t="s">
        <v>522</v>
      </c>
      <c r="F32" s="634" t="s">
        <v>1461</v>
      </c>
      <c r="G32" s="633" t="s">
        <v>539</v>
      </c>
      <c r="H32" s="633" t="s">
        <v>616</v>
      </c>
      <c r="I32" s="633" t="s">
        <v>617</v>
      </c>
      <c r="J32" s="633" t="s">
        <v>618</v>
      </c>
      <c r="K32" s="633" t="s">
        <v>619</v>
      </c>
      <c r="L32" s="635">
        <v>111.12</v>
      </c>
      <c r="M32" s="635">
        <v>1</v>
      </c>
      <c r="N32" s="636">
        <v>111.12</v>
      </c>
    </row>
    <row r="33" spans="1:14" ht="14.4" customHeight="1" x14ac:dyDescent="0.3">
      <c r="A33" s="631" t="s">
        <v>512</v>
      </c>
      <c r="B33" s="632" t="s">
        <v>1459</v>
      </c>
      <c r="C33" s="633" t="s">
        <v>517</v>
      </c>
      <c r="D33" s="634" t="s">
        <v>1460</v>
      </c>
      <c r="E33" s="633" t="s">
        <v>522</v>
      </c>
      <c r="F33" s="634" t="s">
        <v>1461</v>
      </c>
      <c r="G33" s="633" t="s">
        <v>539</v>
      </c>
      <c r="H33" s="633" t="s">
        <v>620</v>
      </c>
      <c r="I33" s="633" t="s">
        <v>621</v>
      </c>
      <c r="J33" s="633" t="s">
        <v>622</v>
      </c>
      <c r="K33" s="633" t="s">
        <v>623</v>
      </c>
      <c r="L33" s="635">
        <v>64.400000000000006</v>
      </c>
      <c r="M33" s="635">
        <v>4</v>
      </c>
      <c r="N33" s="636">
        <v>257.60000000000002</v>
      </c>
    </row>
    <row r="34" spans="1:14" ht="14.4" customHeight="1" x14ac:dyDescent="0.3">
      <c r="A34" s="631" t="s">
        <v>512</v>
      </c>
      <c r="B34" s="632" t="s">
        <v>1459</v>
      </c>
      <c r="C34" s="633" t="s">
        <v>517</v>
      </c>
      <c r="D34" s="634" t="s">
        <v>1460</v>
      </c>
      <c r="E34" s="633" t="s">
        <v>522</v>
      </c>
      <c r="F34" s="634" t="s">
        <v>1461</v>
      </c>
      <c r="G34" s="633" t="s">
        <v>539</v>
      </c>
      <c r="H34" s="633" t="s">
        <v>624</v>
      </c>
      <c r="I34" s="633" t="s">
        <v>625</v>
      </c>
      <c r="J34" s="633" t="s">
        <v>626</v>
      </c>
      <c r="K34" s="633" t="s">
        <v>627</v>
      </c>
      <c r="L34" s="635">
        <v>260.00023376369819</v>
      </c>
      <c r="M34" s="635">
        <v>60</v>
      </c>
      <c r="N34" s="636">
        <v>15600.014025821893</v>
      </c>
    </row>
    <row r="35" spans="1:14" ht="14.4" customHeight="1" x14ac:dyDescent="0.3">
      <c r="A35" s="631" t="s">
        <v>512</v>
      </c>
      <c r="B35" s="632" t="s">
        <v>1459</v>
      </c>
      <c r="C35" s="633" t="s">
        <v>517</v>
      </c>
      <c r="D35" s="634" t="s">
        <v>1460</v>
      </c>
      <c r="E35" s="633" t="s">
        <v>522</v>
      </c>
      <c r="F35" s="634" t="s">
        <v>1461</v>
      </c>
      <c r="G35" s="633" t="s">
        <v>539</v>
      </c>
      <c r="H35" s="633" t="s">
        <v>628</v>
      </c>
      <c r="I35" s="633" t="s">
        <v>629</v>
      </c>
      <c r="J35" s="633" t="s">
        <v>630</v>
      </c>
      <c r="K35" s="633" t="s">
        <v>627</v>
      </c>
      <c r="L35" s="635">
        <v>344.3900000000001</v>
      </c>
      <c r="M35" s="635">
        <v>40</v>
      </c>
      <c r="N35" s="636">
        <v>13775.600000000004</v>
      </c>
    </row>
    <row r="36" spans="1:14" ht="14.4" customHeight="1" x14ac:dyDescent="0.3">
      <c r="A36" s="631" t="s">
        <v>512</v>
      </c>
      <c r="B36" s="632" t="s">
        <v>1459</v>
      </c>
      <c r="C36" s="633" t="s">
        <v>517</v>
      </c>
      <c r="D36" s="634" t="s">
        <v>1460</v>
      </c>
      <c r="E36" s="633" t="s">
        <v>522</v>
      </c>
      <c r="F36" s="634" t="s">
        <v>1461</v>
      </c>
      <c r="G36" s="633" t="s">
        <v>539</v>
      </c>
      <c r="H36" s="633" t="s">
        <v>631</v>
      </c>
      <c r="I36" s="633" t="s">
        <v>632</v>
      </c>
      <c r="J36" s="633" t="s">
        <v>633</v>
      </c>
      <c r="K36" s="633" t="s">
        <v>634</v>
      </c>
      <c r="L36" s="635">
        <v>151.28501969751676</v>
      </c>
      <c r="M36" s="635">
        <v>2</v>
      </c>
      <c r="N36" s="636">
        <v>302.57003939503352</v>
      </c>
    </row>
    <row r="37" spans="1:14" ht="14.4" customHeight="1" x14ac:dyDescent="0.3">
      <c r="A37" s="631" t="s">
        <v>512</v>
      </c>
      <c r="B37" s="632" t="s">
        <v>1459</v>
      </c>
      <c r="C37" s="633" t="s">
        <v>517</v>
      </c>
      <c r="D37" s="634" t="s">
        <v>1460</v>
      </c>
      <c r="E37" s="633" t="s">
        <v>522</v>
      </c>
      <c r="F37" s="634" t="s">
        <v>1461</v>
      </c>
      <c r="G37" s="633" t="s">
        <v>539</v>
      </c>
      <c r="H37" s="633" t="s">
        <v>635</v>
      </c>
      <c r="I37" s="633" t="s">
        <v>636</v>
      </c>
      <c r="J37" s="633" t="s">
        <v>637</v>
      </c>
      <c r="K37" s="633" t="s">
        <v>638</v>
      </c>
      <c r="L37" s="635">
        <v>194.05</v>
      </c>
      <c r="M37" s="635">
        <v>29</v>
      </c>
      <c r="N37" s="636">
        <v>5627.4500000000007</v>
      </c>
    </row>
    <row r="38" spans="1:14" ht="14.4" customHeight="1" x14ac:dyDescent="0.3">
      <c r="A38" s="631" t="s">
        <v>512</v>
      </c>
      <c r="B38" s="632" t="s">
        <v>1459</v>
      </c>
      <c r="C38" s="633" t="s">
        <v>517</v>
      </c>
      <c r="D38" s="634" t="s">
        <v>1460</v>
      </c>
      <c r="E38" s="633" t="s">
        <v>522</v>
      </c>
      <c r="F38" s="634" t="s">
        <v>1461</v>
      </c>
      <c r="G38" s="633" t="s">
        <v>539</v>
      </c>
      <c r="H38" s="633" t="s">
        <v>639</v>
      </c>
      <c r="I38" s="633" t="s">
        <v>639</v>
      </c>
      <c r="J38" s="633" t="s">
        <v>640</v>
      </c>
      <c r="K38" s="633" t="s">
        <v>641</v>
      </c>
      <c r="L38" s="635">
        <v>38.189966169500174</v>
      </c>
      <c r="M38" s="635">
        <v>130</v>
      </c>
      <c r="N38" s="636">
        <v>4964.6956020350226</v>
      </c>
    </row>
    <row r="39" spans="1:14" ht="14.4" customHeight="1" x14ac:dyDescent="0.3">
      <c r="A39" s="631" t="s">
        <v>512</v>
      </c>
      <c r="B39" s="632" t="s">
        <v>1459</v>
      </c>
      <c r="C39" s="633" t="s">
        <v>517</v>
      </c>
      <c r="D39" s="634" t="s">
        <v>1460</v>
      </c>
      <c r="E39" s="633" t="s">
        <v>522</v>
      </c>
      <c r="F39" s="634" t="s">
        <v>1461</v>
      </c>
      <c r="G39" s="633" t="s">
        <v>539</v>
      </c>
      <c r="H39" s="633" t="s">
        <v>642</v>
      </c>
      <c r="I39" s="633" t="s">
        <v>643</v>
      </c>
      <c r="J39" s="633" t="s">
        <v>644</v>
      </c>
      <c r="K39" s="633" t="s">
        <v>645</v>
      </c>
      <c r="L39" s="635">
        <v>238.28992352020799</v>
      </c>
      <c r="M39" s="635">
        <v>2</v>
      </c>
      <c r="N39" s="636">
        <v>476.57984704041598</v>
      </c>
    </row>
    <row r="40" spans="1:14" ht="14.4" customHeight="1" x14ac:dyDescent="0.3">
      <c r="A40" s="631" t="s">
        <v>512</v>
      </c>
      <c r="B40" s="632" t="s">
        <v>1459</v>
      </c>
      <c r="C40" s="633" t="s">
        <v>517</v>
      </c>
      <c r="D40" s="634" t="s">
        <v>1460</v>
      </c>
      <c r="E40" s="633" t="s">
        <v>522</v>
      </c>
      <c r="F40" s="634" t="s">
        <v>1461</v>
      </c>
      <c r="G40" s="633" t="s">
        <v>539</v>
      </c>
      <c r="H40" s="633" t="s">
        <v>646</v>
      </c>
      <c r="I40" s="633" t="s">
        <v>647</v>
      </c>
      <c r="J40" s="633" t="s">
        <v>648</v>
      </c>
      <c r="K40" s="633" t="s">
        <v>649</v>
      </c>
      <c r="L40" s="635">
        <v>184.74</v>
      </c>
      <c r="M40" s="635">
        <v>1</v>
      </c>
      <c r="N40" s="636">
        <v>184.74</v>
      </c>
    </row>
    <row r="41" spans="1:14" ht="14.4" customHeight="1" x14ac:dyDescent="0.3">
      <c r="A41" s="631" t="s">
        <v>512</v>
      </c>
      <c r="B41" s="632" t="s">
        <v>1459</v>
      </c>
      <c r="C41" s="633" t="s">
        <v>517</v>
      </c>
      <c r="D41" s="634" t="s">
        <v>1460</v>
      </c>
      <c r="E41" s="633" t="s">
        <v>522</v>
      </c>
      <c r="F41" s="634" t="s">
        <v>1461</v>
      </c>
      <c r="G41" s="633" t="s">
        <v>539</v>
      </c>
      <c r="H41" s="633" t="s">
        <v>650</v>
      </c>
      <c r="I41" s="633" t="s">
        <v>651</v>
      </c>
      <c r="J41" s="633" t="s">
        <v>652</v>
      </c>
      <c r="K41" s="633" t="s">
        <v>653</v>
      </c>
      <c r="L41" s="635">
        <v>85.85</v>
      </c>
      <c r="M41" s="635">
        <v>1</v>
      </c>
      <c r="N41" s="636">
        <v>85.85</v>
      </c>
    </row>
    <row r="42" spans="1:14" ht="14.4" customHeight="1" x14ac:dyDescent="0.3">
      <c r="A42" s="631" t="s">
        <v>512</v>
      </c>
      <c r="B42" s="632" t="s">
        <v>1459</v>
      </c>
      <c r="C42" s="633" t="s">
        <v>517</v>
      </c>
      <c r="D42" s="634" t="s">
        <v>1460</v>
      </c>
      <c r="E42" s="633" t="s">
        <v>522</v>
      </c>
      <c r="F42" s="634" t="s">
        <v>1461</v>
      </c>
      <c r="G42" s="633" t="s">
        <v>539</v>
      </c>
      <c r="H42" s="633" t="s">
        <v>654</v>
      </c>
      <c r="I42" s="633" t="s">
        <v>655</v>
      </c>
      <c r="J42" s="633" t="s">
        <v>614</v>
      </c>
      <c r="K42" s="633" t="s">
        <v>656</v>
      </c>
      <c r="L42" s="635">
        <v>22.480000000000004</v>
      </c>
      <c r="M42" s="635">
        <v>2</v>
      </c>
      <c r="N42" s="636">
        <v>44.960000000000008</v>
      </c>
    </row>
    <row r="43" spans="1:14" ht="14.4" customHeight="1" x14ac:dyDescent="0.3">
      <c r="A43" s="631" t="s">
        <v>512</v>
      </c>
      <c r="B43" s="632" t="s">
        <v>1459</v>
      </c>
      <c r="C43" s="633" t="s">
        <v>517</v>
      </c>
      <c r="D43" s="634" t="s">
        <v>1460</v>
      </c>
      <c r="E43" s="633" t="s">
        <v>522</v>
      </c>
      <c r="F43" s="634" t="s">
        <v>1461</v>
      </c>
      <c r="G43" s="633" t="s">
        <v>539</v>
      </c>
      <c r="H43" s="633" t="s">
        <v>657</v>
      </c>
      <c r="I43" s="633" t="s">
        <v>658</v>
      </c>
      <c r="J43" s="633" t="s">
        <v>659</v>
      </c>
      <c r="K43" s="633" t="s">
        <v>660</v>
      </c>
      <c r="L43" s="635">
        <v>1127.81</v>
      </c>
      <c r="M43" s="635">
        <v>1</v>
      </c>
      <c r="N43" s="636">
        <v>1127.81</v>
      </c>
    </row>
    <row r="44" spans="1:14" ht="14.4" customHeight="1" x14ac:dyDescent="0.3">
      <c r="A44" s="631" t="s">
        <v>512</v>
      </c>
      <c r="B44" s="632" t="s">
        <v>1459</v>
      </c>
      <c r="C44" s="633" t="s">
        <v>517</v>
      </c>
      <c r="D44" s="634" t="s">
        <v>1460</v>
      </c>
      <c r="E44" s="633" t="s">
        <v>522</v>
      </c>
      <c r="F44" s="634" t="s">
        <v>1461</v>
      </c>
      <c r="G44" s="633" t="s">
        <v>539</v>
      </c>
      <c r="H44" s="633" t="s">
        <v>661</v>
      </c>
      <c r="I44" s="633" t="s">
        <v>662</v>
      </c>
      <c r="J44" s="633" t="s">
        <v>663</v>
      </c>
      <c r="K44" s="633" t="s">
        <v>664</v>
      </c>
      <c r="L44" s="635">
        <v>161.82</v>
      </c>
      <c r="M44" s="635">
        <v>4</v>
      </c>
      <c r="N44" s="636">
        <v>647.28</v>
      </c>
    </row>
    <row r="45" spans="1:14" ht="14.4" customHeight="1" x14ac:dyDescent="0.3">
      <c r="A45" s="631" t="s">
        <v>512</v>
      </c>
      <c r="B45" s="632" t="s">
        <v>1459</v>
      </c>
      <c r="C45" s="633" t="s">
        <v>517</v>
      </c>
      <c r="D45" s="634" t="s">
        <v>1460</v>
      </c>
      <c r="E45" s="633" t="s">
        <v>522</v>
      </c>
      <c r="F45" s="634" t="s">
        <v>1461</v>
      </c>
      <c r="G45" s="633" t="s">
        <v>539</v>
      </c>
      <c r="H45" s="633" t="s">
        <v>665</v>
      </c>
      <c r="I45" s="633" t="s">
        <v>666</v>
      </c>
      <c r="J45" s="633" t="s">
        <v>667</v>
      </c>
      <c r="K45" s="633" t="s">
        <v>668</v>
      </c>
      <c r="L45" s="635">
        <v>223.47</v>
      </c>
      <c r="M45" s="635">
        <v>1</v>
      </c>
      <c r="N45" s="636">
        <v>223.47</v>
      </c>
    </row>
    <row r="46" spans="1:14" ht="14.4" customHeight="1" x14ac:dyDescent="0.3">
      <c r="A46" s="631" t="s">
        <v>512</v>
      </c>
      <c r="B46" s="632" t="s">
        <v>1459</v>
      </c>
      <c r="C46" s="633" t="s">
        <v>517</v>
      </c>
      <c r="D46" s="634" t="s">
        <v>1460</v>
      </c>
      <c r="E46" s="633" t="s">
        <v>522</v>
      </c>
      <c r="F46" s="634" t="s">
        <v>1461</v>
      </c>
      <c r="G46" s="633" t="s">
        <v>539</v>
      </c>
      <c r="H46" s="633" t="s">
        <v>669</v>
      </c>
      <c r="I46" s="633" t="s">
        <v>670</v>
      </c>
      <c r="J46" s="633" t="s">
        <v>671</v>
      </c>
      <c r="K46" s="633" t="s">
        <v>672</v>
      </c>
      <c r="L46" s="635">
        <v>75.239999999999995</v>
      </c>
      <c r="M46" s="635">
        <v>2</v>
      </c>
      <c r="N46" s="636">
        <v>150.47999999999999</v>
      </c>
    </row>
    <row r="47" spans="1:14" ht="14.4" customHeight="1" x14ac:dyDescent="0.3">
      <c r="A47" s="631" t="s">
        <v>512</v>
      </c>
      <c r="B47" s="632" t="s">
        <v>1459</v>
      </c>
      <c r="C47" s="633" t="s">
        <v>517</v>
      </c>
      <c r="D47" s="634" t="s">
        <v>1460</v>
      </c>
      <c r="E47" s="633" t="s">
        <v>522</v>
      </c>
      <c r="F47" s="634" t="s">
        <v>1461</v>
      </c>
      <c r="G47" s="633" t="s">
        <v>539</v>
      </c>
      <c r="H47" s="633" t="s">
        <v>673</v>
      </c>
      <c r="I47" s="633" t="s">
        <v>674</v>
      </c>
      <c r="J47" s="633" t="s">
        <v>675</v>
      </c>
      <c r="K47" s="633" t="s">
        <v>676</v>
      </c>
      <c r="L47" s="635">
        <v>120.71999999999997</v>
      </c>
      <c r="M47" s="635">
        <v>1</v>
      </c>
      <c r="N47" s="636">
        <v>120.71999999999997</v>
      </c>
    </row>
    <row r="48" spans="1:14" ht="14.4" customHeight="1" x14ac:dyDescent="0.3">
      <c r="A48" s="631" t="s">
        <v>512</v>
      </c>
      <c r="B48" s="632" t="s">
        <v>1459</v>
      </c>
      <c r="C48" s="633" t="s">
        <v>517</v>
      </c>
      <c r="D48" s="634" t="s">
        <v>1460</v>
      </c>
      <c r="E48" s="633" t="s">
        <v>522</v>
      </c>
      <c r="F48" s="634" t="s">
        <v>1461</v>
      </c>
      <c r="G48" s="633" t="s">
        <v>539</v>
      </c>
      <c r="H48" s="633" t="s">
        <v>677</v>
      </c>
      <c r="I48" s="633" t="s">
        <v>678</v>
      </c>
      <c r="J48" s="633" t="s">
        <v>679</v>
      </c>
      <c r="K48" s="633" t="s">
        <v>680</v>
      </c>
      <c r="L48" s="635">
        <v>376.02787873301946</v>
      </c>
      <c r="M48" s="635">
        <v>5</v>
      </c>
      <c r="N48" s="636">
        <v>1880.1393936650973</v>
      </c>
    </row>
    <row r="49" spans="1:14" ht="14.4" customHeight="1" x14ac:dyDescent="0.3">
      <c r="A49" s="631" t="s">
        <v>512</v>
      </c>
      <c r="B49" s="632" t="s">
        <v>1459</v>
      </c>
      <c r="C49" s="633" t="s">
        <v>517</v>
      </c>
      <c r="D49" s="634" t="s">
        <v>1460</v>
      </c>
      <c r="E49" s="633" t="s">
        <v>522</v>
      </c>
      <c r="F49" s="634" t="s">
        <v>1461</v>
      </c>
      <c r="G49" s="633" t="s">
        <v>539</v>
      </c>
      <c r="H49" s="633" t="s">
        <v>681</v>
      </c>
      <c r="I49" s="633" t="s">
        <v>682</v>
      </c>
      <c r="J49" s="633" t="s">
        <v>683</v>
      </c>
      <c r="K49" s="633" t="s">
        <v>684</v>
      </c>
      <c r="L49" s="635">
        <v>65.138937499999997</v>
      </c>
      <c r="M49" s="635">
        <v>16</v>
      </c>
      <c r="N49" s="636">
        <v>1042.223</v>
      </c>
    </row>
    <row r="50" spans="1:14" ht="14.4" customHeight="1" x14ac:dyDescent="0.3">
      <c r="A50" s="631" t="s">
        <v>512</v>
      </c>
      <c r="B50" s="632" t="s">
        <v>1459</v>
      </c>
      <c r="C50" s="633" t="s">
        <v>517</v>
      </c>
      <c r="D50" s="634" t="s">
        <v>1460</v>
      </c>
      <c r="E50" s="633" t="s">
        <v>522</v>
      </c>
      <c r="F50" s="634" t="s">
        <v>1461</v>
      </c>
      <c r="G50" s="633" t="s">
        <v>539</v>
      </c>
      <c r="H50" s="633" t="s">
        <v>685</v>
      </c>
      <c r="I50" s="633" t="s">
        <v>686</v>
      </c>
      <c r="J50" s="633" t="s">
        <v>687</v>
      </c>
      <c r="K50" s="633" t="s">
        <v>688</v>
      </c>
      <c r="L50" s="635">
        <v>119.80243434859591</v>
      </c>
      <c r="M50" s="635">
        <v>4</v>
      </c>
      <c r="N50" s="636">
        <v>479.20973739438364</v>
      </c>
    </row>
    <row r="51" spans="1:14" ht="14.4" customHeight="1" x14ac:dyDescent="0.3">
      <c r="A51" s="631" t="s">
        <v>512</v>
      </c>
      <c r="B51" s="632" t="s">
        <v>1459</v>
      </c>
      <c r="C51" s="633" t="s">
        <v>517</v>
      </c>
      <c r="D51" s="634" t="s">
        <v>1460</v>
      </c>
      <c r="E51" s="633" t="s">
        <v>522</v>
      </c>
      <c r="F51" s="634" t="s">
        <v>1461</v>
      </c>
      <c r="G51" s="633" t="s">
        <v>539</v>
      </c>
      <c r="H51" s="633" t="s">
        <v>689</v>
      </c>
      <c r="I51" s="633" t="s">
        <v>690</v>
      </c>
      <c r="J51" s="633" t="s">
        <v>691</v>
      </c>
      <c r="K51" s="633" t="s">
        <v>692</v>
      </c>
      <c r="L51" s="635">
        <v>76.680928259055577</v>
      </c>
      <c r="M51" s="635">
        <v>1</v>
      </c>
      <c r="N51" s="636">
        <v>76.680928259055577</v>
      </c>
    </row>
    <row r="52" spans="1:14" ht="14.4" customHeight="1" x14ac:dyDescent="0.3">
      <c r="A52" s="631" t="s">
        <v>512</v>
      </c>
      <c r="B52" s="632" t="s">
        <v>1459</v>
      </c>
      <c r="C52" s="633" t="s">
        <v>517</v>
      </c>
      <c r="D52" s="634" t="s">
        <v>1460</v>
      </c>
      <c r="E52" s="633" t="s">
        <v>522</v>
      </c>
      <c r="F52" s="634" t="s">
        <v>1461</v>
      </c>
      <c r="G52" s="633" t="s">
        <v>539</v>
      </c>
      <c r="H52" s="633" t="s">
        <v>693</v>
      </c>
      <c r="I52" s="633" t="s">
        <v>694</v>
      </c>
      <c r="J52" s="633" t="s">
        <v>695</v>
      </c>
      <c r="K52" s="633" t="s">
        <v>696</v>
      </c>
      <c r="L52" s="635">
        <v>45.780013502999942</v>
      </c>
      <c r="M52" s="635">
        <v>12</v>
      </c>
      <c r="N52" s="636">
        <v>549.36016203599934</v>
      </c>
    </row>
    <row r="53" spans="1:14" ht="14.4" customHeight="1" x14ac:dyDescent="0.3">
      <c r="A53" s="631" t="s">
        <v>512</v>
      </c>
      <c r="B53" s="632" t="s">
        <v>1459</v>
      </c>
      <c r="C53" s="633" t="s">
        <v>517</v>
      </c>
      <c r="D53" s="634" t="s">
        <v>1460</v>
      </c>
      <c r="E53" s="633" t="s">
        <v>522</v>
      </c>
      <c r="F53" s="634" t="s">
        <v>1461</v>
      </c>
      <c r="G53" s="633" t="s">
        <v>539</v>
      </c>
      <c r="H53" s="633" t="s">
        <v>697</v>
      </c>
      <c r="I53" s="633" t="s">
        <v>698</v>
      </c>
      <c r="J53" s="633" t="s">
        <v>699</v>
      </c>
      <c r="K53" s="633" t="s">
        <v>700</v>
      </c>
      <c r="L53" s="635">
        <v>92.51155090497646</v>
      </c>
      <c r="M53" s="635">
        <v>12</v>
      </c>
      <c r="N53" s="636">
        <v>1110.1386108597176</v>
      </c>
    </row>
    <row r="54" spans="1:14" ht="14.4" customHeight="1" x14ac:dyDescent="0.3">
      <c r="A54" s="631" t="s">
        <v>512</v>
      </c>
      <c r="B54" s="632" t="s">
        <v>1459</v>
      </c>
      <c r="C54" s="633" t="s">
        <v>517</v>
      </c>
      <c r="D54" s="634" t="s">
        <v>1460</v>
      </c>
      <c r="E54" s="633" t="s">
        <v>522</v>
      </c>
      <c r="F54" s="634" t="s">
        <v>1461</v>
      </c>
      <c r="G54" s="633" t="s">
        <v>539</v>
      </c>
      <c r="H54" s="633" t="s">
        <v>701</v>
      </c>
      <c r="I54" s="633" t="s">
        <v>702</v>
      </c>
      <c r="J54" s="633" t="s">
        <v>703</v>
      </c>
      <c r="K54" s="633" t="s">
        <v>704</v>
      </c>
      <c r="L54" s="635">
        <v>47.359835375158191</v>
      </c>
      <c r="M54" s="635">
        <v>12</v>
      </c>
      <c r="N54" s="636">
        <v>568.31802450189832</v>
      </c>
    </row>
    <row r="55" spans="1:14" ht="14.4" customHeight="1" x14ac:dyDescent="0.3">
      <c r="A55" s="631" t="s">
        <v>512</v>
      </c>
      <c r="B55" s="632" t="s">
        <v>1459</v>
      </c>
      <c r="C55" s="633" t="s">
        <v>517</v>
      </c>
      <c r="D55" s="634" t="s">
        <v>1460</v>
      </c>
      <c r="E55" s="633" t="s">
        <v>522</v>
      </c>
      <c r="F55" s="634" t="s">
        <v>1461</v>
      </c>
      <c r="G55" s="633" t="s">
        <v>539</v>
      </c>
      <c r="H55" s="633" t="s">
        <v>705</v>
      </c>
      <c r="I55" s="633" t="s">
        <v>705</v>
      </c>
      <c r="J55" s="633" t="s">
        <v>622</v>
      </c>
      <c r="K55" s="633" t="s">
        <v>706</v>
      </c>
      <c r="L55" s="635">
        <v>106.815</v>
      </c>
      <c r="M55" s="635">
        <v>2</v>
      </c>
      <c r="N55" s="636">
        <v>213.63</v>
      </c>
    </row>
    <row r="56" spans="1:14" ht="14.4" customHeight="1" x14ac:dyDescent="0.3">
      <c r="A56" s="631" t="s">
        <v>512</v>
      </c>
      <c r="B56" s="632" t="s">
        <v>1459</v>
      </c>
      <c r="C56" s="633" t="s">
        <v>517</v>
      </c>
      <c r="D56" s="634" t="s">
        <v>1460</v>
      </c>
      <c r="E56" s="633" t="s">
        <v>522</v>
      </c>
      <c r="F56" s="634" t="s">
        <v>1461</v>
      </c>
      <c r="G56" s="633" t="s">
        <v>539</v>
      </c>
      <c r="H56" s="633" t="s">
        <v>707</v>
      </c>
      <c r="I56" s="633" t="s">
        <v>708</v>
      </c>
      <c r="J56" s="633" t="s">
        <v>709</v>
      </c>
      <c r="K56" s="633" t="s">
        <v>710</v>
      </c>
      <c r="L56" s="635">
        <v>292.53945381135588</v>
      </c>
      <c r="M56" s="635">
        <v>40</v>
      </c>
      <c r="N56" s="636">
        <v>11701.578152454234</v>
      </c>
    </row>
    <row r="57" spans="1:14" ht="14.4" customHeight="1" x14ac:dyDescent="0.3">
      <c r="A57" s="631" t="s">
        <v>512</v>
      </c>
      <c r="B57" s="632" t="s">
        <v>1459</v>
      </c>
      <c r="C57" s="633" t="s">
        <v>517</v>
      </c>
      <c r="D57" s="634" t="s">
        <v>1460</v>
      </c>
      <c r="E57" s="633" t="s">
        <v>522</v>
      </c>
      <c r="F57" s="634" t="s">
        <v>1461</v>
      </c>
      <c r="G57" s="633" t="s">
        <v>539</v>
      </c>
      <c r="H57" s="633" t="s">
        <v>711</v>
      </c>
      <c r="I57" s="633" t="s">
        <v>712</v>
      </c>
      <c r="J57" s="633" t="s">
        <v>713</v>
      </c>
      <c r="K57" s="633" t="s">
        <v>714</v>
      </c>
      <c r="L57" s="635">
        <v>73.63</v>
      </c>
      <c r="M57" s="635">
        <v>1</v>
      </c>
      <c r="N57" s="636">
        <v>73.63</v>
      </c>
    </row>
    <row r="58" spans="1:14" ht="14.4" customHeight="1" x14ac:dyDescent="0.3">
      <c r="A58" s="631" t="s">
        <v>512</v>
      </c>
      <c r="B58" s="632" t="s">
        <v>1459</v>
      </c>
      <c r="C58" s="633" t="s">
        <v>517</v>
      </c>
      <c r="D58" s="634" t="s">
        <v>1460</v>
      </c>
      <c r="E58" s="633" t="s">
        <v>522</v>
      </c>
      <c r="F58" s="634" t="s">
        <v>1461</v>
      </c>
      <c r="G58" s="633" t="s">
        <v>539</v>
      </c>
      <c r="H58" s="633" t="s">
        <v>715</v>
      </c>
      <c r="I58" s="633" t="s">
        <v>716</v>
      </c>
      <c r="J58" s="633" t="s">
        <v>717</v>
      </c>
      <c r="K58" s="633" t="s">
        <v>718</v>
      </c>
      <c r="L58" s="635">
        <v>392.88844361162563</v>
      </c>
      <c r="M58" s="635">
        <v>6</v>
      </c>
      <c r="N58" s="636">
        <v>2357.3306616697537</v>
      </c>
    </row>
    <row r="59" spans="1:14" ht="14.4" customHeight="1" x14ac:dyDescent="0.3">
      <c r="A59" s="631" t="s">
        <v>512</v>
      </c>
      <c r="B59" s="632" t="s">
        <v>1459</v>
      </c>
      <c r="C59" s="633" t="s">
        <v>517</v>
      </c>
      <c r="D59" s="634" t="s">
        <v>1460</v>
      </c>
      <c r="E59" s="633" t="s">
        <v>522</v>
      </c>
      <c r="F59" s="634" t="s">
        <v>1461</v>
      </c>
      <c r="G59" s="633" t="s">
        <v>539</v>
      </c>
      <c r="H59" s="633" t="s">
        <v>719</v>
      </c>
      <c r="I59" s="633" t="s">
        <v>720</v>
      </c>
      <c r="J59" s="633" t="s">
        <v>721</v>
      </c>
      <c r="K59" s="633" t="s">
        <v>722</v>
      </c>
      <c r="L59" s="635">
        <v>49.625176772242</v>
      </c>
      <c r="M59" s="635">
        <v>4</v>
      </c>
      <c r="N59" s="636">
        <v>198.500707088968</v>
      </c>
    </row>
    <row r="60" spans="1:14" ht="14.4" customHeight="1" x14ac:dyDescent="0.3">
      <c r="A60" s="631" t="s">
        <v>512</v>
      </c>
      <c r="B60" s="632" t="s">
        <v>1459</v>
      </c>
      <c r="C60" s="633" t="s">
        <v>517</v>
      </c>
      <c r="D60" s="634" t="s">
        <v>1460</v>
      </c>
      <c r="E60" s="633" t="s">
        <v>522</v>
      </c>
      <c r="F60" s="634" t="s">
        <v>1461</v>
      </c>
      <c r="G60" s="633" t="s">
        <v>539</v>
      </c>
      <c r="H60" s="633" t="s">
        <v>723</v>
      </c>
      <c r="I60" s="633" t="s">
        <v>724</v>
      </c>
      <c r="J60" s="633" t="s">
        <v>725</v>
      </c>
      <c r="K60" s="633" t="s">
        <v>726</v>
      </c>
      <c r="L60" s="635">
        <v>55.45</v>
      </c>
      <c r="M60" s="635">
        <v>1</v>
      </c>
      <c r="N60" s="636">
        <v>55.45</v>
      </c>
    </row>
    <row r="61" spans="1:14" ht="14.4" customHeight="1" x14ac:dyDescent="0.3">
      <c r="A61" s="631" t="s">
        <v>512</v>
      </c>
      <c r="B61" s="632" t="s">
        <v>1459</v>
      </c>
      <c r="C61" s="633" t="s">
        <v>517</v>
      </c>
      <c r="D61" s="634" t="s">
        <v>1460</v>
      </c>
      <c r="E61" s="633" t="s">
        <v>522</v>
      </c>
      <c r="F61" s="634" t="s">
        <v>1461</v>
      </c>
      <c r="G61" s="633" t="s">
        <v>539</v>
      </c>
      <c r="H61" s="633" t="s">
        <v>727</v>
      </c>
      <c r="I61" s="633" t="s">
        <v>728</v>
      </c>
      <c r="J61" s="633" t="s">
        <v>729</v>
      </c>
      <c r="K61" s="633" t="s">
        <v>730</v>
      </c>
      <c r="L61" s="635">
        <v>224.02748535505953</v>
      </c>
      <c r="M61" s="635">
        <v>51</v>
      </c>
      <c r="N61" s="636">
        <v>11425.401753108035</v>
      </c>
    </row>
    <row r="62" spans="1:14" ht="14.4" customHeight="1" x14ac:dyDescent="0.3">
      <c r="A62" s="631" t="s">
        <v>512</v>
      </c>
      <c r="B62" s="632" t="s">
        <v>1459</v>
      </c>
      <c r="C62" s="633" t="s">
        <v>517</v>
      </c>
      <c r="D62" s="634" t="s">
        <v>1460</v>
      </c>
      <c r="E62" s="633" t="s">
        <v>522</v>
      </c>
      <c r="F62" s="634" t="s">
        <v>1461</v>
      </c>
      <c r="G62" s="633" t="s">
        <v>539</v>
      </c>
      <c r="H62" s="633" t="s">
        <v>731</v>
      </c>
      <c r="I62" s="633" t="s">
        <v>238</v>
      </c>
      <c r="J62" s="633" t="s">
        <v>732</v>
      </c>
      <c r="K62" s="633"/>
      <c r="L62" s="635">
        <v>97.320310053622464</v>
      </c>
      <c r="M62" s="635">
        <v>28</v>
      </c>
      <c r="N62" s="636">
        <v>2724.9686815014288</v>
      </c>
    </row>
    <row r="63" spans="1:14" ht="14.4" customHeight="1" x14ac:dyDescent="0.3">
      <c r="A63" s="631" t="s">
        <v>512</v>
      </c>
      <c r="B63" s="632" t="s">
        <v>1459</v>
      </c>
      <c r="C63" s="633" t="s">
        <v>517</v>
      </c>
      <c r="D63" s="634" t="s">
        <v>1460</v>
      </c>
      <c r="E63" s="633" t="s">
        <v>522</v>
      </c>
      <c r="F63" s="634" t="s">
        <v>1461</v>
      </c>
      <c r="G63" s="633" t="s">
        <v>539</v>
      </c>
      <c r="H63" s="633" t="s">
        <v>733</v>
      </c>
      <c r="I63" s="633" t="s">
        <v>238</v>
      </c>
      <c r="J63" s="633" t="s">
        <v>734</v>
      </c>
      <c r="K63" s="633"/>
      <c r="L63" s="635">
        <v>199.2441140766644</v>
      </c>
      <c r="M63" s="635">
        <v>4</v>
      </c>
      <c r="N63" s="636">
        <v>796.97645630665761</v>
      </c>
    </row>
    <row r="64" spans="1:14" ht="14.4" customHeight="1" x14ac:dyDescent="0.3">
      <c r="A64" s="631" t="s">
        <v>512</v>
      </c>
      <c r="B64" s="632" t="s">
        <v>1459</v>
      </c>
      <c r="C64" s="633" t="s">
        <v>517</v>
      </c>
      <c r="D64" s="634" t="s">
        <v>1460</v>
      </c>
      <c r="E64" s="633" t="s">
        <v>522</v>
      </c>
      <c r="F64" s="634" t="s">
        <v>1461</v>
      </c>
      <c r="G64" s="633" t="s">
        <v>539</v>
      </c>
      <c r="H64" s="633" t="s">
        <v>735</v>
      </c>
      <c r="I64" s="633" t="s">
        <v>238</v>
      </c>
      <c r="J64" s="633" t="s">
        <v>736</v>
      </c>
      <c r="K64" s="633"/>
      <c r="L64" s="635">
        <v>144.05191366352136</v>
      </c>
      <c r="M64" s="635">
        <v>5</v>
      </c>
      <c r="N64" s="636">
        <v>720.25956831760675</v>
      </c>
    </row>
    <row r="65" spans="1:14" ht="14.4" customHeight="1" x14ac:dyDescent="0.3">
      <c r="A65" s="631" t="s">
        <v>512</v>
      </c>
      <c r="B65" s="632" t="s">
        <v>1459</v>
      </c>
      <c r="C65" s="633" t="s">
        <v>517</v>
      </c>
      <c r="D65" s="634" t="s">
        <v>1460</v>
      </c>
      <c r="E65" s="633" t="s">
        <v>522</v>
      </c>
      <c r="F65" s="634" t="s">
        <v>1461</v>
      </c>
      <c r="G65" s="633" t="s">
        <v>539</v>
      </c>
      <c r="H65" s="633" t="s">
        <v>737</v>
      </c>
      <c r="I65" s="633" t="s">
        <v>238</v>
      </c>
      <c r="J65" s="633" t="s">
        <v>738</v>
      </c>
      <c r="K65" s="633"/>
      <c r="L65" s="635">
        <v>100.67986800966796</v>
      </c>
      <c r="M65" s="635">
        <v>26</v>
      </c>
      <c r="N65" s="636">
        <v>2617.6765682513669</v>
      </c>
    </row>
    <row r="66" spans="1:14" ht="14.4" customHeight="1" x14ac:dyDescent="0.3">
      <c r="A66" s="631" t="s">
        <v>512</v>
      </c>
      <c r="B66" s="632" t="s">
        <v>1459</v>
      </c>
      <c r="C66" s="633" t="s">
        <v>517</v>
      </c>
      <c r="D66" s="634" t="s">
        <v>1460</v>
      </c>
      <c r="E66" s="633" t="s">
        <v>522</v>
      </c>
      <c r="F66" s="634" t="s">
        <v>1461</v>
      </c>
      <c r="G66" s="633" t="s">
        <v>539</v>
      </c>
      <c r="H66" s="633" t="s">
        <v>739</v>
      </c>
      <c r="I66" s="633" t="s">
        <v>740</v>
      </c>
      <c r="J66" s="633" t="s">
        <v>741</v>
      </c>
      <c r="K66" s="633" t="s">
        <v>742</v>
      </c>
      <c r="L66" s="635">
        <v>70.527692307692305</v>
      </c>
      <c r="M66" s="635">
        <v>13</v>
      </c>
      <c r="N66" s="636">
        <v>916.86</v>
      </c>
    </row>
    <row r="67" spans="1:14" ht="14.4" customHeight="1" x14ac:dyDescent="0.3">
      <c r="A67" s="631" t="s">
        <v>512</v>
      </c>
      <c r="B67" s="632" t="s">
        <v>1459</v>
      </c>
      <c r="C67" s="633" t="s">
        <v>517</v>
      </c>
      <c r="D67" s="634" t="s">
        <v>1460</v>
      </c>
      <c r="E67" s="633" t="s">
        <v>522</v>
      </c>
      <c r="F67" s="634" t="s">
        <v>1461</v>
      </c>
      <c r="G67" s="633" t="s">
        <v>539</v>
      </c>
      <c r="H67" s="633" t="s">
        <v>743</v>
      </c>
      <c r="I67" s="633" t="s">
        <v>238</v>
      </c>
      <c r="J67" s="633" t="s">
        <v>744</v>
      </c>
      <c r="K67" s="633" t="s">
        <v>745</v>
      </c>
      <c r="L67" s="635">
        <v>1440.12</v>
      </c>
      <c r="M67" s="635">
        <v>3</v>
      </c>
      <c r="N67" s="636">
        <v>4320.3599999999997</v>
      </c>
    </row>
    <row r="68" spans="1:14" ht="14.4" customHeight="1" x14ac:dyDescent="0.3">
      <c r="A68" s="631" t="s">
        <v>512</v>
      </c>
      <c r="B68" s="632" t="s">
        <v>1459</v>
      </c>
      <c r="C68" s="633" t="s">
        <v>517</v>
      </c>
      <c r="D68" s="634" t="s">
        <v>1460</v>
      </c>
      <c r="E68" s="633" t="s">
        <v>522</v>
      </c>
      <c r="F68" s="634" t="s">
        <v>1461</v>
      </c>
      <c r="G68" s="633" t="s">
        <v>539</v>
      </c>
      <c r="H68" s="633" t="s">
        <v>746</v>
      </c>
      <c r="I68" s="633" t="s">
        <v>747</v>
      </c>
      <c r="J68" s="633" t="s">
        <v>748</v>
      </c>
      <c r="K68" s="633" t="s">
        <v>749</v>
      </c>
      <c r="L68" s="635">
        <v>37.56</v>
      </c>
      <c r="M68" s="635">
        <v>2</v>
      </c>
      <c r="N68" s="636">
        <v>75.12</v>
      </c>
    </row>
    <row r="69" spans="1:14" ht="14.4" customHeight="1" x14ac:dyDescent="0.3">
      <c r="A69" s="631" t="s">
        <v>512</v>
      </c>
      <c r="B69" s="632" t="s">
        <v>1459</v>
      </c>
      <c r="C69" s="633" t="s">
        <v>517</v>
      </c>
      <c r="D69" s="634" t="s">
        <v>1460</v>
      </c>
      <c r="E69" s="633" t="s">
        <v>522</v>
      </c>
      <c r="F69" s="634" t="s">
        <v>1461</v>
      </c>
      <c r="G69" s="633" t="s">
        <v>539</v>
      </c>
      <c r="H69" s="633" t="s">
        <v>750</v>
      </c>
      <c r="I69" s="633" t="s">
        <v>751</v>
      </c>
      <c r="J69" s="633" t="s">
        <v>752</v>
      </c>
      <c r="K69" s="633" t="s">
        <v>753</v>
      </c>
      <c r="L69" s="635">
        <v>42.438502120462623</v>
      </c>
      <c r="M69" s="635">
        <v>125</v>
      </c>
      <c r="N69" s="636">
        <v>5304.8127650578281</v>
      </c>
    </row>
    <row r="70" spans="1:14" ht="14.4" customHeight="1" x14ac:dyDescent="0.3">
      <c r="A70" s="631" t="s">
        <v>512</v>
      </c>
      <c r="B70" s="632" t="s">
        <v>1459</v>
      </c>
      <c r="C70" s="633" t="s">
        <v>517</v>
      </c>
      <c r="D70" s="634" t="s">
        <v>1460</v>
      </c>
      <c r="E70" s="633" t="s">
        <v>522</v>
      </c>
      <c r="F70" s="634" t="s">
        <v>1461</v>
      </c>
      <c r="G70" s="633" t="s">
        <v>539</v>
      </c>
      <c r="H70" s="633" t="s">
        <v>754</v>
      </c>
      <c r="I70" s="633" t="s">
        <v>755</v>
      </c>
      <c r="J70" s="633" t="s">
        <v>756</v>
      </c>
      <c r="K70" s="633" t="s">
        <v>757</v>
      </c>
      <c r="L70" s="635">
        <v>59.21</v>
      </c>
      <c r="M70" s="635">
        <v>2</v>
      </c>
      <c r="N70" s="636">
        <v>118.42</v>
      </c>
    </row>
    <row r="71" spans="1:14" ht="14.4" customHeight="1" x14ac:dyDescent="0.3">
      <c r="A71" s="631" t="s">
        <v>512</v>
      </c>
      <c r="B71" s="632" t="s">
        <v>1459</v>
      </c>
      <c r="C71" s="633" t="s">
        <v>517</v>
      </c>
      <c r="D71" s="634" t="s">
        <v>1460</v>
      </c>
      <c r="E71" s="633" t="s">
        <v>522</v>
      </c>
      <c r="F71" s="634" t="s">
        <v>1461</v>
      </c>
      <c r="G71" s="633" t="s">
        <v>539</v>
      </c>
      <c r="H71" s="633" t="s">
        <v>758</v>
      </c>
      <c r="I71" s="633" t="s">
        <v>759</v>
      </c>
      <c r="J71" s="633" t="s">
        <v>756</v>
      </c>
      <c r="K71" s="633" t="s">
        <v>760</v>
      </c>
      <c r="L71" s="635">
        <v>29.52</v>
      </c>
      <c r="M71" s="635">
        <v>2</v>
      </c>
      <c r="N71" s="636">
        <v>59.04</v>
      </c>
    </row>
    <row r="72" spans="1:14" ht="14.4" customHeight="1" x14ac:dyDescent="0.3">
      <c r="A72" s="631" t="s">
        <v>512</v>
      </c>
      <c r="B72" s="632" t="s">
        <v>1459</v>
      </c>
      <c r="C72" s="633" t="s">
        <v>517</v>
      </c>
      <c r="D72" s="634" t="s">
        <v>1460</v>
      </c>
      <c r="E72" s="633" t="s">
        <v>522</v>
      </c>
      <c r="F72" s="634" t="s">
        <v>1461</v>
      </c>
      <c r="G72" s="633" t="s">
        <v>539</v>
      </c>
      <c r="H72" s="633" t="s">
        <v>761</v>
      </c>
      <c r="I72" s="633" t="s">
        <v>762</v>
      </c>
      <c r="J72" s="633" t="s">
        <v>763</v>
      </c>
      <c r="K72" s="633" t="s">
        <v>764</v>
      </c>
      <c r="L72" s="635">
        <v>28.219999999999988</v>
      </c>
      <c r="M72" s="635">
        <v>2</v>
      </c>
      <c r="N72" s="636">
        <v>56.439999999999976</v>
      </c>
    </row>
    <row r="73" spans="1:14" ht="14.4" customHeight="1" x14ac:dyDescent="0.3">
      <c r="A73" s="631" t="s">
        <v>512</v>
      </c>
      <c r="B73" s="632" t="s">
        <v>1459</v>
      </c>
      <c r="C73" s="633" t="s">
        <v>517</v>
      </c>
      <c r="D73" s="634" t="s">
        <v>1460</v>
      </c>
      <c r="E73" s="633" t="s">
        <v>522</v>
      </c>
      <c r="F73" s="634" t="s">
        <v>1461</v>
      </c>
      <c r="G73" s="633" t="s">
        <v>539</v>
      </c>
      <c r="H73" s="633" t="s">
        <v>765</v>
      </c>
      <c r="I73" s="633" t="s">
        <v>766</v>
      </c>
      <c r="J73" s="633" t="s">
        <v>767</v>
      </c>
      <c r="K73" s="633" t="s">
        <v>649</v>
      </c>
      <c r="L73" s="635">
        <v>274.08999999999997</v>
      </c>
      <c r="M73" s="635">
        <v>1</v>
      </c>
      <c r="N73" s="636">
        <v>274.08999999999997</v>
      </c>
    </row>
    <row r="74" spans="1:14" ht="14.4" customHeight="1" x14ac:dyDescent="0.3">
      <c r="A74" s="631" t="s">
        <v>512</v>
      </c>
      <c r="B74" s="632" t="s">
        <v>1459</v>
      </c>
      <c r="C74" s="633" t="s">
        <v>517</v>
      </c>
      <c r="D74" s="634" t="s">
        <v>1460</v>
      </c>
      <c r="E74" s="633" t="s">
        <v>522</v>
      </c>
      <c r="F74" s="634" t="s">
        <v>1461</v>
      </c>
      <c r="G74" s="633" t="s">
        <v>539</v>
      </c>
      <c r="H74" s="633" t="s">
        <v>768</v>
      </c>
      <c r="I74" s="633" t="s">
        <v>769</v>
      </c>
      <c r="J74" s="633" t="s">
        <v>770</v>
      </c>
      <c r="K74" s="633" t="s">
        <v>771</v>
      </c>
      <c r="L74" s="635">
        <v>527.85</v>
      </c>
      <c r="M74" s="635">
        <v>1</v>
      </c>
      <c r="N74" s="636">
        <v>527.85</v>
      </c>
    </row>
    <row r="75" spans="1:14" ht="14.4" customHeight="1" x14ac:dyDescent="0.3">
      <c r="A75" s="631" t="s">
        <v>512</v>
      </c>
      <c r="B75" s="632" t="s">
        <v>1459</v>
      </c>
      <c r="C75" s="633" t="s">
        <v>517</v>
      </c>
      <c r="D75" s="634" t="s">
        <v>1460</v>
      </c>
      <c r="E75" s="633" t="s">
        <v>522</v>
      </c>
      <c r="F75" s="634" t="s">
        <v>1461</v>
      </c>
      <c r="G75" s="633" t="s">
        <v>539</v>
      </c>
      <c r="H75" s="633" t="s">
        <v>772</v>
      </c>
      <c r="I75" s="633" t="s">
        <v>238</v>
      </c>
      <c r="J75" s="633" t="s">
        <v>773</v>
      </c>
      <c r="K75" s="633"/>
      <c r="L75" s="635">
        <v>193.35640569229878</v>
      </c>
      <c r="M75" s="635">
        <v>15</v>
      </c>
      <c r="N75" s="636">
        <v>2900.3460853844817</v>
      </c>
    </row>
    <row r="76" spans="1:14" ht="14.4" customHeight="1" x14ac:dyDescent="0.3">
      <c r="A76" s="631" t="s">
        <v>512</v>
      </c>
      <c r="B76" s="632" t="s">
        <v>1459</v>
      </c>
      <c r="C76" s="633" t="s">
        <v>517</v>
      </c>
      <c r="D76" s="634" t="s">
        <v>1460</v>
      </c>
      <c r="E76" s="633" t="s">
        <v>522</v>
      </c>
      <c r="F76" s="634" t="s">
        <v>1461</v>
      </c>
      <c r="G76" s="633" t="s">
        <v>539</v>
      </c>
      <c r="H76" s="633" t="s">
        <v>774</v>
      </c>
      <c r="I76" s="633" t="s">
        <v>238</v>
      </c>
      <c r="J76" s="633" t="s">
        <v>775</v>
      </c>
      <c r="K76" s="633"/>
      <c r="L76" s="635">
        <v>169.94</v>
      </c>
      <c r="M76" s="635">
        <v>3</v>
      </c>
      <c r="N76" s="636">
        <v>509.82</v>
      </c>
    </row>
    <row r="77" spans="1:14" ht="14.4" customHeight="1" x14ac:dyDescent="0.3">
      <c r="A77" s="631" t="s">
        <v>512</v>
      </c>
      <c r="B77" s="632" t="s">
        <v>1459</v>
      </c>
      <c r="C77" s="633" t="s">
        <v>517</v>
      </c>
      <c r="D77" s="634" t="s">
        <v>1460</v>
      </c>
      <c r="E77" s="633" t="s">
        <v>522</v>
      </c>
      <c r="F77" s="634" t="s">
        <v>1461</v>
      </c>
      <c r="G77" s="633" t="s">
        <v>539</v>
      </c>
      <c r="H77" s="633" t="s">
        <v>776</v>
      </c>
      <c r="I77" s="633" t="s">
        <v>776</v>
      </c>
      <c r="J77" s="633" t="s">
        <v>541</v>
      </c>
      <c r="K77" s="633" t="s">
        <v>777</v>
      </c>
      <c r="L77" s="635">
        <v>201.25</v>
      </c>
      <c r="M77" s="635">
        <v>13</v>
      </c>
      <c r="N77" s="636">
        <v>2616.25</v>
      </c>
    </row>
    <row r="78" spans="1:14" ht="14.4" customHeight="1" x14ac:dyDescent="0.3">
      <c r="A78" s="631" t="s">
        <v>512</v>
      </c>
      <c r="B78" s="632" t="s">
        <v>1459</v>
      </c>
      <c r="C78" s="633" t="s">
        <v>517</v>
      </c>
      <c r="D78" s="634" t="s">
        <v>1460</v>
      </c>
      <c r="E78" s="633" t="s">
        <v>522</v>
      </c>
      <c r="F78" s="634" t="s">
        <v>1461</v>
      </c>
      <c r="G78" s="633" t="s">
        <v>539</v>
      </c>
      <c r="H78" s="633" t="s">
        <v>778</v>
      </c>
      <c r="I78" s="633" t="s">
        <v>779</v>
      </c>
      <c r="J78" s="633" t="s">
        <v>780</v>
      </c>
      <c r="K78" s="633" t="s">
        <v>781</v>
      </c>
      <c r="L78" s="635">
        <v>44.091994060517031</v>
      </c>
      <c r="M78" s="635">
        <v>34</v>
      </c>
      <c r="N78" s="636">
        <v>1499.127798057579</v>
      </c>
    </row>
    <row r="79" spans="1:14" ht="14.4" customHeight="1" x14ac:dyDescent="0.3">
      <c r="A79" s="631" t="s">
        <v>512</v>
      </c>
      <c r="B79" s="632" t="s">
        <v>1459</v>
      </c>
      <c r="C79" s="633" t="s">
        <v>517</v>
      </c>
      <c r="D79" s="634" t="s">
        <v>1460</v>
      </c>
      <c r="E79" s="633" t="s">
        <v>522</v>
      </c>
      <c r="F79" s="634" t="s">
        <v>1461</v>
      </c>
      <c r="G79" s="633" t="s">
        <v>539</v>
      </c>
      <c r="H79" s="633" t="s">
        <v>782</v>
      </c>
      <c r="I79" s="633" t="s">
        <v>783</v>
      </c>
      <c r="J79" s="633" t="s">
        <v>784</v>
      </c>
      <c r="K79" s="633" t="s">
        <v>561</v>
      </c>
      <c r="L79" s="635">
        <v>60.88</v>
      </c>
      <c r="M79" s="635">
        <v>3</v>
      </c>
      <c r="N79" s="636">
        <v>182.64000000000001</v>
      </c>
    </row>
    <row r="80" spans="1:14" ht="14.4" customHeight="1" x14ac:dyDescent="0.3">
      <c r="A80" s="631" t="s">
        <v>512</v>
      </c>
      <c r="B80" s="632" t="s">
        <v>1459</v>
      </c>
      <c r="C80" s="633" t="s">
        <v>517</v>
      </c>
      <c r="D80" s="634" t="s">
        <v>1460</v>
      </c>
      <c r="E80" s="633" t="s">
        <v>522</v>
      </c>
      <c r="F80" s="634" t="s">
        <v>1461</v>
      </c>
      <c r="G80" s="633" t="s">
        <v>539</v>
      </c>
      <c r="H80" s="633" t="s">
        <v>785</v>
      </c>
      <c r="I80" s="633" t="s">
        <v>786</v>
      </c>
      <c r="J80" s="633" t="s">
        <v>787</v>
      </c>
      <c r="K80" s="633" t="s">
        <v>557</v>
      </c>
      <c r="L80" s="635">
        <v>121.79096717833097</v>
      </c>
      <c r="M80" s="635">
        <v>470</v>
      </c>
      <c r="N80" s="636">
        <v>57241.75457381556</v>
      </c>
    </row>
    <row r="81" spans="1:14" ht="14.4" customHeight="1" x14ac:dyDescent="0.3">
      <c r="A81" s="631" t="s">
        <v>512</v>
      </c>
      <c r="B81" s="632" t="s">
        <v>1459</v>
      </c>
      <c r="C81" s="633" t="s">
        <v>517</v>
      </c>
      <c r="D81" s="634" t="s">
        <v>1460</v>
      </c>
      <c r="E81" s="633" t="s">
        <v>522</v>
      </c>
      <c r="F81" s="634" t="s">
        <v>1461</v>
      </c>
      <c r="G81" s="633" t="s">
        <v>539</v>
      </c>
      <c r="H81" s="633" t="s">
        <v>788</v>
      </c>
      <c r="I81" s="633" t="s">
        <v>789</v>
      </c>
      <c r="J81" s="633" t="s">
        <v>790</v>
      </c>
      <c r="K81" s="633" t="s">
        <v>791</v>
      </c>
      <c r="L81" s="635">
        <v>61.163846972766066</v>
      </c>
      <c r="M81" s="635">
        <v>49</v>
      </c>
      <c r="N81" s="636">
        <v>2997.0285016655371</v>
      </c>
    </row>
    <row r="82" spans="1:14" ht="14.4" customHeight="1" x14ac:dyDescent="0.3">
      <c r="A82" s="631" t="s">
        <v>512</v>
      </c>
      <c r="B82" s="632" t="s">
        <v>1459</v>
      </c>
      <c r="C82" s="633" t="s">
        <v>517</v>
      </c>
      <c r="D82" s="634" t="s">
        <v>1460</v>
      </c>
      <c r="E82" s="633" t="s">
        <v>522</v>
      </c>
      <c r="F82" s="634" t="s">
        <v>1461</v>
      </c>
      <c r="G82" s="633" t="s">
        <v>539</v>
      </c>
      <c r="H82" s="633" t="s">
        <v>792</v>
      </c>
      <c r="I82" s="633" t="s">
        <v>793</v>
      </c>
      <c r="J82" s="633" t="s">
        <v>794</v>
      </c>
      <c r="K82" s="633" t="s">
        <v>795</v>
      </c>
      <c r="L82" s="635">
        <v>1665.2</v>
      </c>
      <c r="M82" s="635">
        <v>10</v>
      </c>
      <c r="N82" s="636">
        <v>16652</v>
      </c>
    </row>
    <row r="83" spans="1:14" ht="14.4" customHeight="1" x14ac:dyDescent="0.3">
      <c r="A83" s="631" t="s">
        <v>512</v>
      </c>
      <c r="B83" s="632" t="s">
        <v>1459</v>
      </c>
      <c r="C83" s="633" t="s">
        <v>517</v>
      </c>
      <c r="D83" s="634" t="s">
        <v>1460</v>
      </c>
      <c r="E83" s="633" t="s">
        <v>522</v>
      </c>
      <c r="F83" s="634" t="s">
        <v>1461</v>
      </c>
      <c r="G83" s="633" t="s">
        <v>539</v>
      </c>
      <c r="H83" s="633" t="s">
        <v>796</v>
      </c>
      <c r="I83" s="633" t="s">
        <v>797</v>
      </c>
      <c r="J83" s="633" t="s">
        <v>798</v>
      </c>
      <c r="K83" s="633" t="s">
        <v>799</v>
      </c>
      <c r="L83" s="635">
        <v>119.39</v>
      </c>
      <c r="M83" s="635">
        <v>1</v>
      </c>
      <c r="N83" s="636">
        <v>119.39</v>
      </c>
    </row>
    <row r="84" spans="1:14" ht="14.4" customHeight="1" x14ac:dyDescent="0.3">
      <c r="A84" s="631" t="s">
        <v>512</v>
      </c>
      <c r="B84" s="632" t="s">
        <v>1459</v>
      </c>
      <c r="C84" s="633" t="s">
        <v>517</v>
      </c>
      <c r="D84" s="634" t="s">
        <v>1460</v>
      </c>
      <c r="E84" s="633" t="s">
        <v>522</v>
      </c>
      <c r="F84" s="634" t="s">
        <v>1461</v>
      </c>
      <c r="G84" s="633" t="s">
        <v>539</v>
      </c>
      <c r="H84" s="633" t="s">
        <v>800</v>
      </c>
      <c r="I84" s="633" t="s">
        <v>801</v>
      </c>
      <c r="J84" s="633" t="s">
        <v>802</v>
      </c>
      <c r="K84" s="633" t="s">
        <v>803</v>
      </c>
      <c r="L84" s="635">
        <v>78.619052296439691</v>
      </c>
      <c r="M84" s="635">
        <v>51</v>
      </c>
      <c r="N84" s="636">
        <v>4009.5716671184246</v>
      </c>
    </row>
    <row r="85" spans="1:14" ht="14.4" customHeight="1" x14ac:dyDescent="0.3">
      <c r="A85" s="631" t="s">
        <v>512</v>
      </c>
      <c r="B85" s="632" t="s">
        <v>1459</v>
      </c>
      <c r="C85" s="633" t="s">
        <v>517</v>
      </c>
      <c r="D85" s="634" t="s">
        <v>1460</v>
      </c>
      <c r="E85" s="633" t="s">
        <v>522</v>
      </c>
      <c r="F85" s="634" t="s">
        <v>1461</v>
      </c>
      <c r="G85" s="633" t="s">
        <v>539</v>
      </c>
      <c r="H85" s="633" t="s">
        <v>804</v>
      </c>
      <c r="I85" s="633" t="s">
        <v>805</v>
      </c>
      <c r="J85" s="633" t="s">
        <v>637</v>
      </c>
      <c r="K85" s="633" t="s">
        <v>806</v>
      </c>
      <c r="L85" s="635">
        <v>260.00274898046052</v>
      </c>
      <c r="M85" s="635">
        <v>38</v>
      </c>
      <c r="N85" s="636">
        <v>9880.1044612575006</v>
      </c>
    </row>
    <row r="86" spans="1:14" ht="14.4" customHeight="1" x14ac:dyDescent="0.3">
      <c r="A86" s="631" t="s">
        <v>512</v>
      </c>
      <c r="B86" s="632" t="s">
        <v>1459</v>
      </c>
      <c r="C86" s="633" t="s">
        <v>517</v>
      </c>
      <c r="D86" s="634" t="s">
        <v>1460</v>
      </c>
      <c r="E86" s="633" t="s">
        <v>522</v>
      </c>
      <c r="F86" s="634" t="s">
        <v>1461</v>
      </c>
      <c r="G86" s="633" t="s">
        <v>539</v>
      </c>
      <c r="H86" s="633" t="s">
        <v>807</v>
      </c>
      <c r="I86" s="633" t="s">
        <v>808</v>
      </c>
      <c r="J86" s="633" t="s">
        <v>809</v>
      </c>
      <c r="K86" s="633" t="s">
        <v>810</v>
      </c>
      <c r="L86" s="635">
        <v>103.33977100041864</v>
      </c>
      <c r="M86" s="635">
        <v>3</v>
      </c>
      <c r="N86" s="636">
        <v>310.01931300125591</v>
      </c>
    </row>
    <row r="87" spans="1:14" ht="14.4" customHeight="1" x14ac:dyDescent="0.3">
      <c r="A87" s="631" t="s">
        <v>512</v>
      </c>
      <c r="B87" s="632" t="s">
        <v>1459</v>
      </c>
      <c r="C87" s="633" t="s">
        <v>517</v>
      </c>
      <c r="D87" s="634" t="s">
        <v>1460</v>
      </c>
      <c r="E87" s="633" t="s">
        <v>522</v>
      </c>
      <c r="F87" s="634" t="s">
        <v>1461</v>
      </c>
      <c r="G87" s="633" t="s">
        <v>539</v>
      </c>
      <c r="H87" s="633" t="s">
        <v>811</v>
      </c>
      <c r="I87" s="633" t="s">
        <v>812</v>
      </c>
      <c r="J87" s="633" t="s">
        <v>813</v>
      </c>
      <c r="K87" s="633" t="s">
        <v>814</v>
      </c>
      <c r="L87" s="635">
        <v>1713.5</v>
      </c>
      <c r="M87" s="635">
        <v>3</v>
      </c>
      <c r="N87" s="636">
        <v>5140.5</v>
      </c>
    </row>
    <row r="88" spans="1:14" ht="14.4" customHeight="1" x14ac:dyDescent="0.3">
      <c r="A88" s="631" t="s">
        <v>512</v>
      </c>
      <c r="B88" s="632" t="s">
        <v>1459</v>
      </c>
      <c r="C88" s="633" t="s">
        <v>517</v>
      </c>
      <c r="D88" s="634" t="s">
        <v>1460</v>
      </c>
      <c r="E88" s="633" t="s">
        <v>522</v>
      </c>
      <c r="F88" s="634" t="s">
        <v>1461</v>
      </c>
      <c r="G88" s="633" t="s">
        <v>539</v>
      </c>
      <c r="H88" s="633" t="s">
        <v>815</v>
      </c>
      <c r="I88" s="633" t="s">
        <v>816</v>
      </c>
      <c r="J88" s="633" t="s">
        <v>817</v>
      </c>
      <c r="K88" s="633" t="s">
        <v>818</v>
      </c>
      <c r="L88" s="635">
        <v>1121.3100000000002</v>
      </c>
      <c r="M88" s="635">
        <v>3</v>
      </c>
      <c r="N88" s="636">
        <v>3363.9300000000003</v>
      </c>
    </row>
    <row r="89" spans="1:14" ht="14.4" customHeight="1" x14ac:dyDescent="0.3">
      <c r="A89" s="631" t="s">
        <v>512</v>
      </c>
      <c r="B89" s="632" t="s">
        <v>1459</v>
      </c>
      <c r="C89" s="633" t="s">
        <v>517</v>
      </c>
      <c r="D89" s="634" t="s">
        <v>1460</v>
      </c>
      <c r="E89" s="633" t="s">
        <v>522</v>
      </c>
      <c r="F89" s="634" t="s">
        <v>1461</v>
      </c>
      <c r="G89" s="633" t="s">
        <v>539</v>
      </c>
      <c r="H89" s="633" t="s">
        <v>819</v>
      </c>
      <c r="I89" s="633" t="s">
        <v>820</v>
      </c>
      <c r="J89" s="633" t="s">
        <v>821</v>
      </c>
      <c r="K89" s="633" t="s">
        <v>822</v>
      </c>
      <c r="L89" s="635">
        <v>197.47418723024708</v>
      </c>
      <c r="M89" s="635">
        <v>10</v>
      </c>
      <c r="N89" s="636">
        <v>1974.7418723024709</v>
      </c>
    </row>
    <row r="90" spans="1:14" ht="14.4" customHeight="1" x14ac:dyDescent="0.3">
      <c r="A90" s="631" t="s">
        <v>512</v>
      </c>
      <c r="B90" s="632" t="s">
        <v>1459</v>
      </c>
      <c r="C90" s="633" t="s">
        <v>517</v>
      </c>
      <c r="D90" s="634" t="s">
        <v>1460</v>
      </c>
      <c r="E90" s="633" t="s">
        <v>522</v>
      </c>
      <c r="F90" s="634" t="s">
        <v>1461</v>
      </c>
      <c r="G90" s="633" t="s">
        <v>539</v>
      </c>
      <c r="H90" s="633" t="s">
        <v>823</v>
      </c>
      <c r="I90" s="633" t="s">
        <v>824</v>
      </c>
      <c r="J90" s="633" t="s">
        <v>825</v>
      </c>
      <c r="K90" s="633" t="s">
        <v>826</v>
      </c>
      <c r="L90" s="635">
        <v>343.14999999999992</v>
      </c>
      <c r="M90" s="635">
        <v>3</v>
      </c>
      <c r="N90" s="636">
        <v>1029.4499999999998</v>
      </c>
    </row>
    <row r="91" spans="1:14" ht="14.4" customHeight="1" x14ac:dyDescent="0.3">
      <c r="A91" s="631" t="s">
        <v>512</v>
      </c>
      <c r="B91" s="632" t="s">
        <v>1459</v>
      </c>
      <c r="C91" s="633" t="s">
        <v>517</v>
      </c>
      <c r="D91" s="634" t="s">
        <v>1460</v>
      </c>
      <c r="E91" s="633" t="s">
        <v>522</v>
      </c>
      <c r="F91" s="634" t="s">
        <v>1461</v>
      </c>
      <c r="G91" s="633" t="s">
        <v>539</v>
      </c>
      <c r="H91" s="633" t="s">
        <v>827</v>
      </c>
      <c r="I91" s="633" t="s">
        <v>828</v>
      </c>
      <c r="J91" s="633" t="s">
        <v>829</v>
      </c>
      <c r="K91" s="633" t="s">
        <v>830</v>
      </c>
      <c r="L91" s="635">
        <v>21.898662793686754</v>
      </c>
      <c r="M91" s="635">
        <v>100</v>
      </c>
      <c r="N91" s="636">
        <v>2189.8662793686754</v>
      </c>
    </row>
    <row r="92" spans="1:14" ht="14.4" customHeight="1" x14ac:dyDescent="0.3">
      <c r="A92" s="631" t="s">
        <v>512</v>
      </c>
      <c r="B92" s="632" t="s">
        <v>1459</v>
      </c>
      <c r="C92" s="633" t="s">
        <v>517</v>
      </c>
      <c r="D92" s="634" t="s">
        <v>1460</v>
      </c>
      <c r="E92" s="633" t="s">
        <v>522</v>
      </c>
      <c r="F92" s="634" t="s">
        <v>1461</v>
      </c>
      <c r="G92" s="633" t="s">
        <v>539</v>
      </c>
      <c r="H92" s="633" t="s">
        <v>831</v>
      </c>
      <c r="I92" s="633" t="s">
        <v>832</v>
      </c>
      <c r="J92" s="633" t="s">
        <v>833</v>
      </c>
      <c r="K92" s="633" t="s">
        <v>834</v>
      </c>
      <c r="L92" s="635">
        <v>37.509004938013256</v>
      </c>
      <c r="M92" s="635">
        <v>38</v>
      </c>
      <c r="N92" s="636">
        <v>1425.3421876445036</v>
      </c>
    </row>
    <row r="93" spans="1:14" ht="14.4" customHeight="1" x14ac:dyDescent="0.3">
      <c r="A93" s="631" t="s">
        <v>512</v>
      </c>
      <c r="B93" s="632" t="s">
        <v>1459</v>
      </c>
      <c r="C93" s="633" t="s">
        <v>517</v>
      </c>
      <c r="D93" s="634" t="s">
        <v>1460</v>
      </c>
      <c r="E93" s="633" t="s">
        <v>522</v>
      </c>
      <c r="F93" s="634" t="s">
        <v>1461</v>
      </c>
      <c r="G93" s="633" t="s">
        <v>539</v>
      </c>
      <c r="H93" s="633" t="s">
        <v>835</v>
      </c>
      <c r="I93" s="633" t="s">
        <v>836</v>
      </c>
      <c r="J93" s="633" t="s">
        <v>833</v>
      </c>
      <c r="K93" s="633" t="s">
        <v>837</v>
      </c>
      <c r="L93" s="635">
        <v>65.482943270170537</v>
      </c>
      <c r="M93" s="635">
        <v>3</v>
      </c>
      <c r="N93" s="636">
        <v>196.4488298105116</v>
      </c>
    </row>
    <row r="94" spans="1:14" ht="14.4" customHeight="1" x14ac:dyDescent="0.3">
      <c r="A94" s="631" t="s">
        <v>512</v>
      </c>
      <c r="B94" s="632" t="s">
        <v>1459</v>
      </c>
      <c r="C94" s="633" t="s">
        <v>517</v>
      </c>
      <c r="D94" s="634" t="s">
        <v>1460</v>
      </c>
      <c r="E94" s="633" t="s">
        <v>522</v>
      </c>
      <c r="F94" s="634" t="s">
        <v>1461</v>
      </c>
      <c r="G94" s="633" t="s">
        <v>539</v>
      </c>
      <c r="H94" s="633" t="s">
        <v>838</v>
      </c>
      <c r="I94" s="633" t="s">
        <v>839</v>
      </c>
      <c r="J94" s="633" t="s">
        <v>840</v>
      </c>
      <c r="K94" s="633" t="s">
        <v>841</v>
      </c>
      <c r="L94" s="635">
        <v>54.604276928702376</v>
      </c>
      <c r="M94" s="635">
        <v>12</v>
      </c>
      <c r="N94" s="636">
        <v>655.25132314442851</v>
      </c>
    </row>
    <row r="95" spans="1:14" ht="14.4" customHeight="1" x14ac:dyDescent="0.3">
      <c r="A95" s="631" t="s">
        <v>512</v>
      </c>
      <c r="B95" s="632" t="s">
        <v>1459</v>
      </c>
      <c r="C95" s="633" t="s">
        <v>517</v>
      </c>
      <c r="D95" s="634" t="s">
        <v>1460</v>
      </c>
      <c r="E95" s="633" t="s">
        <v>522</v>
      </c>
      <c r="F95" s="634" t="s">
        <v>1461</v>
      </c>
      <c r="G95" s="633" t="s">
        <v>539</v>
      </c>
      <c r="H95" s="633" t="s">
        <v>842</v>
      </c>
      <c r="I95" s="633" t="s">
        <v>238</v>
      </c>
      <c r="J95" s="633" t="s">
        <v>843</v>
      </c>
      <c r="K95" s="633"/>
      <c r="L95" s="635">
        <v>115.91218306831455</v>
      </c>
      <c r="M95" s="635">
        <v>13</v>
      </c>
      <c r="N95" s="636">
        <v>1506.8583798880891</v>
      </c>
    </row>
    <row r="96" spans="1:14" ht="14.4" customHeight="1" x14ac:dyDescent="0.3">
      <c r="A96" s="631" t="s">
        <v>512</v>
      </c>
      <c r="B96" s="632" t="s">
        <v>1459</v>
      </c>
      <c r="C96" s="633" t="s">
        <v>517</v>
      </c>
      <c r="D96" s="634" t="s">
        <v>1460</v>
      </c>
      <c r="E96" s="633" t="s">
        <v>522</v>
      </c>
      <c r="F96" s="634" t="s">
        <v>1461</v>
      </c>
      <c r="G96" s="633" t="s">
        <v>539</v>
      </c>
      <c r="H96" s="633" t="s">
        <v>844</v>
      </c>
      <c r="I96" s="633" t="s">
        <v>845</v>
      </c>
      <c r="J96" s="633" t="s">
        <v>846</v>
      </c>
      <c r="K96" s="633" t="s">
        <v>847</v>
      </c>
      <c r="L96" s="635">
        <v>178.04</v>
      </c>
      <c r="M96" s="635">
        <v>1</v>
      </c>
      <c r="N96" s="636">
        <v>178.04</v>
      </c>
    </row>
    <row r="97" spans="1:14" ht="14.4" customHeight="1" x14ac:dyDescent="0.3">
      <c r="A97" s="631" t="s">
        <v>512</v>
      </c>
      <c r="B97" s="632" t="s">
        <v>1459</v>
      </c>
      <c r="C97" s="633" t="s">
        <v>517</v>
      </c>
      <c r="D97" s="634" t="s">
        <v>1460</v>
      </c>
      <c r="E97" s="633" t="s">
        <v>522</v>
      </c>
      <c r="F97" s="634" t="s">
        <v>1461</v>
      </c>
      <c r="G97" s="633" t="s">
        <v>539</v>
      </c>
      <c r="H97" s="633" t="s">
        <v>848</v>
      </c>
      <c r="I97" s="633" t="s">
        <v>238</v>
      </c>
      <c r="J97" s="633" t="s">
        <v>849</v>
      </c>
      <c r="K97" s="633"/>
      <c r="L97" s="635">
        <v>64.650130134660742</v>
      </c>
      <c r="M97" s="635">
        <v>5</v>
      </c>
      <c r="N97" s="636">
        <v>323.25065067330371</v>
      </c>
    </row>
    <row r="98" spans="1:14" ht="14.4" customHeight="1" x14ac:dyDescent="0.3">
      <c r="A98" s="631" t="s">
        <v>512</v>
      </c>
      <c r="B98" s="632" t="s">
        <v>1459</v>
      </c>
      <c r="C98" s="633" t="s">
        <v>517</v>
      </c>
      <c r="D98" s="634" t="s">
        <v>1460</v>
      </c>
      <c r="E98" s="633" t="s">
        <v>522</v>
      </c>
      <c r="F98" s="634" t="s">
        <v>1461</v>
      </c>
      <c r="G98" s="633" t="s">
        <v>539</v>
      </c>
      <c r="H98" s="633" t="s">
        <v>850</v>
      </c>
      <c r="I98" s="633" t="s">
        <v>851</v>
      </c>
      <c r="J98" s="633" t="s">
        <v>852</v>
      </c>
      <c r="K98" s="633" t="s">
        <v>853</v>
      </c>
      <c r="L98" s="635">
        <v>49.993835977668489</v>
      </c>
      <c r="M98" s="635">
        <v>28</v>
      </c>
      <c r="N98" s="636">
        <v>1399.8274073747177</v>
      </c>
    </row>
    <row r="99" spans="1:14" ht="14.4" customHeight="1" x14ac:dyDescent="0.3">
      <c r="A99" s="631" t="s">
        <v>512</v>
      </c>
      <c r="B99" s="632" t="s">
        <v>1459</v>
      </c>
      <c r="C99" s="633" t="s">
        <v>517</v>
      </c>
      <c r="D99" s="634" t="s">
        <v>1460</v>
      </c>
      <c r="E99" s="633" t="s">
        <v>522</v>
      </c>
      <c r="F99" s="634" t="s">
        <v>1461</v>
      </c>
      <c r="G99" s="633" t="s">
        <v>539</v>
      </c>
      <c r="H99" s="633" t="s">
        <v>854</v>
      </c>
      <c r="I99" s="633" t="s">
        <v>855</v>
      </c>
      <c r="J99" s="633" t="s">
        <v>567</v>
      </c>
      <c r="K99" s="633" t="s">
        <v>856</v>
      </c>
      <c r="L99" s="635">
        <v>49.548520026324255</v>
      </c>
      <c r="M99" s="635">
        <v>21</v>
      </c>
      <c r="N99" s="636">
        <v>1040.5189205528093</v>
      </c>
    </row>
    <row r="100" spans="1:14" ht="14.4" customHeight="1" x14ac:dyDescent="0.3">
      <c r="A100" s="631" t="s">
        <v>512</v>
      </c>
      <c r="B100" s="632" t="s">
        <v>1459</v>
      </c>
      <c r="C100" s="633" t="s">
        <v>517</v>
      </c>
      <c r="D100" s="634" t="s">
        <v>1460</v>
      </c>
      <c r="E100" s="633" t="s">
        <v>522</v>
      </c>
      <c r="F100" s="634" t="s">
        <v>1461</v>
      </c>
      <c r="G100" s="633" t="s">
        <v>539</v>
      </c>
      <c r="H100" s="633" t="s">
        <v>857</v>
      </c>
      <c r="I100" s="633" t="s">
        <v>858</v>
      </c>
      <c r="J100" s="633" t="s">
        <v>859</v>
      </c>
      <c r="K100" s="633" t="s">
        <v>860</v>
      </c>
      <c r="L100" s="635">
        <v>147.91970437202451</v>
      </c>
      <c r="M100" s="635">
        <v>2</v>
      </c>
      <c r="N100" s="636">
        <v>295.83940874404902</v>
      </c>
    </row>
    <row r="101" spans="1:14" ht="14.4" customHeight="1" x14ac:dyDescent="0.3">
      <c r="A101" s="631" t="s">
        <v>512</v>
      </c>
      <c r="B101" s="632" t="s">
        <v>1459</v>
      </c>
      <c r="C101" s="633" t="s">
        <v>517</v>
      </c>
      <c r="D101" s="634" t="s">
        <v>1460</v>
      </c>
      <c r="E101" s="633" t="s">
        <v>522</v>
      </c>
      <c r="F101" s="634" t="s">
        <v>1461</v>
      </c>
      <c r="G101" s="633" t="s">
        <v>539</v>
      </c>
      <c r="H101" s="633" t="s">
        <v>861</v>
      </c>
      <c r="I101" s="633" t="s">
        <v>862</v>
      </c>
      <c r="J101" s="633" t="s">
        <v>863</v>
      </c>
      <c r="K101" s="633" t="s">
        <v>864</v>
      </c>
      <c r="L101" s="635">
        <v>177.80000000000004</v>
      </c>
      <c r="M101" s="635">
        <v>1</v>
      </c>
      <c r="N101" s="636">
        <v>177.80000000000004</v>
      </c>
    </row>
    <row r="102" spans="1:14" ht="14.4" customHeight="1" x14ac:dyDescent="0.3">
      <c r="A102" s="631" t="s">
        <v>512</v>
      </c>
      <c r="B102" s="632" t="s">
        <v>1459</v>
      </c>
      <c r="C102" s="633" t="s">
        <v>517</v>
      </c>
      <c r="D102" s="634" t="s">
        <v>1460</v>
      </c>
      <c r="E102" s="633" t="s">
        <v>522</v>
      </c>
      <c r="F102" s="634" t="s">
        <v>1461</v>
      </c>
      <c r="G102" s="633" t="s">
        <v>539</v>
      </c>
      <c r="H102" s="633" t="s">
        <v>865</v>
      </c>
      <c r="I102" s="633" t="s">
        <v>866</v>
      </c>
      <c r="J102" s="633" t="s">
        <v>867</v>
      </c>
      <c r="K102" s="633" t="s">
        <v>868</v>
      </c>
      <c r="L102" s="635">
        <v>2663.16</v>
      </c>
      <c r="M102" s="635">
        <v>3</v>
      </c>
      <c r="N102" s="636">
        <v>7989.48</v>
      </c>
    </row>
    <row r="103" spans="1:14" ht="14.4" customHeight="1" x14ac:dyDescent="0.3">
      <c r="A103" s="631" t="s">
        <v>512</v>
      </c>
      <c r="B103" s="632" t="s">
        <v>1459</v>
      </c>
      <c r="C103" s="633" t="s">
        <v>517</v>
      </c>
      <c r="D103" s="634" t="s">
        <v>1460</v>
      </c>
      <c r="E103" s="633" t="s">
        <v>522</v>
      </c>
      <c r="F103" s="634" t="s">
        <v>1461</v>
      </c>
      <c r="G103" s="633" t="s">
        <v>539</v>
      </c>
      <c r="H103" s="633" t="s">
        <v>869</v>
      </c>
      <c r="I103" s="633" t="s">
        <v>869</v>
      </c>
      <c r="J103" s="633" t="s">
        <v>870</v>
      </c>
      <c r="K103" s="633" t="s">
        <v>545</v>
      </c>
      <c r="L103" s="635">
        <v>301.64999999999998</v>
      </c>
      <c r="M103" s="635">
        <v>5</v>
      </c>
      <c r="N103" s="636">
        <v>1508.25</v>
      </c>
    </row>
    <row r="104" spans="1:14" ht="14.4" customHeight="1" x14ac:dyDescent="0.3">
      <c r="A104" s="631" t="s">
        <v>512</v>
      </c>
      <c r="B104" s="632" t="s">
        <v>1459</v>
      </c>
      <c r="C104" s="633" t="s">
        <v>517</v>
      </c>
      <c r="D104" s="634" t="s">
        <v>1460</v>
      </c>
      <c r="E104" s="633" t="s">
        <v>522</v>
      </c>
      <c r="F104" s="634" t="s">
        <v>1461</v>
      </c>
      <c r="G104" s="633" t="s">
        <v>539</v>
      </c>
      <c r="H104" s="633" t="s">
        <v>871</v>
      </c>
      <c r="I104" s="633" t="s">
        <v>872</v>
      </c>
      <c r="J104" s="633" t="s">
        <v>873</v>
      </c>
      <c r="K104" s="633" t="s">
        <v>561</v>
      </c>
      <c r="L104" s="635">
        <v>69.619727891156458</v>
      </c>
      <c r="M104" s="635">
        <v>7</v>
      </c>
      <c r="N104" s="636">
        <v>487.33809523809521</v>
      </c>
    </row>
    <row r="105" spans="1:14" ht="14.4" customHeight="1" x14ac:dyDescent="0.3">
      <c r="A105" s="631" t="s">
        <v>512</v>
      </c>
      <c r="B105" s="632" t="s">
        <v>1459</v>
      </c>
      <c r="C105" s="633" t="s">
        <v>517</v>
      </c>
      <c r="D105" s="634" t="s">
        <v>1460</v>
      </c>
      <c r="E105" s="633" t="s">
        <v>522</v>
      </c>
      <c r="F105" s="634" t="s">
        <v>1461</v>
      </c>
      <c r="G105" s="633" t="s">
        <v>539</v>
      </c>
      <c r="H105" s="633" t="s">
        <v>874</v>
      </c>
      <c r="I105" s="633" t="s">
        <v>875</v>
      </c>
      <c r="J105" s="633" t="s">
        <v>876</v>
      </c>
      <c r="K105" s="633" t="s">
        <v>580</v>
      </c>
      <c r="L105" s="635">
        <v>41.566733618823903</v>
      </c>
      <c r="M105" s="635">
        <v>15</v>
      </c>
      <c r="N105" s="636">
        <v>623.50100428235851</v>
      </c>
    </row>
    <row r="106" spans="1:14" ht="14.4" customHeight="1" x14ac:dyDescent="0.3">
      <c r="A106" s="631" t="s">
        <v>512</v>
      </c>
      <c r="B106" s="632" t="s">
        <v>1459</v>
      </c>
      <c r="C106" s="633" t="s">
        <v>517</v>
      </c>
      <c r="D106" s="634" t="s">
        <v>1460</v>
      </c>
      <c r="E106" s="633" t="s">
        <v>522</v>
      </c>
      <c r="F106" s="634" t="s">
        <v>1461</v>
      </c>
      <c r="G106" s="633" t="s">
        <v>539</v>
      </c>
      <c r="H106" s="633" t="s">
        <v>877</v>
      </c>
      <c r="I106" s="633" t="s">
        <v>878</v>
      </c>
      <c r="J106" s="633" t="s">
        <v>879</v>
      </c>
      <c r="K106" s="633" t="s">
        <v>880</v>
      </c>
      <c r="L106" s="635">
        <v>98.820000000000022</v>
      </c>
      <c r="M106" s="635">
        <v>1</v>
      </c>
      <c r="N106" s="636">
        <v>98.820000000000022</v>
      </c>
    </row>
    <row r="107" spans="1:14" ht="14.4" customHeight="1" x14ac:dyDescent="0.3">
      <c r="A107" s="631" t="s">
        <v>512</v>
      </c>
      <c r="B107" s="632" t="s">
        <v>1459</v>
      </c>
      <c r="C107" s="633" t="s">
        <v>517</v>
      </c>
      <c r="D107" s="634" t="s">
        <v>1460</v>
      </c>
      <c r="E107" s="633" t="s">
        <v>522</v>
      </c>
      <c r="F107" s="634" t="s">
        <v>1461</v>
      </c>
      <c r="G107" s="633" t="s">
        <v>539</v>
      </c>
      <c r="H107" s="633" t="s">
        <v>881</v>
      </c>
      <c r="I107" s="633" t="s">
        <v>882</v>
      </c>
      <c r="J107" s="633" t="s">
        <v>883</v>
      </c>
      <c r="K107" s="633" t="s">
        <v>884</v>
      </c>
      <c r="L107" s="635">
        <v>389.2898597500477</v>
      </c>
      <c r="M107" s="635">
        <v>14</v>
      </c>
      <c r="N107" s="636">
        <v>5450.0580365006681</v>
      </c>
    </row>
    <row r="108" spans="1:14" ht="14.4" customHeight="1" x14ac:dyDescent="0.3">
      <c r="A108" s="631" t="s">
        <v>512</v>
      </c>
      <c r="B108" s="632" t="s">
        <v>1459</v>
      </c>
      <c r="C108" s="633" t="s">
        <v>517</v>
      </c>
      <c r="D108" s="634" t="s">
        <v>1460</v>
      </c>
      <c r="E108" s="633" t="s">
        <v>522</v>
      </c>
      <c r="F108" s="634" t="s">
        <v>1461</v>
      </c>
      <c r="G108" s="633" t="s">
        <v>539</v>
      </c>
      <c r="H108" s="633" t="s">
        <v>885</v>
      </c>
      <c r="I108" s="633" t="s">
        <v>886</v>
      </c>
      <c r="J108" s="633" t="s">
        <v>887</v>
      </c>
      <c r="K108" s="633" t="s">
        <v>888</v>
      </c>
      <c r="L108" s="635">
        <v>1006.9599096054451</v>
      </c>
      <c r="M108" s="635">
        <v>17</v>
      </c>
      <c r="N108" s="636">
        <v>17118.318463292566</v>
      </c>
    </row>
    <row r="109" spans="1:14" ht="14.4" customHeight="1" x14ac:dyDescent="0.3">
      <c r="A109" s="631" t="s">
        <v>512</v>
      </c>
      <c r="B109" s="632" t="s">
        <v>1459</v>
      </c>
      <c r="C109" s="633" t="s">
        <v>517</v>
      </c>
      <c r="D109" s="634" t="s">
        <v>1460</v>
      </c>
      <c r="E109" s="633" t="s">
        <v>522</v>
      </c>
      <c r="F109" s="634" t="s">
        <v>1461</v>
      </c>
      <c r="G109" s="633" t="s">
        <v>539</v>
      </c>
      <c r="H109" s="633" t="s">
        <v>889</v>
      </c>
      <c r="I109" s="633" t="s">
        <v>890</v>
      </c>
      <c r="J109" s="633" t="s">
        <v>891</v>
      </c>
      <c r="K109" s="633" t="s">
        <v>892</v>
      </c>
      <c r="L109" s="635">
        <v>273.44833333333332</v>
      </c>
      <c r="M109" s="635">
        <v>6</v>
      </c>
      <c r="N109" s="636">
        <v>1640.69</v>
      </c>
    </row>
    <row r="110" spans="1:14" ht="14.4" customHeight="1" x14ac:dyDescent="0.3">
      <c r="A110" s="631" t="s">
        <v>512</v>
      </c>
      <c r="B110" s="632" t="s">
        <v>1459</v>
      </c>
      <c r="C110" s="633" t="s">
        <v>517</v>
      </c>
      <c r="D110" s="634" t="s">
        <v>1460</v>
      </c>
      <c r="E110" s="633" t="s">
        <v>522</v>
      </c>
      <c r="F110" s="634" t="s">
        <v>1461</v>
      </c>
      <c r="G110" s="633" t="s">
        <v>539</v>
      </c>
      <c r="H110" s="633" t="s">
        <v>893</v>
      </c>
      <c r="I110" s="633" t="s">
        <v>894</v>
      </c>
      <c r="J110" s="633" t="s">
        <v>895</v>
      </c>
      <c r="K110" s="633" t="s">
        <v>896</v>
      </c>
      <c r="L110" s="635">
        <v>79.93982913172843</v>
      </c>
      <c r="M110" s="635">
        <v>2</v>
      </c>
      <c r="N110" s="636">
        <v>159.87965826345686</v>
      </c>
    </row>
    <row r="111" spans="1:14" ht="14.4" customHeight="1" x14ac:dyDescent="0.3">
      <c r="A111" s="631" t="s">
        <v>512</v>
      </c>
      <c r="B111" s="632" t="s">
        <v>1459</v>
      </c>
      <c r="C111" s="633" t="s">
        <v>517</v>
      </c>
      <c r="D111" s="634" t="s">
        <v>1460</v>
      </c>
      <c r="E111" s="633" t="s">
        <v>522</v>
      </c>
      <c r="F111" s="634" t="s">
        <v>1461</v>
      </c>
      <c r="G111" s="633" t="s">
        <v>539</v>
      </c>
      <c r="H111" s="633" t="s">
        <v>897</v>
      </c>
      <c r="I111" s="633" t="s">
        <v>898</v>
      </c>
      <c r="J111" s="633" t="s">
        <v>899</v>
      </c>
      <c r="K111" s="633" t="s">
        <v>900</v>
      </c>
      <c r="L111" s="635">
        <v>289.80000000000007</v>
      </c>
      <c r="M111" s="635">
        <v>6</v>
      </c>
      <c r="N111" s="636">
        <v>1738.8000000000004</v>
      </c>
    </row>
    <row r="112" spans="1:14" ht="14.4" customHeight="1" x14ac:dyDescent="0.3">
      <c r="A112" s="631" t="s">
        <v>512</v>
      </c>
      <c r="B112" s="632" t="s">
        <v>1459</v>
      </c>
      <c r="C112" s="633" t="s">
        <v>517</v>
      </c>
      <c r="D112" s="634" t="s">
        <v>1460</v>
      </c>
      <c r="E112" s="633" t="s">
        <v>522</v>
      </c>
      <c r="F112" s="634" t="s">
        <v>1461</v>
      </c>
      <c r="G112" s="633" t="s">
        <v>539</v>
      </c>
      <c r="H112" s="633" t="s">
        <v>901</v>
      </c>
      <c r="I112" s="633" t="s">
        <v>902</v>
      </c>
      <c r="J112" s="633" t="s">
        <v>903</v>
      </c>
      <c r="K112" s="633" t="s">
        <v>904</v>
      </c>
      <c r="L112" s="635">
        <v>1100.7296935369686</v>
      </c>
      <c r="M112" s="635">
        <v>18</v>
      </c>
      <c r="N112" s="636">
        <v>19813.134483665435</v>
      </c>
    </row>
    <row r="113" spans="1:14" ht="14.4" customHeight="1" x14ac:dyDescent="0.3">
      <c r="A113" s="631" t="s">
        <v>512</v>
      </c>
      <c r="B113" s="632" t="s">
        <v>1459</v>
      </c>
      <c r="C113" s="633" t="s">
        <v>517</v>
      </c>
      <c r="D113" s="634" t="s">
        <v>1460</v>
      </c>
      <c r="E113" s="633" t="s">
        <v>522</v>
      </c>
      <c r="F113" s="634" t="s">
        <v>1461</v>
      </c>
      <c r="G113" s="633" t="s">
        <v>539</v>
      </c>
      <c r="H113" s="633" t="s">
        <v>905</v>
      </c>
      <c r="I113" s="633" t="s">
        <v>238</v>
      </c>
      <c r="J113" s="633" t="s">
        <v>906</v>
      </c>
      <c r="K113" s="633"/>
      <c r="L113" s="635">
        <v>23.400013868743052</v>
      </c>
      <c r="M113" s="635">
        <v>2</v>
      </c>
      <c r="N113" s="636">
        <v>46.800027737486104</v>
      </c>
    </row>
    <row r="114" spans="1:14" ht="14.4" customHeight="1" x14ac:dyDescent="0.3">
      <c r="A114" s="631" t="s">
        <v>512</v>
      </c>
      <c r="B114" s="632" t="s">
        <v>1459</v>
      </c>
      <c r="C114" s="633" t="s">
        <v>517</v>
      </c>
      <c r="D114" s="634" t="s">
        <v>1460</v>
      </c>
      <c r="E114" s="633" t="s">
        <v>522</v>
      </c>
      <c r="F114" s="634" t="s">
        <v>1461</v>
      </c>
      <c r="G114" s="633" t="s">
        <v>539</v>
      </c>
      <c r="H114" s="633" t="s">
        <v>907</v>
      </c>
      <c r="I114" s="633" t="s">
        <v>238</v>
      </c>
      <c r="J114" s="633" t="s">
        <v>908</v>
      </c>
      <c r="K114" s="633"/>
      <c r="L114" s="635">
        <v>63.145714285714284</v>
      </c>
      <c r="M114" s="635">
        <v>7</v>
      </c>
      <c r="N114" s="636">
        <v>442.02</v>
      </c>
    </row>
    <row r="115" spans="1:14" ht="14.4" customHeight="1" x14ac:dyDescent="0.3">
      <c r="A115" s="631" t="s">
        <v>512</v>
      </c>
      <c r="B115" s="632" t="s">
        <v>1459</v>
      </c>
      <c r="C115" s="633" t="s">
        <v>517</v>
      </c>
      <c r="D115" s="634" t="s">
        <v>1460</v>
      </c>
      <c r="E115" s="633" t="s">
        <v>522</v>
      </c>
      <c r="F115" s="634" t="s">
        <v>1461</v>
      </c>
      <c r="G115" s="633" t="s">
        <v>539</v>
      </c>
      <c r="H115" s="633" t="s">
        <v>909</v>
      </c>
      <c r="I115" s="633" t="s">
        <v>238</v>
      </c>
      <c r="J115" s="633" t="s">
        <v>910</v>
      </c>
      <c r="K115" s="633"/>
      <c r="L115" s="635">
        <v>102.09603301714455</v>
      </c>
      <c r="M115" s="635">
        <v>7</v>
      </c>
      <c r="N115" s="636">
        <v>714.67223112001182</v>
      </c>
    </row>
    <row r="116" spans="1:14" ht="14.4" customHeight="1" x14ac:dyDescent="0.3">
      <c r="A116" s="631" t="s">
        <v>512</v>
      </c>
      <c r="B116" s="632" t="s">
        <v>1459</v>
      </c>
      <c r="C116" s="633" t="s">
        <v>517</v>
      </c>
      <c r="D116" s="634" t="s">
        <v>1460</v>
      </c>
      <c r="E116" s="633" t="s">
        <v>522</v>
      </c>
      <c r="F116" s="634" t="s">
        <v>1461</v>
      </c>
      <c r="G116" s="633" t="s">
        <v>539</v>
      </c>
      <c r="H116" s="633" t="s">
        <v>911</v>
      </c>
      <c r="I116" s="633" t="s">
        <v>912</v>
      </c>
      <c r="J116" s="633" t="s">
        <v>913</v>
      </c>
      <c r="K116" s="633" t="s">
        <v>914</v>
      </c>
      <c r="L116" s="635">
        <v>269.62</v>
      </c>
      <c r="M116" s="635">
        <v>2</v>
      </c>
      <c r="N116" s="636">
        <v>539.24</v>
      </c>
    </row>
    <row r="117" spans="1:14" ht="14.4" customHeight="1" x14ac:dyDescent="0.3">
      <c r="A117" s="631" t="s">
        <v>512</v>
      </c>
      <c r="B117" s="632" t="s">
        <v>1459</v>
      </c>
      <c r="C117" s="633" t="s">
        <v>517</v>
      </c>
      <c r="D117" s="634" t="s">
        <v>1460</v>
      </c>
      <c r="E117" s="633" t="s">
        <v>522</v>
      </c>
      <c r="F117" s="634" t="s">
        <v>1461</v>
      </c>
      <c r="G117" s="633" t="s">
        <v>539</v>
      </c>
      <c r="H117" s="633" t="s">
        <v>915</v>
      </c>
      <c r="I117" s="633" t="s">
        <v>916</v>
      </c>
      <c r="J117" s="633" t="s">
        <v>917</v>
      </c>
      <c r="K117" s="633" t="s">
        <v>918</v>
      </c>
      <c r="L117" s="635">
        <v>61.550072617706064</v>
      </c>
      <c r="M117" s="635">
        <v>2</v>
      </c>
      <c r="N117" s="636">
        <v>123.10014523541213</v>
      </c>
    </row>
    <row r="118" spans="1:14" ht="14.4" customHeight="1" x14ac:dyDescent="0.3">
      <c r="A118" s="631" t="s">
        <v>512</v>
      </c>
      <c r="B118" s="632" t="s">
        <v>1459</v>
      </c>
      <c r="C118" s="633" t="s">
        <v>517</v>
      </c>
      <c r="D118" s="634" t="s">
        <v>1460</v>
      </c>
      <c r="E118" s="633" t="s">
        <v>522</v>
      </c>
      <c r="F118" s="634" t="s">
        <v>1461</v>
      </c>
      <c r="G118" s="633" t="s">
        <v>539</v>
      </c>
      <c r="H118" s="633" t="s">
        <v>919</v>
      </c>
      <c r="I118" s="633" t="s">
        <v>920</v>
      </c>
      <c r="J118" s="633" t="s">
        <v>921</v>
      </c>
      <c r="K118" s="633" t="s">
        <v>922</v>
      </c>
      <c r="L118" s="635">
        <v>185.43500000000003</v>
      </c>
      <c r="M118" s="635">
        <v>12</v>
      </c>
      <c r="N118" s="636">
        <v>2225.2200000000003</v>
      </c>
    </row>
    <row r="119" spans="1:14" ht="14.4" customHeight="1" x14ac:dyDescent="0.3">
      <c r="A119" s="631" t="s">
        <v>512</v>
      </c>
      <c r="B119" s="632" t="s">
        <v>1459</v>
      </c>
      <c r="C119" s="633" t="s">
        <v>517</v>
      </c>
      <c r="D119" s="634" t="s">
        <v>1460</v>
      </c>
      <c r="E119" s="633" t="s">
        <v>522</v>
      </c>
      <c r="F119" s="634" t="s">
        <v>1461</v>
      </c>
      <c r="G119" s="633" t="s">
        <v>539</v>
      </c>
      <c r="H119" s="633" t="s">
        <v>923</v>
      </c>
      <c r="I119" s="633" t="s">
        <v>924</v>
      </c>
      <c r="J119" s="633" t="s">
        <v>925</v>
      </c>
      <c r="K119" s="633" t="s">
        <v>926</v>
      </c>
      <c r="L119" s="635">
        <v>128.41</v>
      </c>
      <c r="M119" s="635">
        <v>1</v>
      </c>
      <c r="N119" s="636">
        <v>128.41</v>
      </c>
    </row>
    <row r="120" spans="1:14" ht="14.4" customHeight="1" x14ac:dyDescent="0.3">
      <c r="A120" s="631" t="s">
        <v>512</v>
      </c>
      <c r="B120" s="632" t="s">
        <v>1459</v>
      </c>
      <c r="C120" s="633" t="s">
        <v>517</v>
      </c>
      <c r="D120" s="634" t="s">
        <v>1460</v>
      </c>
      <c r="E120" s="633" t="s">
        <v>522</v>
      </c>
      <c r="F120" s="634" t="s">
        <v>1461</v>
      </c>
      <c r="G120" s="633" t="s">
        <v>539</v>
      </c>
      <c r="H120" s="633" t="s">
        <v>927</v>
      </c>
      <c r="I120" s="633" t="s">
        <v>927</v>
      </c>
      <c r="J120" s="633" t="s">
        <v>928</v>
      </c>
      <c r="K120" s="633" t="s">
        <v>929</v>
      </c>
      <c r="L120" s="635">
        <v>175.03</v>
      </c>
      <c r="M120" s="635">
        <v>1</v>
      </c>
      <c r="N120" s="636">
        <v>175.03</v>
      </c>
    </row>
    <row r="121" spans="1:14" ht="14.4" customHeight="1" x14ac:dyDescent="0.3">
      <c r="A121" s="631" t="s">
        <v>512</v>
      </c>
      <c r="B121" s="632" t="s">
        <v>1459</v>
      </c>
      <c r="C121" s="633" t="s">
        <v>517</v>
      </c>
      <c r="D121" s="634" t="s">
        <v>1460</v>
      </c>
      <c r="E121" s="633" t="s">
        <v>522</v>
      </c>
      <c r="F121" s="634" t="s">
        <v>1461</v>
      </c>
      <c r="G121" s="633" t="s">
        <v>539</v>
      </c>
      <c r="H121" s="633" t="s">
        <v>930</v>
      </c>
      <c r="I121" s="633" t="s">
        <v>238</v>
      </c>
      <c r="J121" s="633" t="s">
        <v>931</v>
      </c>
      <c r="K121" s="633"/>
      <c r="L121" s="635">
        <v>486.96434780042972</v>
      </c>
      <c r="M121" s="635">
        <v>6</v>
      </c>
      <c r="N121" s="636">
        <v>2921.7860868025782</v>
      </c>
    </row>
    <row r="122" spans="1:14" ht="14.4" customHeight="1" x14ac:dyDescent="0.3">
      <c r="A122" s="631" t="s">
        <v>512</v>
      </c>
      <c r="B122" s="632" t="s">
        <v>1459</v>
      </c>
      <c r="C122" s="633" t="s">
        <v>517</v>
      </c>
      <c r="D122" s="634" t="s">
        <v>1460</v>
      </c>
      <c r="E122" s="633" t="s">
        <v>522</v>
      </c>
      <c r="F122" s="634" t="s">
        <v>1461</v>
      </c>
      <c r="G122" s="633" t="s">
        <v>539</v>
      </c>
      <c r="H122" s="633" t="s">
        <v>932</v>
      </c>
      <c r="I122" s="633" t="s">
        <v>933</v>
      </c>
      <c r="J122" s="633" t="s">
        <v>784</v>
      </c>
      <c r="K122" s="633" t="s">
        <v>934</v>
      </c>
      <c r="L122" s="635">
        <v>59.730120231141292</v>
      </c>
      <c r="M122" s="635">
        <v>3</v>
      </c>
      <c r="N122" s="636">
        <v>179.19036069342388</v>
      </c>
    </row>
    <row r="123" spans="1:14" ht="14.4" customHeight="1" x14ac:dyDescent="0.3">
      <c r="A123" s="631" t="s">
        <v>512</v>
      </c>
      <c r="B123" s="632" t="s">
        <v>1459</v>
      </c>
      <c r="C123" s="633" t="s">
        <v>517</v>
      </c>
      <c r="D123" s="634" t="s">
        <v>1460</v>
      </c>
      <c r="E123" s="633" t="s">
        <v>522</v>
      </c>
      <c r="F123" s="634" t="s">
        <v>1461</v>
      </c>
      <c r="G123" s="633" t="s">
        <v>539</v>
      </c>
      <c r="H123" s="633" t="s">
        <v>935</v>
      </c>
      <c r="I123" s="633" t="s">
        <v>936</v>
      </c>
      <c r="J123" s="633" t="s">
        <v>583</v>
      </c>
      <c r="K123" s="633" t="s">
        <v>937</v>
      </c>
      <c r="L123" s="635">
        <v>98.019059472944221</v>
      </c>
      <c r="M123" s="635">
        <v>85</v>
      </c>
      <c r="N123" s="636">
        <v>8331.6200552002592</v>
      </c>
    </row>
    <row r="124" spans="1:14" ht="14.4" customHeight="1" x14ac:dyDescent="0.3">
      <c r="A124" s="631" t="s">
        <v>512</v>
      </c>
      <c r="B124" s="632" t="s">
        <v>1459</v>
      </c>
      <c r="C124" s="633" t="s">
        <v>517</v>
      </c>
      <c r="D124" s="634" t="s">
        <v>1460</v>
      </c>
      <c r="E124" s="633" t="s">
        <v>522</v>
      </c>
      <c r="F124" s="634" t="s">
        <v>1461</v>
      </c>
      <c r="G124" s="633" t="s">
        <v>539</v>
      </c>
      <c r="H124" s="633" t="s">
        <v>938</v>
      </c>
      <c r="I124" s="633" t="s">
        <v>939</v>
      </c>
      <c r="J124" s="633" t="s">
        <v>940</v>
      </c>
      <c r="K124" s="633" t="s">
        <v>941</v>
      </c>
      <c r="L124" s="635">
        <v>106.55295577245836</v>
      </c>
      <c r="M124" s="635">
        <v>114</v>
      </c>
      <c r="N124" s="636">
        <v>12147.036958060253</v>
      </c>
    </row>
    <row r="125" spans="1:14" ht="14.4" customHeight="1" x14ac:dyDescent="0.3">
      <c r="A125" s="631" t="s">
        <v>512</v>
      </c>
      <c r="B125" s="632" t="s">
        <v>1459</v>
      </c>
      <c r="C125" s="633" t="s">
        <v>517</v>
      </c>
      <c r="D125" s="634" t="s">
        <v>1460</v>
      </c>
      <c r="E125" s="633" t="s">
        <v>522</v>
      </c>
      <c r="F125" s="634" t="s">
        <v>1461</v>
      </c>
      <c r="G125" s="633" t="s">
        <v>539</v>
      </c>
      <c r="H125" s="633" t="s">
        <v>942</v>
      </c>
      <c r="I125" s="633" t="s">
        <v>943</v>
      </c>
      <c r="J125" s="633" t="s">
        <v>944</v>
      </c>
      <c r="K125" s="633" t="s">
        <v>945</v>
      </c>
      <c r="L125" s="635">
        <v>3779.3564060070175</v>
      </c>
      <c r="M125" s="635">
        <v>7</v>
      </c>
      <c r="N125" s="636">
        <v>26455.494842049124</v>
      </c>
    </row>
    <row r="126" spans="1:14" ht="14.4" customHeight="1" x14ac:dyDescent="0.3">
      <c r="A126" s="631" t="s">
        <v>512</v>
      </c>
      <c r="B126" s="632" t="s">
        <v>1459</v>
      </c>
      <c r="C126" s="633" t="s">
        <v>517</v>
      </c>
      <c r="D126" s="634" t="s">
        <v>1460</v>
      </c>
      <c r="E126" s="633" t="s">
        <v>522</v>
      </c>
      <c r="F126" s="634" t="s">
        <v>1461</v>
      </c>
      <c r="G126" s="633" t="s">
        <v>539</v>
      </c>
      <c r="H126" s="633" t="s">
        <v>946</v>
      </c>
      <c r="I126" s="633" t="s">
        <v>947</v>
      </c>
      <c r="J126" s="633" t="s">
        <v>948</v>
      </c>
      <c r="K126" s="633" t="s">
        <v>949</v>
      </c>
      <c r="L126" s="635">
        <v>303.69935085446491</v>
      </c>
      <c r="M126" s="635">
        <v>1</v>
      </c>
      <c r="N126" s="636">
        <v>303.69935085446491</v>
      </c>
    </row>
    <row r="127" spans="1:14" ht="14.4" customHeight="1" x14ac:dyDescent="0.3">
      <c r="A127" s="631" t="s">
        <v>512</v>
      </c>
      <c r="B127" s="632" t="s">
        <v>1459</v>
      </c>
      <c r="C127" s="633" t="s">
        <v>517</v>
      </c>
      <c r="D127" s="634" t="s">
        <v>1460</v>
      </c>
      <c r="E127" s="633" t="s">
        <v>522</v>
      </c>
      <c r="F127" s="634" t="s">
        <v>1461</v>
      </c>
      <c r="G127" s="633" t="s">
        <v>539</v>
      </c>
      <c r="H127" s="633" t="s">
        <v>950</v>
      </c>
      <c r="I127" s="633" t="s">
        <v>951</v>
      </c>
      <c r="J127" s="633" t="s">
        <v>952</v>
      </c>
      <c r="K127" s="633" t="s">
        <v>953</v>
      </c>
      <c r="L127" s="635">
        <v>55.890000000000008</v>
      </c>
      <c r="M127" s="635">
        <v>6</v>
      </c>
      <c r="N127" s="636">
        <v>335.34000000000003</v>
      </c>
    </row>
    <row r="128" spans="1:14" ht="14.4" customHeight="1" x14ac:dyDescent="0.3">
      <c r="A128" s="631" t="s">
        <v>512</v>
      </c>
      <c r="B128" s="632" t="s">
        <v>1459</v>
      </c>
      <c r="C128" s="633" t="s">
        <v>517</v>
      </c>
      <c r="D128" s="634" t="s">
        <v>1460</v>
      </c>
      <c r="E128" s="633" t="s">
        <v>522</v>
      </c>
      <c r="F128" s="634" t="s">
        <v>1461</v>
      </c>
      <c r="G128" s="633" t="s">
        <v>539</v>
      </c>
      <c r="H128" s="633" t="s">
        <v>954</v>
      </c>
      <c r="I128" s="633" t="s">
        <v>238</v>
      </c>
      <c r="J128" s="633" t="s">
        <v>955</v>
      </c>
      <c r="K128" s="633"/>
      <c r="L128" s="635">
        <v>146.60670286823608</v>
      </c>
      <c r="M128" s="635">
        <v>19</v>
      </c>
      <c r="N128" s="636">
        <v>2785.5273544964857</v>
      </c>
    </row>
    <row r="129" spans="1:14" ht="14.4" customHeight="1" x14ac:dyDescent="0.3">
      <c r="A129" s="631" t="s">
        <v>512</v>
      </c>
      <c r="B129" s="632" t="s">
        <v>1459</v>
      </c>
      <c r="C129" s="633" t="s">
        <v>517</v>
      </c>
      <c r="D129" s="634" t="s">
        <v>1460</v>
      </c>
      <c r="E129" s="633" t="s">
        <v>522</v>
      </c>
      <c r="F129" s="634" t="s">
        <v>1461</v>
      </c>
      <c r="G129" s="633" t="s">
        <v>539</v>
      </c>
      <c r="H129" s="633" t="s">
        <v>956</v>
      </c>
      <c r="I129" s="633" t="s">
        <v>238</v>
      </c>
      <c r="J129" s="633" t="s">
        <v>957</v>
      </c>
      <c r="K129" s="633"/>
      <c r="L129" s="635">
        <v>78.759949769710431</v>
      </c>
      <c r="M129" s="635">
        <v>13</v>
      </c>
      <c r="N129" s="636">
        <v>1023.8793470062355</v>
      </c>
    </row>
    <row r="130" spans="1:14" ht="14.4" customHeight="1" x14ac:dyDescent="0.3">
      <c r="A130" s="631" t="s">
        <v>512</v>
      </c>
      <c r="B130" s="632" t="s">
        <v>1459</v>
      </c>
      <c r="C130" s="633" t="s">
        <v>517</v>
      </c>
      <c r="D130" s="634" t="s">
        <v>1460</v>
      </c>
      <c r="E130" s="633" t="s">
        <v>522</v>
      </c>
      <c r="F130" s="634" t="s">
        <v>1461</v>
      </c>
      <c r="G130" s="633" t="s">
        <v>539</v>
      </c>
      <c r="H130" s="633" t="s">
        <v>958</v>
      </c>
      <c r="I130" s="633" t="s">
        <v>238</v>
      </c>
      <c r="J130" s="633" t="s">
        <v>959</v>
      </c>
      <c r="K130" s="633"/>
      <c r="L130" s="635">
        <v>216.84</v>
      </c>
      <c r="M130" s="635">
        <v>3</v>
      </c>
      <c r="N130" s="636">
        <v>650.52</v>
      </c>
    </row>
    <row r="131" spans="1:14" ht="14.4" customHeight="1" x14ac:dyDescent="0.3">
      <c r="A131" s="631" t="s">
        <v>512</v>
      </c>
      <c r="B131" s="632" t="s">
        <v>1459</v>
      </c>
      <c r="C131" s="633" t="s">
        <v>517</v>
      </c>
      <c r="D131" s="634" t="s">
        <v>1460</v>
      </c>
      <c r="E131" s="633" t="s">
        <v>522</v>
      </c>
      <c r="F131" s="634" t="s">
        <v>1461</v>
      </c>
      <c r="G131" s="633" t="s">
        <v>539</v>
      </c>
      <c r="H131" s="633" t="s">
        <v>960</v>
      </c>
      <c r="I131" s="633" t="s">
        <v>238</v>
      </c>
      <c r="J131" s="633" t="s">
        <v>961</v>
      </c>
      <c r="K131" s="633"/>
      <c r="L131" s="635">
        <v>217.80425159952622</v>
      </c>
      <c r="M131" s="635">
        <v>6</v>
      </c>
      <c r="N131" s="636">
        <v>1306.8255095971574</v>
      </c>
    </row>
    <row r="132" spans="1:14" ht="14.4" customHeight="1" x14ac:dyDescent="0.3">
      <c r="A132" s="631" t="s">
        <v>512</v>
      </c>
      <c r="B132" s="632" t="s">
        <v>1459</v>
      </c>
      <c r="C132" s="633" t="s">
        <v>517</v>
      </c>
      <c r="D132" s="634" t="s">
        <v>1460</v>
      </c>
      <c r="E132" s="633" t="s">
        <v>522</v>
      </c>
      <c r="F132" s="634" t="s">
        <v>1461</v>
      </c>
      <c r="G132" s="633" t="s">
        <v>539</v>
      </c>
      <c r="H132" s="633" t="s">
        <v>962</v>
      </c>
      <c r="I132" s="633" t="s">
        <v>962</v>
      </c>
      <c r="J132" s="633" t="s">
        <v>963</v>
      </c>
      <c r="K132" s="633" t="s">
        <v>964</v>
      </c>
      <c r="L132" s="635">
        <v>235.32000000000002</v>
      </c>
      <c r="M132" s="635">
        <v>3</v>
      </c>
      <c r="N132" s="636">
        <v>705.96</v>
      </c>
    </row>
    <row r="133" spans="1:14" ht="14.4" customHeight="1" x14ac:dyDescent="0.3">
      <c r="A133" s="631" t="s">
        <v>512</v>
      </c>
      <c r="B133" s="632" t="s">
        <v>1459</v>
      </c>
      <c r="C133" s="633" t="s">
        <v>517</v>
      </c>
      <c r="D133" s="634" t="s">
        <v>1460</v>
      </c>
      <c r="E133" s="633" t="s">
        <v>522</v>
      </c>
      <c r="F133" s="634" t="s">
        <v>1461</v>
      </c>
      <c r="G133" s="633" t="s">
        <v>539</v>
      </c>
      <c r="H133" s="633" t="s">
        <v>965</v>
      </c>
      <c r="I133" s="633" t="s">
        <v>966</v>
      </c>
      <c r="J133" s="633" t="s">
        <v>967</v>
      </c>
      <c r="K133" s="633" t="s">
        <v>672</v>
      </c>
      <c r="L133" s="635">
        <v>41.12</v>
      </c>
      <c r="M133" s="635">
        <v>1</v>
      </c>
      <c r="N133" s="636">
        <v>41.12</v>
      </c>
    </row>
    <row r="134" spans="1:14" ht="14.4" customHeight="1" x14ac:dyDescent="0.3">
      <c r="A134" s="631" t="s">
        <v>512</v>
      </c>
      <c r="B134" s="632" t="s">
        <v>1459</v>
      </c>
      <c r="C134" s="633" t="s">
        <v>517</v>
      </c>
      <c r="D134" s="634" t="s">
        <v>1460</v>
      </c>
      <c r="E134" s="633" t="s">
        <v>522</v>
      </c>
      <c r="F134" s="634" t="s">
        <v>1461</v>
      </c>
      <c r="G134" s="633" t="s">
        <v>539</v>
      </c>
      <c r="H134" s="633" t="s">
        <v>968</v>
      </c>
      <c r="I134" s="633" t="s">
        <v>969</v>
      </c>
      <c r="J134" s="633" t="s">
        <v>970</v>
      </c>
      <c r="K134" s="633" t="s">
        <v>971</v>
      </c>
      <c r="L134" s="635">
        <v>117.73999999999998</v>
      </c>
      <c r="M134" s="635">
        <v>50</v>
      </c>
      <c r="N134" s="636">
        <v>5886.9999999999991</v>
      </c>
    </row>
    <row r="135" spans="1:14" ht="14.4" customHeight="1" x14ac:dyDescent="0.3">
      <c r="A135" s="631" t="s">
        <v>512</v>
      </c>
      <c r="B135" s="632" t="s">
        <v>1459</v>
      </c>
      <c r="C135" s="633" t="s">
        <v>517</v>
      </c>
      <c r="D135" s="634" t="s">
        <v>1460</v>
      </c>
      <c r="E135" s="633" t="s">
        <v>522</v>
      </c>
      <c r="F135" s="634" t="s">
        <v>1461</v>
      </c>
      <c r="G135" s="633" t="s">
        <v>539</v>
      </c>
      <c r="H135" s="633" t="s">
        <v>972</v>
      </c>
      <c r="I135" s="633" t="s">
        <v>973</v>
      </c>
      <c r="J135" s="633" t="s">
        <v>821</v>
      </c>
      <c r="K135" s="633" t="s">
        <v>974</v>
      </c>
      <c r="L135" s="635">
        <v>326.32</v>
      </c>
      <c r="M135" s="635">
        <v>1</v>
      </c>
      <c r="N135" s="636">
        <v>326.32</v>
      </c>
    </row>
    <row r="136" spans="1:14" ht="14.4" customHeight="1" x14ac:dyDescent="0.3">
      <c r="A136" s="631" t="s">
        <v>512</v>
      </c>
      <c r="B136" s="632" t="s">
        <v>1459</v>
      </c>
      <c r="C136" s="633" t="s">
        <v>517</v>
      </c>
      <c r="D136" s="634" t="s">
        <v>1460</v>
      </c>
      <c r="E136" s="633" t="s">
        <v>522</v>
      </c>
      <c r="F136" s="634" t="s">
        <v>1461</v>
      </c>
      <c r="G136" s="633" t="s">
        <v>539</v>
      </c>
      <c r="H136" s="633" t="s">
        <v>975</v>
      </c>
      <c r="I136" s="633" t="s">
        <v>976</v>
      </c>
      <c r="J136" s="633" t="s">
        <v>977</v>
      </c>
      <c r="K136" s="633" t="s">
        <v>978</v>
      </c>
      <c r="L136" s="635">
        <v>1005.4582526621938</v>
      </c>
      <c r="M136" s="635">
        <v>5</v>
      </c>
      <c r="N136" s="636">
        <v>5027.291263310969</v>
      </c>
    </row>
    <row r="137" spans="1:14" ht="14.4" customHeight="1" x14ac:dyDescent="0.3">
      <c r="A137" s="631" t="s">
        <v>512</v>
      </c>
      <c r="B137" s="632" t="s">
        <v>1459</v>
      </c>
      <c r="C137" s="633" t="s">
        <v>517</v>
      </c>
      <c r="D137" s="634" t="s">
        <v>1460</v>
      </c>
      <c r="E137" s="633" t="s">
        <v>522</v>
      </c>
      <c r="F137" s="634" t="s">
        <v>1461</v>
      </c>
      <c r="G137" s="633" t="s">
        <v>539</v>
      </c>
      <c r="H137" s="633" t="s">
        <v>979</v>
      </c>
      <c r="I137" s="633" t="s">
        <v>979</v>
      </c>
      <c r="J137" s="633" t="s">
        <v>980</v>
      </c>
      <c r="K137" s="633" t="s">
        <v>981</v>
      </c>
      <c r="L137" s="635">
        <v>96.19</v>
      </c>
      <c r="M137" s="635">
        <v>1</v>
      </c>
      <c r="N137" s="636">
        <v>96.19</v>
      </c>
    </row>
    <row r="138" spans="1:14" ht="14.4" customHeight="1" x14ac:dyDescent="0.3">
      <c r="A138" s="631" t="s">
        <v>512</v>
      </c>
      <c r="B138" s="632" t="s">
        <v>1459</v>
      </c>
      <c r="C138" s="633" t="s">
        <v>517</v>
      </c>
      <c r="D138" s="634" t="s">
        <v>1460</v>
      </c>
      <c r="E138" s="633" t="s">
        <v>522</v>
      </c>
      <c r="F138" s="634" t="s">
        <v>1461</v>
      </c>
      <c r="G138" s="633" t="s">
        <v>539</v>
      </c>
      <c r="H138" s="633" t="s">
        <v>982</v>
      </c>
      <c r="I138" s="633" t="s">
        <v>983</v>
      </c>
      <c r="J138" s="633" t="s">
        <v>984</v>
      </c>
      <c r="K138" s="633" t="s">
        <v>985</v>
      </c>
      <c r="L138" s="635">
        <v>1036.82</v>
      </c>
      <c r="M138" s="635">
        <v>10</v>
      </c>
      <c r="N138" s="636">
        <v>10368.199999999999</v>
      </c>
    </row>
    <row r="139" spans="1:14" ht="14.4" customHeight="1" x14ac:dyDescent="0.3">
      <c r="A139" s="631" t="s">
        <v>512</v>
      </c>
      <c r="B139" s="632" t="s">
        <v>1459</v>
      </c>
      <c r="C139" s="633" t="s">
        <v>517</v>
      </c>
      <c r="D139" s="634" t="s">
        <v>1460</v>
      </c>
      <c r="E139" s="633" t="s">
        <v>522</v>
      </c>
      <c r="F139" s="634" t="s">
        <v>1461</v>
      </c>
      <c r="G139" s="633" t="s">
        <v>539</v>
      </c>
      <c r="H139" s="633" t="s">
        <v>986</v>
      </c>
      <c r="I139" s="633" t="s">
        <v>987</v>
      </c>
      <c r="J139" s="633" t="s">
        <v>988</v>
      </c>
      <c r="K139" s="633" t="s">
        <v>989</v>
      </c>
      <c r="L139" s="635">
        <v>4539.4800000000005</v>
      </c>
      <c r="M139" s="635">
        <v>1</v>
      </c>
      <c r="N139" s="636">
        <v>4539.4800000000005</v>
      </c>
    </row>
    <row r="140" spans="1:14" ht="14.4" customHeight="1" x14ac:dyDescent="0.3">
      <c r="A140" s="631" t="s">
        <v>512</v>
      </c>
      <c r="B140" s="632" t="s">
        <v>1459</v>
      </c>
      <c r="C140" s="633" t="s">
        <v>517</v>
      </c>
      <c r="D140" s="634" t="s">
        <v>1460</v>
      </c>
      <c r="E140" s="633" t="s">
        <v>522</v>
      </c>
      <c r="F140" s="634" t="s">
        <v>1461</v>
      </c>
      <c r="G140" s="633" t="s">
        <v>539</v>
      </c>
      <c r="H140" s="633" t="s">
        <v>990</v>
      </c>
      <c r="I140" s="633" t="s">
        <v>991</v>
      </c>
      <c r="J140" s="633" t="s">
        <v>992</v>
      </c>
      <c r="K140" s="633" t="s">
        <v>993</v>
      </c>
      <c r="L140" s="635">
        <v>399.47984119383125</v>
      </c>
      <c r="M140" s="635">
        <v>34</v>
      </c>
      <c r="N140" s="636">
        <v>13582.314600590262</v>
      </c>
    </row>
    <row r="141" spans="1:14" ht="14.4" customHeight="1" x14ac:dyDescent="0.3">
      <c r="A141" s="631" t="s">
        <v>512</v>
      </c>
      <c r="B141" s="632" t="s">
        <v>1459</v>
      </c>
      <c r="C141" s="633" t="s">
        <v>517</v>
      </c>
      <c r="D141" s="634" t="s">
        <v>1460</v>
      </c>
      <c r="E141" s="633" t="s">
        <v>522</v>
      </c>
      <c r="F141" s="634" t="s">
        <v>1461</v>
      </c>
      <c r="G141" s="633" t="s">
        <v>539</v>
      </c>
      <c r="H141" s="633" t="s">
        <v>994</v>
      </c>
      <c r="I141" s="633" t="s">
        <v>238</v>
      </c>
      <c r="J141" s="633" t="s">
        <v>995</v>
      </c>
      <c r="K141" s="633"/>
      <c r="L141" s="635">
        <v>133.24825038733886</v>
      </c>
      <c r="M141" s="635">
        <v>10</v>
      </c>
      <c r="N141" s="636">
        <v>1332.4825038733886</v>
      </c>
    </row>
    <row r="142" spans="1:14" ht="14.4" customHeight="1" x14ac:dyDescent="0.3">
      <c r="A142" s="631" t="s">
        <v>512</v>
      </c>
      <c r="B142" s="632" t="s">
        <v>1459</v>
      </c>
      <c r="C142" s="633" t="s">
        <v>517</v>
      </c>
      <c r="D142" s="634" t="s">
        <v>1460</v>
      </c>
      <c r="E142" s="633" t="s">
        <v>522</v>
      </c>
      <c r="F142" s="634" t="s">
        <v>1461</v>
      </c>
      <c r="G142" s="633" t="s">
        <v>539</v>
      </c>
      <c r="H142" s="633" t="s">
        <v>996</v>
      </c>
      <c r="I142" s="633" t="s">
        <v>997</v>
      </c>
      <c r="J142" s="633" t="s">
        <v>998</v>
      </c>
      <c r="K142" s="633" t="s">
        <v>999</v>
      </c>
      <c r="L142" s="635">
        <v>225.91</v>
      </c>
      <c r="M142" s="635">
        <v>1</v>
      </c>
      <c r="N142" s="636">
        <v>225.91</v>
      </c>
    </row>
    <row r="143" spans="1:14" ht="14.4" customHeight="1" x14ac:dyDescent="0.3">
      <c r="A143" s="631" t="s">
        <v>512</v>
      </c>
      <c r="B143" s="632" t="s">
        <v>1459</v>
      </c>
      <c r="C143" s="633" t="s">
        <v>517</v>
      </c>
      <c r="D143" s="634" t="s">
        <v>1460</v>
      </c>
      <c r="E143" s="633" t="s">
        <v>522</v>
      </c>
      <c r="F143" s="634" t="s">
        <v>1461</v>
      </c>
      <c r="G143" s="633" t="s">
        <v>539</v>
      </c>
      <c r="H143" s="633" t="s">
        <v>1000</v>
      </c>
      <c r="I143" s="633" t="s">
        <v>1001</v>
      </c>
      <c r="J143" s="633" t="s">
        <v>703</v>
      </c>
      <c r="K143" s="633" t="s">
        <v>1002</v>
      </c>
      <c r="L143" s="635">
        <v>474.18</v>
      </c>
      <c r="M143" s="635">
        <v>1</v>
      </c>
      <c r="N143" s="636">
        <v>474.18</v>
      </c>
    </row>
    <row r="144" spans="1:14" ht="14.4" customHeight="1" x14ac:dyDescent="0.3">
      <c r="A144" s="631" t="s">
        <v>512</v>
      </c>
      <c r="B144" s="632" t="s">
        <v>1459</v>
      </c>
      <c r="C144" s="633" t="s">
        <v>517</v>
      </c>
      <c r="D144" s="634" t="s">
        <v>1460</v>
      </c>
      <c r="E144" s="633" t="s">
        <v>522</v>
      </c>
      <c r="F144" s="634" t="s">
        <v>1461</v>
      </c>
      <c r="G144" s="633" t="s">
        <v>539</v>
      </c>
      <c r="H144" s="633" t="s">
        <v>1003</v>
      </c>
      <c r="I144" s="633" t="s">
        <v>238</v>
      </c>
      <c r="J144" s="633" t="s">
        <v>1004</v>
      </c>
      <c r="K144" s="633" t="s">
        <v>1005</v>
      </c>
      <c r="L144" s="635">
        <v>367.33000000000004</v>
      </c>
      <c r="M144" s="635">
        <v>4</v>
      </c>
      <c r="N144" s="636">
        <v>1469.3200000000002</v>
      </c>
    </row>
    <row r="145" spans="1:14" ht="14.4" customHeight="1" x14ac:dyDescent="0.3">
      <c r="A145" s="631" t="s">
        <v>512</v>
      </c>
      <c r="B145" s="632" t="s">
        <v>1459</v>
      </c>
      <c r="C145" s="633" t="s">
        <v>517</v>
      </c>
      <c r="D145" s="634" t="s">
        <v>1460</v>
      </c>
      <c r="E145" s="633" t="s">
        <v>522</v>
      </c>
      <c r="F145" s="634" t="s">
        <v>1461</v>
      </c>
      <c r="G145" s="633" t="s">
        <v>539</v>
      </c>
      <c r="H145" s="633" t="s">
        <v>1006</v>
      </c>
      <c r="I145" s="633" t="s">
        <v>1007</v>
      </c>
      <c r="J145" s="633" t="s">
        <v>1008</v>
      </c>
      <c r="K145" s="633" t="s">
        <v>1009</v>
      </c>
      <c r="L145" s="635">
        <v>79.129492989399225</v>
      </c>
      <c r="M145" s="635">
        <v>1</v>
      </c>
      <c r="N145" s="636">
        <v>79.129492989399225</v>
      </c>
    </row>
    <row r="146" spans="1:14" ht="14.4" customHeight="1" x14ac:dyDescent="0.3">
      <c r="A146" s="631" t="s">
        <v>512</v>
      </c>
      <c r="B146" s="632" t="s">
        <v>1459</v>
      </c>
      <c r="C146" s="633" t="s">
        <v>517</v>
      </c>
      <c r="D146" s="634" t="s">
        <v>1460</v>
      </c>
      <c r="E146" s="633" t="s">
        <v>522</v>
      </c>
      <c r="F146" s="634" t="s">
        <v>1461</v>
      </c>
      <c r="G146" s="633" t="s">
        <v>539</v>
      </c>
      <c r="H146" s="633" t="s">
        <v>1010</v>
      </c>
      <c r="I146" s="633" t="s">
        <v>238</v>
      </c>
      <c r="J146" s="633" t="s">
        <v>1011</v>
      </c>
      <c r="K146" s="633"/>
      <c r="L146" s="635">
        <v>124.62933080686115</v>
      </c>
      <c r="M146" s="635">
        <v>23</v>
      </c>
      <c r="N146" s="636">
        <v>2866.4746085578063</v>
      </c>
    </row>
    <row r="147" spans="1:14" ht="14.4" customHeight="1" x14ac:dyDescent="0.3">
      <c r="A147" s="631" t="s">
        <v>512</v>
      </c>
      <c r="B147" s="632" t="s">
        <v>1459</v>
      </c>
      <c r="C147" s="633" t="s">
        <v>517</v>
      </c>
      <c r="D147" s="634" t="s">
        <v>1460</v>
      </c>
      <c r="E147" s="633" t="s">
        <v>522</v>
      </c>
      <c r="F147" s="634" t="s">
        <v>1461</v>
      </c>
      <c r="G147" s="633" t="s">
        <v>539</v>
      </c>
      <c r="H147" s="633" t="s">
        <v>1012</v>
      </c>
      <c r="I147" s="633" t="s">
        <v>1013</v>
      </c>
      <c r="J147" s="633" t="s">
        <v>1014</v>
      </c>
      <c r="K147" s="633" t="s">
        <v>1015</v>
      </c>
      <c r="L147" s="635">
        <v>109.22999999999999</v>
      </c>
      <c r="M147" s="635">
        <v>60</v>
      </c>
      <c r="N147" s="636">
        <v>6553.7999999999993</v>
      </c>
    </row>
    <row r="148" spans="1:14" ht="14.4" customHeight="1" x14ac:dyDescent="0.3">
      <c r="A148" s="631" t="s">
        <v>512</v>
      </c>
      <c r="B148" s="632" t="s">
        <v>1459</v>
      </c>
      <c r="C148" s="633" t="s">
        <v>517</v>
      </c>
      <c r="D148" s="634" t="s">
        <v>1460</v>
      </c>
      <c r="E148" s="633" t="s">
        <v>522</v>
      </c>
      <c r="F148" s="634" t="s">
        <v>1461</v>
      </c>
      <c r="G148" s="633" t="s">
        <v>539</v>
      </c>
      <c r="H148" s="633" t="s">
        <v>1016</v>
      </c>
      <c r="I148" s="633" t="s">
        <v>1017</v>
      </c>
      <c r="J148" s="633" t="s">
        <v>1018</v>
      </c>
      <c r="K148" s="633" t="s">
        <v>1019</v>
      </c>
      <c r="L148" s="635">
        <v>116.56</v>
      </c>
      <c r="M148" s="635">
        <v>1</v>
      </c>
      <c r="N148" s="636">
        <v>116.56</v>
      </c>
    </row>
    <row r="149" spans="1:14" ht="14.4" customHeight="1" x14ac:dyDescent="0.3">
      <c r="A149" s="631" t="s">
        <v>512</v>
      </c>
      <c r="B149" s="632" t="s">
        <v>1459</v>
      </c>
      <c r="C149" s="633" t="s">
        <v>517</v>
      </c>
      <c r="D149" s="634" t="s">
        <v>1460</v>
      </c>
      <c r="E149" s="633" t="s">
        <v>522</v>
      </c>
      <c r="F149" s="634" t="s">
        <v>1461</v>
      </c>
      <c r="G149" s="633" t="s">
        <v>539</v>
      </c>
      <c r="H149" s="633" t="s">
        <v>1020</v>
      </c>
      <c r="I149" s="633" t="s">
        <v>1021</v>
      </c>
      <c r="J149" s="633" t="s">
        <v>1022</v>
      </c>
      <c r="K149" s="633" t="s">
        <v>1023</v>
      </c>
      <c r="L149" s="635">
        <v>339.93994168301947</v>
      </c>
      <c r="M149" s="635">
        <v>4</v>
      </c>
      <c r="N149" s="636">
        <v>1359.7597667320779</v>
      </c>
    </row>
    <row r="150" spans="1:14" ht="14.4" customHeight="1" x14ac:dyDescent="0.3">
      <c r="A150" s="631" t="s">
        <v>512</v>
      </c>
      <c r="B150" s="632" t="s">
        <v>1459</v>
      </c>
      <c r="C150" s="633" t="s">
        <v>517</v>
      </c>
      <c r="D150" s="634" t="s">
        <v>1460</v>
      </c>
      <c r="E150" s="633" t="s">
        <v>522</v>
      </c>
      <c r="F150" s="634" t="s">
        <v>1461</v>
      </c>
      <c r="G150" s="633" t="s">
        <v>539</v>
      </c>
      <c r="H150" s="633" t="s">
        <v>1024</v>
      </c>
      <c r="I150" s="633" t="s">
        <v>238</v>
      </c>
      <c r="J150" s="633" t="s">
        <v>1025</v>
      </c>
      <c r="K150" s="633"/>
      <c r="L150" s="635">
        <v>167.17434648843945</v>
      </c>
      <c r="M150" s="635">
        <v>11</v>
      </c>
      <c r="N150" s="636">
        <v>1838.917811372834</v>
      </c>
    </row>
    <row r="151" spans="1:14" ht="14.4" customHeight="1" x14ac:dyDescent="0.3">
      <c r="A151" s="631" t="s">
        <v>512</v>
      </c>
      <c r="B151" s="632" t="s">
        <v>1459</v>
      </c>
      <c r="C151" s="633" t="s">
        <v>517</v>
      </c>
      <c r="D151" s="634" t="s">
        <v>1460</v>
      </c>
      <c r="E151" s="633" t="s">
        <v>522</v>
      </c>
      <c r="F151" s="634" t="s">
        <v>1461</v>
      </c>
      <c r="G151" s="633" t="s">
        <v>539</v>
      </c>
      <c r="H151" s="633" t="s">
        <v>1026</v>
      </c>
      <c r="I151" s="633" t="s">
        <v>238</v>
      </c>
      <c r="J151" s="633" t="s">
        <v>1027</v>
      </c>
      <c r="K151" s="633"/>
      <c r="L151" s="635">
        <v>153.9645993843605</v>
      </c>
      <c r="M151" s="635">
        <v>2</v>
      </c>
      <c r="N151" s="636">
        <v>307.92919876872099</v>
      </c>
    </row>
    <row r="152" spans="1:14" ht="14.4" customHeight="1" x14ac:dyDescent="0.3">
      <c r="A152" s="631" t="s">
        <v>512</v>
      </c>
      <c r="B152" s="632" t="s">
        <v>1459</v>
      </c>
      <c r="C152" s="633" t="s">
        <v>517</v>
      </c>
      <c r="D152" s="634" t="s">
        <v>1460</v>
      </c>
      <c r="E152" s="633" t="s">
        <v>522</v>
      </c>
      <c r="F152" s="634" t="s">
        <v>1461</v>
      </c>
      <c r="G152" s="633" t="s">
        <v>539</v>
      </c>
      <c r="H152" s="633" t="s">
        <v>1028</v>
      </c>
      <c r="I152" s="633" t="s">
        <v>1029</v>
      </c>
      <c r="J152" s="633" t="s">
        <v>1030</v>
      </c>
      <c r="K152" s="633" t="s">
        <v>1031</v>
      </c>
      <c r="L152" s="635">
        <v>2225.7700000000004</v>
      </c>
      <c r="M152" s="635">
        <v>6</v>
      </c>
      <c r="N152" s="636">
        <v>13354.620000000003</v>
      </c>
    </row>
    <row r="153" spans="1:14" ht="14.4" customHeight="1" x14ac:dyDescent="0.3">
      <c r="A153" s="631" t="s">
        <v>512</v>
      </c>
      <c r="B153" s="632" t="s">
        <v>1459</v>
      </c>
      <c r="C153" s="633" t="s">
        <v>517</v>
      </c>
      <c r="D153" s="634" t="s">
        <v>1460</v>
      </c>
      <c r="E153" s="633" t="s">
        <v>522</v>
      </c>
      <c r="F153" s="634" t="s">
        <v>1461</v>
      </c>
      <c r="G153" s="633" t="s">
        <v>539</v>
      </c>
      <c r="H153" s="633" t="s">
        <v>1032</v>
      </c>
      <c r="I153" s="633" t="s">
        <v>1033</v>
      </c>
      <c r="J153" s="633" t="s">
        <v>1034</v>
      </c>
      <c r="K153" s="633" t="s">
        <v>1035</v>
      </c>
      <c r="L153" s="635">
        <v>2300.0022222222219</v>
      </c>
      <c r="M153" s="635">
        <v>3</v>
      </c>
      <c r="N153" s="636">
        <v>6900.0066666666662</v>
      </c>
    </row>
    <row r="154" spans="1:14" ht="14.4" customHeight="1" x14ac:dyDescent="0.3">
      <c r="A154" s="631" t="s">
        <v>512</v>
      </c>
      <c r="B154" s="632" t="s">
        <v>1459</v>
      </c>
      <c r="C154" s="633" t="s">
        <v>517</v>
      </c>
      <c r="D154" s="634" t="s">
        <v>1460</v>
      </c>
      <c r="E154" s="633" t="s">
        <v>522</v>
      </c>
      <c r="F154" s="634" t="s">
        <v>1461</v>
      </c>
      <c r="G154" s="633" t="s">
        <v>539</v>
      </c>
      <c r="H154" s="633" t="s">
        <v>1036</v>
      </c>
      <c r="I154" s="633" t="s">
        <v>1036</v>
      </c>
      <c r="J154" s="633" t="s">
        <v>1037</v>
      </c>
      <c r="K154" s="633" t="s">
        <v>545</v>
      </c>
      <c r="L154" s="635">
        <v>382.61</v>
      </c>
      <c r="M154" s="635">
        <v>1</v>
      </c>
      <c r="N154" s="636">
        <v>382.61</v>
      </c>
    </row>
    <row r="155" spans="1:14" ht="14.4" customHeight="1" x14ac:dyDescent="0.3">
      <c r="A155" s="631" t="s">
        <v>512</v>
      </c>
      <c r="B155" s="632" t="s">
        <v>1459</v>
      </c>
      <c r="C155" s="633" t="s">
        <v>517</v>
      </c>
      <c r="D155" s="634" t="s">
        <v>1460</v>
      </c>
      <c r="E155" s="633" t="s">
        <v>522</v>
      </c>
      <c r="F155" s="634" t="s">
        <v>1461</v>
      </c>
      <c r="G155" s="633" t="s">
        <v>539</v>
      </c>
      <c r="H155" s="633" t="s">
        <v>1038</v>
      </c>
      <c r="I155" s="633" t="s">
        <v>1039</v>
      </c>
      <c r="J155" s="633" t="s">
        <v>1040</v>
      </c>
      <c r="K155" s="633" t="s">
        <v>989</v>
      </c>
      <c r="L155" s="635">
        <v>2700</v>
      </c>
      <c r="M155" s="635">
        <v>3</v>
      </c>
      <c r="N155" s="636">
        <v>8100</v>
      </c>
    </row>
    <row r="156" spans="1:14" ht="14.4" customHeight="1" x14ac:dyDescent="0.3">
      <c r="A156" s="631" t="s">
        <v>512</v>
      </c>
      <c r="B156" s="632" t="s">
        <v>1459</v>
      </c>
      <c r="C156" s="633" t="s">
        <v>517</v>
      </c>
      <c r="D156" s="634" t="s">
        <v>1460</v>
      </c>
      <c r="E156" s="633" t="s">
        <v>522</v>
      </c>
      <c r="F156" s="634" t="s">
        <v>1461</v>
      </c>
      <c r="G156" s="633" t="s">
        <v>539</v>
      </c>
      <c r="H156" s="633" t="s">
        <v>1041</v>
      </c>
      <c r="I156" s="633" t="s">
        <v>1042</v>
      </c>
      <c r="J156" s="633" t="s">
        <v>1043</v>
      </c>
      <c r="K156" s="633" t="s">
        <v>1044</v>
      </c>
      <c r="L156" s="635">
        <v>3818</v>
      </c>
      <c r="M156" s="635">
        <v>3</v>
      </c>
      <c r="N156" s="636">
        <v>11454</v>
      </c>
    </row>
    <row r="157" spans="1:14" ht="14.4" customHeight="1" x14ac:dyDescent="0.3">
      <c r="A157" s="631" t="s">
        <v>512</v>
      </c>
      <c r="B157" s="632" t="s">
        <v>1459</v>
      </c>
      <c r="C157" s="633" t="s">
        <v>517</v>
      </c>
      <c r="D157" s="634" t="s">
        <v>1460</v>
      </c>
      <c r="E157" s="633" t="s">
        <v>522</v>
      </c>
      <c r="F157" s="634" t="s">
        <v>1461</v>
      </c>
      <c r="G157" s="633" t="s">
        <v>539</v>
      </c>
      <c r="H157" s="633" t="s">
        <v>1045</v>
      </c>
      <c r="I157" s="633" t="s">
        <v>238</v>
      </c>
      <c r="J157" s="633" t="s">
        <v>1046</v>
      </c>
      <c r="K157" s="633"/>
      <c r="L157" s="635">
        <v>85.333446238800008</v>
      </c>
      <c r="M157" s="635">
        <v>4</v>
      </c>
      <c r="N157" s="636">
        <v>341.33378495520003</v>
      </c>
    </row>
    <row r="158" spans="1:14" ht="14.4" customHeight="1" x14ac:dyDescent="0.3">
      <c r="A158" s="631" t="s">
        <v>512</v>
      </c>
      <c r="B158" s="632" t="s">
        <v>1459</v>
      </c>
      <c r="C158" s="633" t="s">
        <v>517</v>
      </c>
      <c r="D158" s="634" t="s">
        <v>1460</v>
      </c>
      <c r="E158" s="633" t="s">
        <v>522</v>
      </c>
      <c r="F158" s="634" t="s">
        <v>1461</v>
      </c>
      <c r="G158" s="633" t="s">
        <v>539</v>
      </c>
      <c r="H158" s="633" t="s">
        <v>1047</v>
      </c>
      <c r="I158" s="633" t="s">
        <v>1048</v>
      </c>
      <c r="J158" s="633" t="s">
        <v>1049</v>
      </c>
      <c r="K158" s="633" t="s">
        <v>1015</v>
      </c>
      <c r="L158" s="635">
        <v>36.64</v>
      </c>
      <c r="M158" s="635">
        <v>20</v>
      </c>
      <c r="N158" s="636">
        <v>732.8</v>
      </c>
    </row>
    <row r="159" spans="1:14" ht="14.4" customHeight="1" x14ac:dyDescent="0.3">
      <c r="A159" s="631" t="s">
        <v>512</v>
      </c>
      <c r="B159" s="632" t="s">
        <v>1459</v>
      </c>
      <c r="C159" s="633" t="s">
        <v>517</v>
      </c>
      <c r="D159" s="634" t="s">
        <v>1460</v>
      </c>
      <c r="E159" s="633" t="s">
        <v>522</v>
      </c>
      <c r="F159" s="634" t="s">
        <v>1461</v>
      </c>
      <c r="G159" s="633" t="s">
        <v>539</v>
      </c>
      <c r="H159" s="633" t="s">
        <v>1050</v>
      </c>
      <c r="I159" s="633" t="s">
        <v>1051</v>
      </c>
      <c r="J159" s="633" t="s">
        <v>1052</v>
      </c>
      <c r="K159" s="633" t="s">
        <v>1053</v>
      </c>
      <c r="L159" s="635">
        <v>999.15</v>
      </c>
      <c r="M159" s="635">
        <v>1</v>
      </c>
      <c r="N159" s="636">
        <v>999.15</v>
      </c>
    </row>
    <row r="160" spans="1:14" ht="14.4" customHeight="1" x14ac:dyDescent="0.3">
      <c r="A160" s="631" t="s">
        <v>512</v>
      </c>
      <c r="B160" s="632" t="s">
        <v>1459</v>
      </c>
      <c r="C160" s="633" t="s">
        <v>517</v>
      </c>
      <c r="D160" s="634" t="s">
        <v>1460</v>
      </c>
      <c r="E160" s="633" t="s">
        <v>522</v>
      </c>
      <c r="F160" s="634" t="s">
        <v>1461</v>
      </c>
      <c r="G160" s="633" t="s">
        <v>539</v>
      </c>
      <c r="H160" s="633" t="s">
        <v>1054</v>
      </c>
      <c r="I160" s="633" t="s">
        <v>1055</v>
      </c>
      <c r="J160" s="633" t="s">
        <v>1056</v>
      </c>
      <c r="K160" s="633" t="s">
        <v>1057</v>
      </c>
      <c r="L160" s="635">
        <v>3548.5799999999995</v>
      </c>
      <c r="M160" s="635">
        <v>0.3</v>
      </c>
      <c r="N160" s="636">
        <v>1064.5739999999998</v>
      </c>
    </row>
    <row r="161" spans="1:14" ht="14.4" customHeight="1" x14ac:dyDescent="0.3">
      <c r="A161" s="631" t="s">
        <v>512</v>
      </c>
      <c r="B161" s="632" t="s">
        <v>1459</v>
      </c>
      <c r="C161" s="633" t="s">
        <v>517</v>
      </c>
      <c r="D161" s="634" t="s">
        <v>1460</v>
      </c>
      <c r="E161" s="633" t="s">
        <v>522</v>
      </c>
      <c r="F161" s="634" t="s">
        <v>1461</v>
      </c>
      <c r="G161" s="633" t="s">
        <v>539</v>
      </c>
      <c r="H161" s="633" t="s">
        <v>1058</v>
      </c>
      <c r="I161" s="633" t="s">
        <v>1059</v>
      </c>
      <c r="J161" s="633" t="s">
        <v>1060</v>
      </c>
      <c r="K161" s="633" t="s">
        <v>1061</v>
      </c>
      <c r="L161" s="635">
        <v>649.85</v>
      </c>
      <c r="M161" s="635">
        <v>1</v>
      </c>
      <c r="N161" s="636">
        <v>649.85</v>
      </c>
    </row>
    <row r="162" spans="1:14" ht="14.4" customHeight="1" x14ac:dyDescent="0.3">
      <c r="A162" s="631" t="s">
        <v>512</v>
      </c>
      <c r="B162" s="632" t="s">
        <v>1459</v>
      </c>
      <c r="C162" s="633" t="s">
        <v>517</v>
      </c>
      <c r="D162" s="634" t="s">
        <v>1460</v>
      </c>
      <c r="E162" s="633" t="s">
        <v>522</v>
      </c>
      <c r="F162" s="634" t="s">
        <v>1461</v>
      </c>
      <c r="G162" s="633" t="s">
        <v>539</v>
      </c>
      <c r="H162" s="633" t="s">
        <v>1062</v>
      </c>
      <c r="I162" s="633" t="s">
        <v>1062</v>
      </c>
      <c r="J162" s="633" t="s">
        <v>1063</v>
      </c>
      <c r="K162" s="633" t="s">
        <v>1064</v>
      </c>
      <c r="L162" s="635">
        <v>580.98</v>
      </c>
      <c r="M162" s="635">
        <v>11</v>
      </c>
      <c r="N162" s="636">
        <v>6390.7800000000007</v>
      </c>
    </row>
    <row r="163" spans="1:14" ht="14.4" customHeight="1" x14ac:dyDescent="0.3">
      <c r="A163" s="631" t="s">
        <v>512</v>
      </c>
      <c r="B163" s="632" t="s">
        <v>1459</v>
      </c>
      <c r="C163" s="633" t="s">
        <v>517</v>
      </c>
      <c r="D163" s="634" t="s">
        <v>1460</v>
      </c>
      <c r="E163" s="633" t="s">
        <v>522</v>
      </c>
      <c r="F163" s="634" t="s">
        <v>1461</v>
      </c>
      <c r="G163" s="633" t="s">
        <v>539</v>
      </c>
      <c r="H163" s="633" t="s">
        <v>1065</v>
      </c>
      <c r="I163" s="633" t="s">
        <v>1066</v>
      </c>
      <c r="J163" s="633" t="s">
        <v>1067</v>
      </c>
      <c r="K163" s="633" t="s">
        <v>1068</v>
      </c>
      <c r="L163" s="635">
        <v>75.92</v>
      </c>
      <c r="M163" s="635">
        <v>1</v>
      </c>
      <c r="N163" s="636">
        <v>75.92</v>
      </c>
    </row>
    <row r="164" spans="1:14" ht="14.4" customHeight="1" x14ac:dyDescent="0.3">
      <c r="A164" s="631" t="s">
        <v>512</v>
      </c>
      <c r="B164" s="632" t="s">
        <v>1459</v>
      </c>
      <c r="C164" s="633" t="s">
        <v>517</v>
      </c>
      <c r="D164" s="634" t="s">
        <v>1460</v>
      </c>
      <c r="E164" s="633" t="s">
        <v>522</v>
      </c>
      <c r="F164" s="634" t="s">
        <v>1461</v>
      </c>
      <c r="G164" s="633" t="s">
        <v>539</v>
      </c>
      <c r="H164" s="633" t="s">
        <v>1069</v>
      </c>
      <c r="I164" s="633" t="s">
        <v>238</v>
      </c>
      <c r="J164" s="633" t="s">
        <v>1070</v>
      </c>
      <c r="K164" s="633" t="s">
        <v>1071</v>
      </c>
      <c r="L164" s="635">
        <v>761.62</v>
      </c>
      <c r="M164" s="635">
        <v>3</v>
      </c>
      <c r="N164" s="636">
        <v>2284.86</v>
      </c>
    </row>
    <row r="165" spans="1:14" ht="14.4" customHeight="1" x14ac:dyDescent="0.3">
      <c r="A165" s="631" t="s">
        <v>512</v>
      </c>
      <c r="B165" s="632" t="s">
        <v>1459</v>
      </c>
      <c r="C165" s="633" t="s">
        <v>517</v>
      </c>
      <c r="D165" s="634" t="s">
        <v>1460</v>
      </c>
      <c r="E165" s="633" t="s">
        <v>522</v>
      </c>
      <c r="F165" s="634" t="s">
        <v>1461</v>
      </c>
      <c r="G165" s="633" t="s">
        <v>539</v>
      </c>
      <c r="H165" s="633" t="s">
        <v>1072</v>
      </c>
      <c r="I165" s="633" t="s">
        <v>1073</v>
      </c>
      <c r="J165" s="633" t="s">
        <v>1074</v>
      </c>
      <c r="K165" s="633" t="s">
        <v>1075</v>
      </c>
      <c r="L165" s="635">
        <v>12.51</v>
      </c>
      <c r="M165" s="635">
        <v>10</v>
      </c>
      <c r="N165" s="636">
        <v>125.1</v>
      </c>
    </row>
    <row r="166" spans="1:14" ht="14.4" customHeight="1" x14ac:dyDescent="0.3">
      <c r="A166" s="631" t="s">
        <v>512</v>
      </c>
      <c r="B166" s="632" t="s">
        <v>1459</v>
      </c>
      <c r="C166" s="633" t="s">
        <v>517</v>
      </c>
      <c r="D166" s="634" t="s">
        <v>1460</v>
      </c>
      <c r="E166" s="633" t="s">
        <v>522</v>
      </c>
      <c r="F166" s="634" t="s">
        <v>1461</v>
      </c>
      <c r="G166" s="633" t="s">
        <v>539</v>
      </c>
      <c r="H166" s="633" t="s">
        <v>1076</v>
      </c>
      <c r="I166" s="633" t="s">
        <v>1077</v>
      </c>
      <c r="J166" s="633" t="s">
        <v>1078</v>
      </c>
      <c r="K166" s="633" t="s">
        <v>1079</v>
      </c>
      <c r="L166" s="635">
        <v>30.649999999999995</v>
      </c>
      <c r="M166" s="635">
        <v>12</v>
      </c>
      <c r="N166" s="636">
        <v>367.79999999999995</v>
      </c>
    </row>
    <row r="167" spans="1:14" ht="14.4" customHeight="1" x14ac:dyDescent="0.3">
      <c r="A167" s="631" t="s">
        <v>512</v>
      </c>
      <c r="B167" s="632" t="s">
        <v>1459</v>
      </c>
      <c r="C167" s="633" t="s">
        <v>517</v>
      </c>
      <c r="D167" s="634" t="s">
        <v>1460</v>
      </c>
      <c r="E167" s="633" t="s">
        <v>522</v>
      </c>
      <c r="F167" s="634" t="s">
        <v>1461</v>
      </c>
      <c r="G167" s="633" t="s">
        <v>539</v>
      </c>
      <c r="H167" s="633" t="s">
        <v>1080</v>
      </c>
      <c r="I167" s="633" t="s">
        <v>1081</v>
      </c>
      <c r="J167" s="633" t="s">
        <v>1082</v>
      </c>
      <c r="K167" s="633" t="s">
        <v>1083</v>
      </c>
      <c r="L167" s="635">
        <v>104.28</v>
      </c>
      <c r="M167" s="635">
        <v>1</v>
      </c>
      <c r="N167" s="636">
        <v>104.28</v>
      </c>
    </row>
    <row r="168" spans="1:14" ht="14.4" customHeight="1" x14ac:dyDescent="0.3">
      <c r="A168" s="631" t="s">
        <v>512</v>
      </c>
      <c r="B168" s="632" t="s">
        <v>1459</v>
      </c>
      <c r="C168" s="633" t="s">
        <v>517</v>
      </c>
      <c r="D168" s="634" t="s">
        <v>1460</v>
      </c>
      <c r="E168" s="633" t="s">
        <v>522</v>
      </c>
      <c r="F168" s="634" t="s">
        <v>1461</v>
      </c>
      <c r="G168" s="633" t="s">
        <v>539</v>
      </c>
      <c r="H168" s="633" t="s">
        <v>1084</v>
      </c>
      <c r="I168" s="633" t="s">
        <v>1084</v>
      </c>
      <c r="J168" s="633" t="s">
        <v>683</v>
      </c>
      <c r="K168" s="633" t="s">
        <v>1085</v>
      </c>
      <c r="L168" s="635">
        <v>569.83000000000004</v>
      </c>
      <c r="M168" s="635">
        <v>0.4</v>
      </c>
      <c r="N168" s="636">
        <v>227.93200000000002</v>
      </c>
    </row>
    <row r="169" spans="1:14" ht="14.4" customHeight="1" x14ac:dyDescent="0.3">
      <c r="A169" s="631" t="s">
        <v>512</v>
      </c>
      <c r="B169" s="632" t="s">
        <v>1459</v>
      </c>
      <c r="C169" s="633" t="s">
        <v>517</v>
      </c>
      <c r="D169" s="634" t="s">
        <v>1460</v>
      </c>
      <c r="E169" s="633" t="s">
        <v>522</v>
      </c>
      <c r="F169" s="634" t="s">
        <v>1461</v>
      </c>
      <c r="G169" s="633" t="s">
        <v>539</v>
      </c>
      <c r="H169" s="633" t="s">
        <v>1086</v>
      </c>
      <c r="I169" s="633" t="s">
        <v>1087</v>
      </c>
      <c r="J169" s="633" t="s">
        <v>1088</v>
      </c>
      <c r="K169" s="633" t="s">
        <v>1089</v>
      </c>
      <c r="L169" s="635">
        <v>174.35000000000002</v>
      </c>
      <c r="M169" s="635">
        <v>1</v>
      </c>
      <c r="N169" s="636">
        <v>174.35000000000002</v>
      </c>
    </row>
    <row r="170" spans="1:14" ht="14.4" customHeight="1" x14ac:dyDescent="0.3">
      <c r="A170" s="631" t="s">
        <v>512</v>
      </c>
      <c r="B170" s="632" t="s">
        <v>1459</v>
      </c>
      <c r="C170" s="633" t="s">
        <v>517</v>
      </c>
      <c r="D170" s="634" t="s">
        <v>1460</v>
      </c>
      <c r="E170" s="633" t="s">
        <v>522</v>
      </c>
      <c r="F170" s="634" t="s">
        <v>1461</v>
      </c>
      <c r="G170" s="633" t="s">
        <v>539</v>
      </c>
      <c r="H170" s="633" t="s">
        <v>1090</v>
      </c>
      <c r="I170" s="633" t="s">
        <v>1090</v>
      </c>
      <c r="J170" s="633" t="s">
        <v>579</v>
      </c>
      <c r="K170" s="633" t="s">
        <v>1091</v>
      </c>
      <c r="L170" s="635">
        <v>60.143636363636354</v>
      </c>
      <c r="M170" s="635">
        <v>11</v>
      </c>
      <c r="N170" s="636">
        <v>661.57999999999993</v>
      </c>
    </row>
    <row r="171" spans="1:14" ht="14.4" customHeight="1" x14ac:dyDescent="0.3">
      <c r="A171" s="631" t="s">
        <v>512</v>
      </c>
      <c r="B171" s="632" t="s">
        <v>1459</v>
      </c>
      <c r="C171" s="633" t="s">
        <v>517</v>
      </c>
      <c r="D171" s="634" t="s">
        <v>1460</v>
      </c>
      <c r="E171" s="633" t="s">
        <v>522</v>
      </c>
      <c r="F171" s="634" t="s">
        <v>1461</v>
      </c>
      <c r="G171" s="633" t="s">
        <v>539</v>
      </c>
      <c r="H171" s="633" t="s">
        <v>1092</v>
      </c>
      <c r="I171" s="633" t="s">
        <v>238</v>
      </c>
      <c r="J171" s="633" t="s">
        <v>1093</v>
      </c>
      <c r="K171" s="633"/>
      <c r="L171" s="635">
        <v>147.49950971397899</v>
      </c>
      <c r="M171" s="635">
        <v>6</v>
      </c>
      <c r="N171" s="636">
        <v>884.99705828387391</v>
      </c>
    </row>
    <row r="172" spans="1:14" ht="14.4" customHeight="1" x14ac:dyDescent="0.3">
      <c r="A172" s="631" t="s">
        <v>512</v>
      </c>
      <c r="B172" s="632" t="s">
        <v>1459</v>
      </c>
      <c r="C172" s="633" t="s">
        <v>517</v>
      </c>
      <c r="D172" s="634" t="s">
        <v>1460</v>
      </c>
      <c r="E172" s="633" t="s">
        <v>522</v>
      </c>
      <c r="F172" s="634" t="s">
        <v>1461</v>
      </c>
      <c r="G172" s="633" t="s">
        <v>539</v>
      </c>
      <c r="H172" s="633" t="s">
        <v>1094</v>
      </c>
      <c r="I172" s="633" t="s">
        <v>238</v>
      </c>
      <c r="J172" s="633" t="s">
        <v>1095</v>
      </c>
      <c r="K172" s="633"/>
      <c r="L172" s="635">
        <v>169.94</v>
      </c>
      <c r="M172" s="635">
        <v>5</v>
      </c>
      <c r="N172" s="636">
        <v>849.7</v>
      </c>
    </row>
    <row r="173" spans="1:14" ht="14.4" customHeight="1" x14ac:dyDescent="0.3">
      <c r="A173" s="631" t="s">
        <v>512</v>
      </c>
      <c r="B173" s="632" t="s">
        <v>1459</v>
      </c>
      <c r="C173" s="633" t="s">
        <v>517</v>
      </c>
      <c r="D173" s="634" t="s">
        <v>1460</v>
      </c>
      <c r="E173" s="633" t="s">
        <v>522</v>
      </c>
      <c r="F173" s="634" t="s">
        <v>1461</v>
      </c>
      <c r="G173" s="633" t="s">
        <v>539</v>
      </c>
      <c r="H173" s="633" t="s">
        <v>1096</v>
      </c>
      <c r="I173" s="633" t="s">
        <v>238</v>
      </c>
      <c r="J173" s="633" t="s">
        <v>1097</v>
      </c>
      <c r="K173" s="633"/>
      <c r="L173" s="635">
        <v>42.409861180732982</v>
      </c>
      <c r="M173" s="635">
        <v>3</v>
      </c>
      <c r="N173" s="636">
        <v>127.22958354219895</v>
      </c>
    </row>
    <row r="174" spans="1:14" ht="14.4" customHeight="1" x14ac:dyDescent="0.3">
      <c r="A174" s="631" t="s">
        <v>512</v>
      </c>
      <c r="B174" s="632" t="s">
        <v>1459</v>
      </c>
      <c r="C174" s="633" t="s">
        <v>517</v>
      </c>
      <c r="D174" s="634" t="s">
        <v>1460</v>
      </c>
      <c r="E174" s="633" t="s">
        <v>522</v>
      </c>
      <c r="F174" s="634" t="s">
        <v>1461</v>
      </c>
      <c r="G174" s="633" t="s">
        <v>539</v>
      </c>
      <c r="H174" s="633" t="s">
        <v>1098</v>
      </c>
      <c r="I174" s="633" t="s">
        <v>238</v>
      </c>
      <c r="J174" s="633" t="s">
        <v>1099</v>
      </c>
      <c r="K174" s="633"/>
      <c r="L174" s="635">
        <v>68.089995745753228</v>
      </c>
      <c r="M174" s="635">
        <v>3</v>
      </c>
      <c r="N174" s="636">
        <v>204.26998723725967</v>
      </c>
    </row>
    <row r="175" spans="1:14" ht="14.4" customHeight="1" x14ac:dyDescent="0.3">
      <c r="A175" s="631" t="s">
        <v>512</v>
      </c>
      <c r="B175" s="632" t="s">
        <v>1459</v>
      </c>
      <c r="C175" s="633" t="s">
        <v>517</v>
      </c>
      <c r="D175" s="634" t="s">
        <v>1460</v>
      </c>
      <c r="E175" s="633" t="s">
        <v>522</v>
      </c>
      <c r="F175" s="634" t="s">
        <v>1461</v>
      </c>
      <c r="G175" s="633" t="s">
        <v>539</v>
      </c>
      <c r="H175" s="633" t="s">
        <v>1100</v>
      </c>
      <c r="I175" s="633" t="s">
        <v>1101</v>
      </c>
      <c r="J175" s="633" t="s">
        <v>1102</v>
      </c>
      <c r="K175" s="633" t="s">
        <v>1103</v>
      </c>
      <c r="L175" s="635">
        <v>97.580000000000027</v>
      </c>
      <c r="M175" s="635">
        <v>1</v>
      </c>
      <c r="N175" s="636">
        <v>97.580000000000027</v>
      </c>
    </row>
    <row r="176" spans="1:14" ht="14.4" customHeight="1" x14ac:dyDescent="0.3">
      <c r="A176" s="631" t="s">
        <v>512</v>
      </c>
      <c r="B176" s="632" t="s">
        <v>1459</v>
      </c>
      <c r="C176" s="633" t="s">
        <v>517</v>
      </c>
      <c r="D176" s="634" t="s">
        <v>1460</v>
      </c>
      <c r="E176" s="633" t="s">
        <v>522</v>
      </c>
      <c r="F176" s="634" t="s">
        <v>1461</v>
      </c>
      <c r="G176" s="633" t="s">
        <v>1104</v>
      </c>
      <c r="H176" s="633" t="s">
        <v>1105</v>
      </c>
      <c r="I176" s="633" t="s">
        <v>1106</v>
      </c>
      <c r="J176" s="633" t="s">
        <v>1107</v>
      </c>
      <c r="K176" s="633" t="s">
        <v>1108</v>
      </c>
      <c r="L176" s="635">
        <v>36.33</v>
      </c>
      <c r="M176" s="635">
        <v>4</v>
      </c>
      <c r="N176" s="636">
        <v>145.32</v>
      </c>
    </row>
    <row r="177" spans="1:14" ht="14.4" customHeight="1" x14ac:dyDescent="0.3">
      <c r="A177" s="631" t="s">
        <v>512</v>
      </c>
      <c r="B177" s="632" t="s">
        <v>1459</v>
      </c>
      <c r="C177" s="633" t="s">
        <v>517</v>
      </c>
      <c r="D177" s="634" t="s">
        <v>1460</v>
      </c>
      <c r="E177" s="633" t="s">
        <v>522</v>
      </c>
      <c r="F177" s="634" t="s">
        <v>1461</v>
      </c>
      <c r="G177" s="633" t="s">
        <v>1104</v>
      </c>
      <c r="H177" s="633" t="s">
        <v>1109</v>
      </c>
      <c r="I177" s="633" t="s">
        <v>1110</v>
      </c>
      <c r="J177" s="633" t="s">
        <v>1111</v>
      </c>
      <c r="K177" s="633" t="s">
        <v>1112</v>
      </c>
      <c r="L177" s="635">
        <v>47.33</v>
      </c>
      <c r="M177" s="635">
        <v>1</v>
      </c>
      <c r="N177" s="636">
        <v>47.33</v>
      </c>
    </row>
    <row r="178" spans="1:14" ht="14.4" customHeight="1" x14ac:dyDescent="0.3">
      <c r="A178" s="631" t="s">
        <v>512</v>
      </c>
      <c r="B178" s="632" t="s">
        <v>1459</v>
      </c>
      <c r="C178" s="633" t="s">
        <v>517</v>
      </c>
      <c r="D178" s="634" t="s">
        <v>1460</v>
      </c>
      <c r="E178" s="633" t="s">
        <v>522</v>
      </c>
      <c r="F178" s="634" t="s">
        <v>1461</v>
      </c>
      <c r="G178" s="633" t="s">
        <v>1104</v>
      </c>
      <c r="H178" s="633" t="s">
        <v>1113</v>
      </c>
      <c r="I178" s="633" t="s">
        <v>1114</v>
      </c>
      <c r="J178" s="633" t="s">
        <v>1115</v>
      </c>
      <c r="K178" s="633" t="s">
        <v>1116</v>
      </c>
      <c r="L178" s="635">
        <v>54.460004707237275</v>
      </c>
      <c r="M178" s="635">
        <v>26</v>
      </c>
      <c r="N178" s="636">
        <v>1415.9601223881691</v>
      </c>
    </row>
    <row r="179" spans="1:14" ht="14.4" customHeight="1" x14ac:dyDescent="0.3">
      <c r="A179" s="631" t="s">
        <v>512</v>
      </c>
      <c r="B179" s="632" t="s">
        <v>1459</v>
      </c>
      <c r="C179" s="633" t="s">
        <v>517</v>
      </c>
      <c r="D179" s="634" t="s">
        <v>1460</v>
      </c>
      <c r="E179" s="633" t="s">
        <v>522</v>
      </c>
      <c r="F179" s="634" t="s">
        <v>1461</v>
      </c>
      <c r="G179" s="633" t="s">
        <v>1104</v>
      </c>
      <c r="H179" s="633" t="s">
        <v>1117</v>
      </c>
      <c r="I179" s="633" t="s">
        <v>1118</v>
      </c>
      <c r="J179" s="633" t="s">
        <v>1119</v>
      </c>
      <c r="K179" s="633" t="s">
        <v>1120</v>
      </c>
      <c r="L179" s="635">
        <v>122.72</v>
      </c>
      <c r="M179" s="635">
        <v>1</v>
      </c>
      <c r="N179" s="636">
        <v>122.72</v>
      </c>
    </row>
    <row r="180" spans="1:14" ht="14.4" customHeight="1" x14ac:dyDescent="0.3">
      <c r="A180" s="631" t="s">
        <v>512</v>
      </c>
      <c r="B180" s="632" t="s">
        <v>1459</v>
      </c>
      <c r="C180" s="633" t="s">
        <v>517</v>
      </c>
      <c r="D180" s="634" t="s">
        <v>1460</v>
      </c>
      <c r="E180" s="633" t="s">
        <v>522</v>
      </c>
      <c r="F180" s="634" t="s">
        <v>1461</v>
      </c>
      <c r="G180" s="633" t="s">
        <v>1104</v>
      </c>
      <c r="H180" s="633" t="s">
        <v>1121</v>
      </c>
      <c r="I180" s="633" t="s">
        <v>1122</v>
      </c>
      <c r="J180" s="633" t="s">
        <v>1123</v>
      </c>
      <c r="K180" s="633" t="s">
        <v>1124</v>
      </c>
      <c r="L180" s="635">
        <v>62.05</v>
      </c>
      <c r="M180" s="635">
        <v>2</v>
      </c>
      <c r="N180" s="636">
        <v>124.1</v>
      </c>
    </row>
    <row r="181" spans="1:14" ht="14.4" customHeight="1" x14ac:dyDescent="0.3">
      <c r="A181" s="631" t="s">
        <v>512</v>
      </c>
      <c r="B181" s="632" t="s">
        <v>1459</v>
      </c>
      <c r="C181" s="633" t="s">
        <v>517</v>
      </c>
      <c r="D181" s="634" t="s">
        <v>1460</v>
      </c>
      <c r="E181" s="633" t="s">
        <v>522</v>
      </c>
      <c r="F181" s="634" t="s">
        <v>1461</v>
      </c>
      <c r="G181" s="633" t="s">
        <v>1104</v>
      </c>
      <c r="H181" s="633" t="s">
        <v>1125</v>
      </c>
      <c r="I181" s="633" t="s">
        <v>1126</v>
      </c>
      <c r="J181" s="633" t="s">
        <v>1127</v>
      </c>
      <c r="K181" s="633" t="s">
        <v>1128</v>
      </c>
      <c r="L181" s="635">
        <v>79.83</v>
      </c>
      <c r="M181" s="635">
        <v>1</v>
      </c>
      <c r="N181" s="636">
        <v>79.83</v>
      </c>
    </row>
    <row r="182" spans="1:14" ht="14.4" customHeight="1" x14ac:dyDescent="0.3">
      <c r="A182" s="631" t="s">
        <v>512</v>
      </c>
      <c r="B182" s="632" t="s">
        <v>1459</v>
      </c>
      <c r="C182" s="633" t="s">
        <v>517</v>
      </c>
      <c r="D182" s="634" t="s">
        <v>1460</v>
      </c>
      <c r="E182" s="633" t="s">
        <v>522</v>
      </c>
      <c r="F182" s="634" t="s">
        <v>1461</v>
      </c>
      <c r="G182" s="633" t="s">
        <v>1104</v>
      </c>
      <c r="H182" s="633" t="s">
        <v>1129</v>
      </c>
      <c r="I182" s="633" t="s">
        <v>1130</v>
      </c>
      <c r="J182" s="633" t="s">
        <v>1131</v>
      </c>
      <c r="K182" s="633" t="s">
        <v>1132</v>
      </c>
      <c r="L182" s="635">
        <v>3449.9999999999995</v>
      </c>
      <c r="M182" s="635">
        <v>8</v>
      </c>
      <c r="N182" s="636">
        <v>27599.999999999996</v>
      </c>
    </row>
    <row r="183" spans="1:14" ht="14.4" customHeight="1" x14ac:dyDescent="0.3">
      <c r="A183" s="631" t="s">
        <v>512</v>
      </c>
      <c r="B183" s="632" t="s">
        <v>1459</v>
      </c>
      <c r="C183" s="633" t="s">
        <v>517</v>
      </c>
      <c r="D183" s="634" t="s">
        <v>1460</v>
      </c>
      <c r="E183" s="633" t="s">
        <v>522</v>
      </c>
      <c r="F183" s="634" t="s">
        <v>1461</v>
      </c>
      <c r="G183" s="633" t="s">
        <v>1104</v>
      </c>
      <c r="H183" s="633" t="s">
        <v>1133</v>
      </c>
      <c r="I183" s="633" t="s">
        <v>1134</v>
      </c>
      <c r="J183" s="633" t="s">
        <v>1135</v>
      </c>
      <c r="K183" s="633" t="s">
        <v>1136</v>
      </c>
      <c r="L183" s="635">
        <v>140.94</v>
      </c>
      <c r="M183" s="635">
        <v>1</v>
      </c>
      <c r="N183" s="636">
        <v>140.94</v>
      </c>
    </row>
    <row r="184" spans="1:14" ht="14.4" customHeight="1" x14ac:dyDescent="0.3">
      <c r="A184" s="631" t="s">
        <v>512</v>
      </c>
      <c r="B184" s="632" t="s">
        <v>1459</v>
      </c>
      <c r="C184" s="633" t="s">
        <v>517</v>
      </c>
      <c r="D184" s="634" t="s">
        <v>1460</v>
      </c>
      <c r="E184" s="633" t="s">
        <v>522</v>
      </c>
      <c r="F184" s="634" t="s">
        <v>1461</v>
      </c>
      <c r="G184" s="633" t="s">
        <v>1104</v>
      </c>
      <c r="H184" s="633" t="s">
        <v>1137</v>
      </c>
      <c r="I184" s="633" t="s">
        <v>1138</v>
      </c>
      <c r="J184" s="633" t="s">
        <v>1139</v>
      </c>
      <c r="K184" s="633" t="s">
        <v>1140</v>
      </c>
      <c r="L184" s="635">
        <v>85.52249999999998</v>
      </c>
      <c r="M184" s="635">
        <v>8</v>
      </c>
      <c r="N184" s="636">
        <v>684.17999999999984</v>
      </c>
    </row>
    <row r="185" spans="1:14" ht="14.4" customHeight="1" x14ac:dyDescent="0.3">
      <c r="A185" s="631" t="s">
        <v>512</v>
      </c>
      <c r="B185" s="632" t="s">
        <v>1459</v>
      </c>
      <c r="C185" s="633" t="s">
        <v>517</v>
      </c>
      <c r="D185" s="634" t="s">
        <v>1460</v>
      </c>
      <c r="E185" s="633" t="s">
        <v>522</v>
      </c>
      <c r="F185" s="634" t="s">
        <v>1461</v>
      </c>
      <c r="G185" s="633" t="s">
        <v>1104</v>
      </c>
      <c r="H185" s="633" t="s">
        <v>1141</v>
      </c>
      <c r="I185" s="633" t="s">
        <v>1142</v>
      </c>
      <c r="J185" s="633" t="s">
        <v>1143</v>
      </c>
      <c r="K185" s="633" t="s">
        <v>1144</v>
      </c>
      <c r="L185" s="635">
        <v>337.15</v>
      </c>
      <c r="M185" s="635">
        <v>1</v>
      </c>
      <c r="N185" s="636">
        <v>337.15</v>
      </c>
    </row>
    <row r="186" spans="1:14" ht="14.4" customHeight="1" x14ac:dyDescent="0.3">
      <c r="A186" s="631" t="s">
        <v>512</v>
      </c>
      <c r="B186" s="632" t="s">
        <v>1459</v>
      </c>
      <c r="C186" s="633" t="s">
        <v>517</v>
      </c>
      <c r="D186" s="634" t="s">
        <v>1460</v>
      </c>
      <c r="E186" s="633" t="s">
        <v>522</v>
      </c>
      <c r="F186" s="634" t="s">
        <v>1461</v>
      </c>
      <c r="G186" s="633" t="s">
        <v>1104</v>
      </c>
      <c r="H186" s="633" t="s">
        <v>1145</v>
      </c>
      <c r="I186" s="633" t="s">
        <v>1146</v>
      </c>
      <c r="J186" s="633" t="s">
        <v>1147</v>
      </c>
      <c r="K186" s="633" t="s">
        <v>1148</v>
      </c>
      <c r="L186" s="635">
        <v>89.25</v>
      </c>
      <c r="M186" s="635">
        <v>1</v>
      </c>
      <c r="N186" s="636">
        <v>89.25</v>
      </c>
    </row>
    <row r="187" spans="1:14" ht="14.4" customHeight="1" x14ac:dyDescent="0.3">
      <c r="A187" s="631" t="s">
        <v>512</v>
      </c>
      <c r="B187" s="632" t="s">
        <v>1459</v>
      </c>
      <c r="C187" s="633" t="s">
        <v>517</v>
      </c>
      <c r="D187" s="634" t="s">
        <v>1460</v>
      </c>
      <c r="E187" s="633" t="s">
        <v>522</v>
      </c>
      <c r="F187" s="634" t="s">
        <v>1461</v>
      </c>
      <c r="G187" s="633" t="s">
        <v>1104</v>
      </c>
      <c r="H187" s="633" t="s">
        <v>1149</v>
      </c>
      <c r="I187" s="633" t="s">
        <v>1150</v>
      </c>
      <c r="J187" s="633" t="s">
        <v>1111</v>
      </c>
      <c r="K187" s="633" t="s">
        <v>1151</v>
      </c>
      <c r="L187" s="635">
        <v>135.37604433069561</v>
      </c>
      <c r="M187" s="635">
        <v>36</v>
      </c>
      <c r="N187" s="636">
        <v>4873.5375959050416</v>
      </c>
    </row>
    <row r="188" spans="1:14" ht="14.4" customHeight="1" x14ac:dyDescent="0.3">
      <c r="A188" s="631" t="s">
        <v>512</v>
      </c>
      <c r="B188" s="632" t="s">
        <v>1459</v>
      </c>
      <c r="C188" s="633" t="s">
        <v>517</v>
      </c>
      <c r="D188" s="634" t="s">
        <v>1460</v>
      </c>
      <c r="E188" s="633" t="s">
        <v>522</v>
      </c>
      <c r="F188" s="634" t="s">
        <v>1461</v>
      </c>
      <c r="G188" s="633" t="s">
        <v>1104</v>
      </c>
      <c r="H188" s="633" t="s">
        <v>1152</v>
      </c>
      <c r="I188" s="633" t="s">
        <v>1153</v>
      </c>
      <c r="J188" s="633" t="s">
        <v>1154</v>
      </c>
      <c r="K188" s="633" t="s">
        <v>1155</v>
      </c>
      <c r="L188" s="635">
        <v>151.12</v>
      </c>
      <c r="M188" s="635">
        <v>1</v>
      </c>
      <c r="N188" s="636">
        <v>151.12</v>
      </c>
    </row>
    <row r="189" spans="1:14" ht="14.4" customHeight="1" x14ac:dyDescent="0.3">
      <c r="A189" s="631" t="s">
        <v>512</v>
      </c>
      <c r="B189" s="632" t="s">
        <v>1459</v>
      </c>
      <c r="C189" s="633" t="s">
        <v>517</v>
      </c>
      <c r="D189" s="634" t="s">
        <v>1460</v>
      </c>
      <c r="E189" s="633" t="s">
        <v>522</v>
      </c>
      <c r="F189" s="634" t="s">
        <v>1461</v>
      </c>
      <c r="G189" s="633" t="s">
        <v>1104</v>
      </c>
      <c r="H189" s="633" t="s">
        <v>1156</v>
      </c>
      <c r="I189" s="633" t="s">
        <v>1157</v>
      </c>
      <c r="J189" s="633" t="s">
        <v>1158</v>
      </c>
      <c r="K189" s="633" t="s">
        <v>1159</v>
      </c>
      <c r="L189" s="635">
        <v>64.540000000000006</v>
      </c>
      <c r="M189" s="635">
        <v>1</v>
      </c>
      <c r="N189" s="636">
        <v>64.540000000000006</v>
      </c>
    </row>
    <row r="190" spans="1:14" ht="14.4" customHeight="1" x14ac:dyDescent="0.3">
      <c r="A190" s="631" t="s">
        <v>512</v>
      </c>
      <c r="B190" s="632" t="s">
        <v>1459</v>
      </c>
      <c r="C190" s="633" t="s">
        <v>517</v>
      </c>
      <c r="D190" s="634" t="s">
        <v>1460</v>
      </c>
      <c r="E190" s="633" t="s">
        <v>522</v>
      </c>
      <c r="F190" s="634" t="s">
        <v>1461</v>
      </c>
      <c r="G190" s="633" t="s">
        <v>1104</v>
      </c>
      <c r="H190" s="633" t="s">
        <v>1160</v>
      </c>
      <c r="I190" s="633" t="s">
        <v>1161</v>
      </c>
      <c r="J190" s="633" t="s">
        <v>1162</v>
      </c>
      <c r="K190" s="633" t="s">
        <v>1031</v>
      </c>
      <c r="L190" s="635">
        <v>472.82366025131404</v>
      </c>
      <c r="M190" s="635">
        <v>24</v>
      </c>
      <c r="N190" s="636">
        <v>11347.767846031536</v>
      </c>
    </row>
    <row r="191" spans="1:14" ht="14.4" customHeight="1" x14ac:dyDescent="0.3">
      <c r="A191" s="631" t="s">
        <v>512</v>
      </c>
      <c r="B191" s="632" t="s">
        <v>1459</v>
      </c>
      <c r="C191" s="633" t="s">
        <v>517</v>
      </c>
      <c r="D191" s="634" t="s">
        <v>1460</v>
      </c>
      <c r="E191" s="633" t="s">
        <v>522</v>
      </c>
      <c r="F191" s="634" t="s">
        <v>1461</v>
      </c>
      <c r="G191" s="633" t="s">
        <v>1104</v>
      </c>
      <c r="H191" s="633" t="s">
        <v>1163</v>
      </c>
      <c r="I191" s="633" t="s">
        <v>1164</v>
      </c>
      <c r="J191" s="633" t="s">
        <v>1119</v>
      </c>
      <c r="K191" s="633" t="s">
        <v>1165</v>
      </c>
      <c r="L191" s="635">
        <v>74.162482230990193</v>
      </c>
      <c r="M191" s="635">
        <v>4</v>
      </c>
      <c r="N191" s="636">
        <v>296.64992892396077</v>
      </c>
    </row>
    <row r="192" spans="1:14" ht="14.4" customHeight="1" x14ac:dyDescent="0.3">
      <c r="A192" s="631" t="s">
        <v>512</v>
      </c>
      <c r="B192" s="632" t="s">
        <v>1459</v>
      </c>
      <c r="C192" s="633" t="s">
        <v>517</v>
      </c>
      <c r="D192" s="634" t="s">
        <v>1460</v>
      </c>
      <c r="E192" s="633" t="s">
        <v>522</v>
      </c>
      <c r="F192" s="634" t="s">
        <v>1461</v>
      </c>
      <c r="G192" s="633" t="s">
        <v>1104</v>
      </c>
      <c r="H192" s="633" t="s">
        <v>1166</v>
      </c>
      <c r="I192" s="633" t="s">
        <v>1167</v>
      </c>
      <c r="J192" s="633" t="s">
        <v>1168</v>
      </c>
      <c r="K192" s="633" t="s">
        <v>1169</v>
      </c>
      <c r="L192" s="635">
        <v>70.948519554823534</v>
      </c>
      <c r="M192" s="635">
        <v>660</v>
      </c>
      <c r="N192" s="636">
        <v>46826.022906183534</v>
      </c>
    </row>
    <row r="193" spans="1:14" ht="14.4" customHeight="1" x14ac:dyDescent="0.3">
      <c r="A193" s="631" t="s">
        <v>512</v>
      </c>
      <c r="B193" s="632" t="s">
        <v>1459</v>
      </c>
      <c r="C193" s="633" t="s">
        <v>517</v>
      </c>
      <c r="D193" s="634" t="s">
        <v>1460</v>
      </c>
      <c r="E193" s="633" t="s">
        <v>522</v>
      </c>
      <c r="F193" s="634" t="s">
        <v>1461</v>
      </c>
      <c r="G193" s="633" t="s">
        <v>1104</v>
      </c>
      <c r="H193" s="633" t="s">
        <v>1170</v>
      </c>
      <c r="I193" s="633" t="s">
        <v>1171</v>
      </c>
      <c r="J193" s="633" t="s">
        <v>1172</v>
      </c>
      <c r="K193" s="633" t="s">
        <v>1173</v>
      </c>
      <c r="L193" s="635">
        <v>890.09997823829985</v>
      </c>
      <c r="M193" s="635">
        <v>23</v>
      </c>
      <c r="N193" s="636">
        <v>20472.299499480898</v>
      </c>
    </row>
    <row r="194" spans="1:14" ht="14.4" customHeight="1" x14ac:dyDescent="0.3">
      <c r="A194" s="631" t="s">
        <v>512</v>
      </c>
      <c r="B194" s="632" t="s">
        <v>1459</v>
      </c>
      <c r="C194" s="633" t="s">
        <v>517</v>
      </c>
      <c r="D194" s="634" t="s">
        <v>1460</v>
      </c>
      <c r="E194" s="633" t="s">
        <v>522</v>
      </c>
      <c r="F194" s="634" t="s">
        <v>1461</v>
      </c>
      <c r="G194" s="633" t="s">
        <v>1104</v>
      </c>
      <c r="H194" s="633" t="s">
        <v>1174</v>
      </c>
      <c r="I194" s="633" t="s">
        <v>1175</v>
      </c>
      <c r="J194" s="633" t="s">
        <v>1176</v>
      </c>
      <c r="K194" s="633" t="s">
        <v>1177</v>
      </c>
      <c r="L194" s="635">
        <v>1603.93</v>
      </c>
      <c r="M194" s="635">
        <v>2</v>
      </c>
      <c r="N194" s="636">
        <v>3207.86</v>
      </c>
    </row>
    <row r="195" spans="1:14" ht="14.4" customHeight="1" x14ac:dyDescent="0.3">
      <c r="A195" s="631" t="s">
        <v>512</v>
      </c>
      <c r="B195" s="632" t="s">
        <v>1459</v>
      </c>
      <c r="C195" s="633" t="s">
        <v>517</v>
      </c>
      <c r="D195" s="634" t="s">
        <v>1460</v>
      </c>
      <c r="E195" s="633" t="s">
        <v>522</v>
      </c>
      <c r="F195" s="634" t="s">
        <v>1461</v>
      </c>
      <c r="G195" s="633" t="s">
        <v>1104</v>
      </c>
      <c r="H195" s="633" t="s">
        <v>1178</v>
      </c>
      <c r="I195" s="633" t="s">
        <v>1178</v>
      </c>
      <c r="J195" s="633" t="s">
        <v>1179</v>
      </c>
      <c r="K195" s="633" t="s">
        <v>1180</v>
      </c>
      <c r="L195" s="635">
        <v>28.98</v>
      </c>
      <c r="M195" s="635">
        <v>1</v>
      </c>
      <c r="N195" s="636">
        <v>28.98</v>
      </c>
    </row>
    <row r="196" spans="1:14" ht="14.4" customHeight="1" x14ac:dyDescent="0.3">
      <c r="A196" s="631" t="s">
        <v>512</v>
      </c>
      <c r="B196" s="632" t="s">
        <v>1459</v>
      </c>
      <c r="C196" s="633" t="s">
        <v>517</v>
      </c>
      <c r="D196" s="634" t="s">
        <v>1460</v>
      </c>
      <c r="E196" s="633" t="s">
        <v>522</v>
      </c>
      <c r="F196" s="634" t="s">
        <v>1461</v>
      </c>
      <c r="G196" s="633" t="s">
        <v>1104</v>
      </c>
      <c r="H196" s="633" t="s">
        <v>1181</v>
      </c>
      <c r="I196" s="633" t="s">
        <v>1182</v>
      </c>
      <c r="J196" s="633" t="s">
        <v>1183</v>
      </c>
      <c r="K196" s="633" t="s">
        <v>1184</v>
      </c>
      <c r="L196" s="635">
        <v>97.57</v>
      </c>
      <c r="M196" s="635">
        <v>1</v>
      </c>
      <c r="N196" s="636">
        <v>97.57</v>
      </c>
    </row>
    <row r="197" spans="1:14" ht="14.4" customHeight="1" x14ac:dyDescent="0.3">
      <c r="A197" s="631" t="s">
        <v>512</v>
      </c>
      <c r="B197" s="632" t="s">
        <v>1459</v>
      </c>
      <c r="C197" s="633" t="s">
        <v>517</v>
      </c>
      <c r="D197" s="634" t="s">
        <v>1460</v>
      </c>
      <c r="E197" s="633" t="s">
        <v>522</v>
      </c>
      <c r="F197" s="634" t="s">
        <v>1461</v>
      </c>
      <c r="G197" s="633" t="s">
        <v>1104</v>
      </c>
      <c r="H197" s="633" t="s">
        <v>1185</v>
      </c>
      <c r="I197" s="633" t="s">
        <v>1186</v>
      </c>
      <c r="J197" s="633" t="s">
        <v>1187</v>
      </c>
      <c r="K197" s="633" t="s">
        <v>1188</v>
      </c>
      <c r="L197" s="635">
        <v>162.36000000000004</v>
      </c>
      <c r="M197" s="635">
        <v>1</v>
      </c>
      <c r="N197" s="636">
        <v>162.36000000000004</v>
      </c>
    </row>
    <row r="198" spans="1:14" ht="14.4" customHeight="1" x14ac:dyDescent="0.3">
      <c r="A198" s="631" t="s">
        <v>512</v>
      </c>
      <c r="B198" s="632" t="s">
        <v>1459</v>
      </c>
      <c r="C198" s="633" t="s">
        <v>517</v>
      </c>
      <c r="D198" s="634" t="s">
        <v>1460</v>
      </c>
      <c r="E198" s="633" t="s">
        <v>522</v>
      </c>
      <c r="F198" s="634" t="s">
        <v>1461</v>
      </c>
      <c r="G198" s="633" t="s">
        <v>1104</v>
      </c>
      <c r="H198" s="633" t="s">
        <v>1189</v>
      </c>
      <c r="I198" s="633" t="s">
        <v>1189</v>
      </c>
      <c r="J198" s="633" t="s">
        <v>1190</v>
      </c>
      <c r="K198" s="633" t="s">
        <v>1191</v>
      </c>
      <c r="L198" s="635">
        <v>411.0200000000001</v>
      </c>
      <c r="M198" s="635">
        <v>1</v>
      </c>
      <c r="N198" s="636">
        <v>411.0200000000001</v>
      </c>
    </row>
    <row r="199" spans="1:14" ht="14.4" customHeight="1" x14ac:dyDescent="0.3">
      <c r="A199" s="631" t="s">
        <v>512</v>
      </c>
      <c r="B199" s="632" t="s">
        <v>1459</v>
      </c>
      <c r="C199" s="633" t="s">
        <v>517</v>
      </c>
      <c r="D199" s="634" t="s">
        <v>1460</v>
      </c>
      <c r="E199" s="633" t="s">
        <v>522</v>
      </c>
      <c r="F199" s="634" t="s">
        <v>1461</v>
      </c>
      <c r="G199" s="633" t="s">
        <v>1104</v>
      </c>
      <c r="H199" s="633" t="s">
        <v>1192</v>
      </c>
      <c r="I199" s="633" t="s">
        <v>1193</v>
      </c>
      <c r="J199" s="633" t="s">
        <v>1194</v>
      </c>
      <c r="K199" s="633" t="s">
        <v>1195</v>
      </c>
      <c r="L199" s="635">
        <v>177.96999258698466</v>
      </c>
      <c r="M199" s="635">
        <v>3</v>
      </c>
      <c r="N199" s="636">
        <v>533.90997776095401</v>
      </c>
    </row>
    <row r="200" spans="1:14" ht="14.4" customHeight="1" x14ac:dyDescent="0.3">
      <c r="A200" s="631" t="s">
        <v>512</v>
      </c>
      <c r="B200" s="632" t="s">
        <v>1459</v>
      </c>
      <c r="C200" s="633" t="s">
        <v>517</v>
      </c>
      <c r="D200" s="634" t="s">
        <v>1460</v>
      </c>
      <c r="E200" s="633" t="s">
        <v>522</v>
      </c>
      <c r="F200" s="634" t="s">
        <v>1461</v>
      </c>
      <c r="G200" s="633" t="s">
        <v>1104</v>
      </c>
      <c r="H200" s="633" t="s">
        <v>1196</v>
      </c>
      <c r="I200" s="633" t="s">
        <v>1197</v>
      </c>
      <c r="J200" s="633" t="s">
        <v>1198</v>
      </c>
      <c r="K200" s="633" t="s">
        <v>1199</v>
      </c>
      <c r="L200" s="635">
        <v>1453.9672727272725</v>
      </c>
      <c r="M200" s="635">
        <v>11</v>
      </c>
      <c r="N200" s="636">
        <v>15993.639999999998</v>
      </c>
    </row>
    <row r="201" spans="1:14" ht="14.4" customHeight="1" x14ac:dyDescent="0.3">
      <c r="A201" s="631" t="s">
        <v>512</v>
      </c>
      <c r="B201" s="632" t="s">
        <v>1459</v>
      </c>
      <c r="C201" s="633" t="s">
        <v>517</v>
      </c>
      <c r="D201" s="634" t="s">
        <v>1460</v>
      </c>
      <c r="E201" s="633" t="s">
        <v>1200</v>
      </c>
      <c r="F201" s="634" t="s">
        <v>1462</v>
      </c>
      <c r="G201" s="633"/>
      <c r="H201" s="633" t="s">
        <v>1201</v>
      </c>
      <c r="I201" s="633" t="s">
        <v>1201</v>
      </c>
      <c r="J201" s="633" t="s">
        <v>1202</v>
      </c>
      <c r="K201" s="633" t="s">
        <v>1203</v>
      </c>
      <c r="L201" s="635">
        <v>186.73000000000002</v>
      </c>
      <c r="M201" s="635">
        <v>1</v>
      </c>
      <c r="N201" s="636">
        <v>186.73000000000002</v>
      </c>
    </row>
    <row r="202" spans="1:14" ht="14.4" customHeight="1" x14ac:dyDescent="0.3">
      <c r="A202" s="631" t="s">
        <v>512</v>
      </c>
      <c r="B202" s="632" t="s">
        <v>1459</v>
      </c>
      <c r="C202" s="633" t="s">
        <v>517</v>
      </c>
      <c r="D202" s="634" t="s">
        <v>1460</v>
      </c>
      <c r="E202" s="633" t="s">
        <v>1200</v>
      </c>
      <c r="F202" s="634" t="s">
        <v>1462</v>
      </c>
      <c r="G202" s="633"/>
      <c r="H202" s="633" t="s">
        <v>1204</v>
      </c>
      <c r="I202" s="633" t="s">
        <v>1204</v>
      </c>
      <c r="J202" s="633" t="s">
        <v>1205</v>
      </c>
      <c r="K202" s="633" t="s">
        <v>1203</v>
      </c>
      <c r="L202" s="635">
        <v>186.73000000000002</v>
      </c>
      <c r="M202" s="635">
        <v>1</v>
      </c>
      <c r="N202" s="636">
        <v>186.73000000000002</v>
      </c>
    </row>
    <row r="203" spans="1:14" ht="14.4" customHeight="1" x14ac:dyDescent="0.3">
      <c r="A203" s="631" t="s">
        <v>512</v>
      </c>
      <c r="B203" s="632" t="s">
        <v>1459</v>
      </c>
      <c r="C203" s="633" t="s">
        <v>517</v>
      </c>
      <c r="D203" s="634" t="s">
        <v>1460</v>
      </c>
      <c r="E203" s="633" t="s">
        <v>1200</v>
      </c>
      <c r="F203" s="634" t="s">
        <v>1462</v>
      </c>
      <c r="G203" s="633"/>
      <c r="H203" s="633" t="s">
        <v>1206</v>
      </c>
      <c r="I203" s="633" t="s">
        <v>1206</v>
      </c>
      <c r="J203" s="633" t="s">
        <v>1207</v>
      </c>
      <c r="K203" s="633" t="s">
        <v>1203</v>
      </c>
      <c r="L203" s="635">
        <v>186.73000000000002</v>
      </c>
      <c r="M203" s="635">
        <v>1</v>
      </c>
      <c r="N203" s="636">
        <v>186.73000000000002</v>
      </c>
    </row>
    <row r="204" spans="1:14" ht="14.4" customHeight="1" x14ac:dyDescent="0.3">
      <c r="A204" s="631" t="s">
        <v>512</v>
      </c>
      <c r="B204" s="632" t="s">
        <v>1459</v>
      </c>
      <c r="C204" s="633" t="s">
        <v>517</v>
      </c>
      <c r="D204" s="634" t="s">
        <v>1460</v>
      </c>
      <c r="E204" s="633" t="s">
        <v>1200</v>
      </c>
      <c r="F204" s="634" t="s">
        <v>1462</v>
      </c>
      <c r="G204" s="633" t="s">
        <v>539</v>
      </c>
      <c r="H204" s="633" t="s">
        <v>1208</v>
      </c>
      <c r="I204" s="633" t="s">
        <v>1209</v>
      </c>
      <c r="J204" s="633" t="s">
        <v>1210</v>
      </c>
      <c r="K204" s="633" t="s">
        <v>1211</v>
      </c>
      <c r="L204" s="635">
        <v>2175.8194705187752</v>
      </c>
      <c r="M204" s="635">
        <v>22</v>
      </c>
      <c r="N204" s="636">
        <v>47868.028351413057</v>
      </c>
    </row>
    <row r="205" spans="1:14" ht="14.4" customHeight="1" x14ac:dyDescent="0.3">
      <c r="A205" s="631" t="s">
        <v>512</v>
      </c>
      <c r="B205" s="632" t="s">
        <v>1459</v>
      </c>
      <c r="C205" s="633" t="s">
        <v>517</v>
      </c>
      <c r="D205" s="634" t="s">
        <v>1460</v>
      </c>
      <c r="E205" s="633" t="s">
        <v>1200</v>
      </c>
      <c r="F205" s="634" t="s">
        <v>1462</v>
      </c>
      <c r="G205" s="633" t="s">
        <v>539</v>
      </c>
      <c r="H205" s="633" t="s">
        <v>1212</v>
      </c>
      <c r="I205" s="633" t="s">
        <v>1213</v>
      </c>
      <c r="J205" s="633" t="s">
        <v>1214</v>
      </c>
      <c r="K205" s="633" t="s">
        <v>1079</v>
      </c>
      <c r="L205" s="635">
        <v>323.98</v>
      </c>
      <c r="M205" s="635">
        <v>20</v>
      </c>
      <c r="N205" s="636">
        <v>6479.6</v>
      </c>
    </row>
    <row r="206" spans="1:14" ht="14.4" customHeight="1" x14ac:dyDescent="0.3">
      <c r="A206" s="631" t="s">
        <v>512</v>
      </c>
      <c r="B206" s="632" t="s">
        <v>1459</v>
      </c>
      <c r="C206" s="633" t="s">
        <v>517</v>
      </c>
      <c r="D206" s="634" t="s">
        <v>1460</v>
      </c>
      <c r="E206" s="633" t="s">
        <v>1200</v>
      </c>
      <c r="F206" s="634" t="s">
        <v>1462</v>
      </c>
      <c r="G206" s="633" t="s">
        <v>539</v>
      </c>
      <c r="H206" s="633" t="s">
        <v>1215</v>
      </c>
      <c r="I206" s="633" t="s">
        <v>1216</v>
      </c>
      <c r="J206" s="633" t="s">
        <v>1217</v>
      </c>
      <c r="K206" s="633" t="s">
        <v>1218</v>
      </c>
      <c r="L206" s="635">
        <v>2842.8000000000006</v>
      </c>
      <c r="M206" s="635">
        <v>3</v>
      </c>
      <c r="N206" s="636">
        <v>8528.4000000000015</v>
      </c>
    </row>
    <row r="207" spans="1:14" ht="14.4" customHeight="1" x14ac:dyDescent="0.3">
      <c r="A207" s="631" t="s">
        <v>512</v>
      </c>
      <c r="B207" s="632" t="s">
        <v>1459</v>
      </c>
      <c r="C207" s="633" t="s">
        <v>517</v>
      </c>
      <c r="D207" s="634" t="s">
        <v>1460</v>
      </c>
      <c r="E207" s="633" t="s">
        <v>1200</v>
      </c>
      <c r="F207" s="634" t="s">
        <v>1462</v>
      </c>
      <c r="G207" s="633" t="s">
        <v>539</v>
      </c>
      <c r="H207" s="633" t="s">
        <v>1219</v>
      </c>
      <c r="I207" s="633" t="s">
        <v>238</v>
      </c>
      <c r="J207" s="633" t="s">
        <v>1220</v>
      </c>
      <c r="K207" s="633"/>
      <c r="L207" s="635">
        <v>1161.165</v>
      </c>
      <c r="M207" s="635">
        <v>0.8659</v>
      </c>
      <c r="N207" s="636">
        <v>1005.4527735</v>
      </c>
    </row>
    <row r="208" spans="1:14" ht="14.4" customHeight="1" x14ac:dyDescent="0.3">
      <c r="A208" s="631" t="s">
        <v>512</v>
      </c>
      <c r="B208" s="632" t="s">
        <v>1459</v>
      </c>
      <c r="C208" s="633" t="s">
        <v>517</v>
      </c>
      <c r="D208" s="634" t="s">
        <v>1460</v>
      </c>
      <c r="E208" s="633" t="s">
        <v>1200</v>
      </c>
      <c r="F208" s="634" t="s">
        <v>1462</v>
      </c>
      <c r="G208" s="633" t="s">
        <v>539</v>
      </c>
      <c r="H208" s="633" t="s">
        <v>1221</v>
      </c>
      <c r="I208" s="633" t="s">
        <v>1222</v>
      </c>
      <c r="J208" s="633" t="s">
        <v>1223</v>
      </c>
      <c r="K208" s="633" t="s">
        <v>1224</v>
      </c>
      <c r="L208" s="635">
        <v>2332.2900001373209</v>
      </c>
      <c r="M208" s="635">
        <v>55.400000000000006</v>
      </c>
      <c r="N208" s="636">
        <v>129208.86600760759</v>
      </c>
    </row>
    <row r="209" spans="1:14" ht="14.4" customHeight="1" x14ac:dyDescent="0.3">
      <c r="A209" s="631" t="s">
        <v>512</v>
      </c>
      <c r="B209" s="632" t="s">
        <v>1459</v>
      </c>
      <c r="C209" s="633" t="s">
        <v>517</v>
      </c>
      <c r="D209" s="634" t="s">
        <v>1460</v>
      </c>
      <c r="E209" s="633" t="s">
        <v>1200</v>
      </c>
      <c r="F209" s="634" t="s">
        <v>1462</v>
      </c>
      <c r="G209" s="633" t="s">
        <v>539</v>
      </c>
      <c r="H209" s="633" t="s">
        <v>1225</v>
      </c>
      <c r="I209" s="633" t="s">
        <v>1225</v>
      </c>
      <c r="J209" s="633" t="s">
        <v>1226</v>
      </c>
      <c r="K209" s="633" t="s">
        <v>1227</v>
      </c>
      <c r="L209" s="635">
        <v>3681.01</v>
      </c>
      <c r="M209" s="635">
        <v>3</v>
      </c>
      <c r="N209" s="636">
        <v>11043.03</v>
      </c>
    </row>
    <row r="210" spans="1:14" ht="14.4" customHeight="1" x14ac:dyDescent="0.3">
      <c r="A210" s="631" t="s">
        <v>512</v>
      </c>
      <c r="B210" s="632" t="s">
        <v>1459</v>
      </c>
      <c r="C210" s="633" t="s">
        <v>517</v>
      </c>
      <c r="D210" s="634" t="s">
        <v>1460</v>
      </c>
      <c r="E210" s="633" t="s">
        <v>1200</v>
      </c>
      <c r="F210" s="634" t="s">
        <v>1462</v>
      </c>
      <c r="G210" s="633" t="s">
        <v>539</v>
      </c>
      <c r="H210" s="633" t="s">
        <v>1228</v>
      </c>
      <c r="I210" s="633" t="s">
        <v>1229</v>
      </c>
      <c r="J210" s="633" t="s">
        <v>1230</v>
      </c>
      <c r="K210" s="633" t="s">
        <v>1227</v>
      </c>
      <c r="L210" s="635">
        <v>1735.6600000000003</v>
      </c>
      <c r="M210" s="635">
        <v>1</v>
      </c>
      <c r="N210" s="636">
        <v>1735.6600000000003</v>
      </c>
    </row>
    <row r="211" spans="1:14" ht="14.4" customHeight="1" x14ac:dyDescent="0.3">
      <c r="A211" s="631" t="s">
        <v>512</v>
      </c>
      <c r="B211" s="632" t="s">
        <v>1459</v>
      </c>
      <c r="C211" s="633" t="s">
        <v>517</v>
      </c>
      <c r="D211" s="634" t="s">
        <v>1460</v>
      </c>
      <c r="E211" s="633" t="s">
        <v>1200</v>
      </c>
      <c r="F211" s="634" t="s">
        <v>1462</v>
      </c>
      <c r="G211" s="633" t="s">
        <v>539</v>
      </c>
      <c r="H211" s="633" t="s">
        <v>1231</v>
      </c>
      <c r="I211" s="633" t="s">
        <v>1232</v>
      </c>
      <c r="J211" s="633" t="s">
        <v>1233</v>
      </c>
      <c r="K211" s="633" t="s">
        <v>1234</v>
      </c>
      <c r="L211" s="635">
        <v>2156.2763355906714</v>
      </c>
      <c r="M211" s="635">
        <v>23</v>
      </c>
      <c r="N211" s="636">
        <v>49594.355718585437</v>
      </c>
    </row>
    <row r="212" spans="1:14" ht="14.4" customHeight="1" x14ac:dyDescent="0.3">
      <c r="A212" s="631" t="s">
        <v>512</v>
      </c>
      <c r="B212" s="632" t="s">
        <v>1459</v>
      </c>
      <c r="C212" s="633" t="s">
        <v>517</v>
      </c>
      <c r="D212" s="634" t="s">
        <v>1460</v>
      </c>
      <c r="E212" s="633" t="s">
        <v>1200</v>
      </c>
      <c r="F212" s="634" t="s">
        <v>1462</v>
      </c>
      <c r="G212" s="633" t="s">
        <v>539</v>
      </c>
      <c r="H212" s="633" t="s">
        <v>1235</v>
      </c>
      <c r="I212" s="633" t="s">
        <v>1236</v>
      </c>
      <c r="J212" s="633" t="s">
        <v>1237</v>
      </c>
      <c r="K212" s="633" t="s">
        <v>1238</v>
      </c>
      <c r="L212" s="635">
        <v>1938.4899999999996</v>
      </c>
      <c r="M212" s="635">
        <v>1</v>
      </c>
      <c r="N212" s="636">
        <v>1938.4899999999996</v>
      </c>
    </row>
    <row r="213" spans="1:14" ht="14.4" customHeight="1" x14ac:dyDescent="0.3">
      <c r="A213" s="631" t="s">
        <v>512</v>
      </c>
      <c r="B213" s="632" t="s">
        <v>1459</v>
      </c>
      <c r="C213" s="633" t="s">
        <v>517</v>
      </c>
      <c r="D213" s="634" t="s">
        <v>1460</v>
      </c>
      <c r="E213" s="633" t="s">
        <v>1200</v>
      </c>
      <c r="F213" s="634" t="s">
        <v>1462</v>
      </c>
      <c r="G213" s="633" t="s">
        <v>539</v>
      </c>
      <c r="H213" s="633" t="s">
        <v>1239</v>
      </c>
      <c r="I213" s="633" t="s">
        <v>238</v>
      </c>
      <c r="J213" s="633" t="s">
        <v>1240</v>
      </c>
      <c r="K213" s="633"/>
      <c r="L213" s="635">
        <v>252.97000937502955</v>
      </c>
      <c r="M213" s="635">
        <v>72</v>
      </c>
      <c r="N213" s="636">
        <v>18213.840675002128</v>
      </c>
    </row>
    <row r="214" spans="1:14" ht="14.4" customHeight="1" x14ac:dyDescent="0.3">
      <c r="A214" s="631" t="s">
        <v>512</v>
      </c>
      <c r="B214" s="632" t="s">
        <v>1459</v>
      </c>
      <c r="C214" s="633" t="s">
        <v>517</v>
      </c>
      <c r="D214" s="634" t="s">
        <v>1460</v>
      </c>
      <c r="E214" s="633" t="s">
        <v>1200</v>
      </c>
      <c r="F214" s="634" t="s">
        <v>1462</v>
      </c>
      <c r="G214" s="633" t="s">
        <v>539</v>
      </c>
      <c r="H214" s="633" t="s">
        <v>1241</v>
      </c>
      <c r="I214" s="633" t="s">
        <v>1242</v>
      </c>
      <c r="J214" s="633" t="s">
        <v>1233</v>
      </c>
      <c r="K214" s="633" t="s">
        <v>1243</v>
      </c>
      <c r="L214" s="635">
        <v>3379.3899999999994</v>
      </c>
      <c r="M214" s="635">
        <v>9.8000000000000007</v>
      </c>
      <c r="N214" s="636">
        <v>33118.021999999997</v>
      </c>
    </row>
    <row r="215" spans="1:14" ht="14.4" customHeight="1" x14ac:dyDescent="0.3">
      <c r="A215" s="631" t="s">
        <v>512</v>
      </c>
      <c r="B215" s="632" t="s">
        <v>1459</v>
      </c>
      <c r="C215" s="633" t="s">
        <v>517</v>
      </c>
      <c r="D215" s="634" t="s">
        <v>1460</v>
      </c>
      <c r="E215" s="633" t="s">
        <v>1200</v>
      </c>
      <c r="F215" s="634" t="s">
        <v>1462</v>
      </c>
      <c r="G215" s="633" t="s">
        <v>539</v>
      </c>
      <c r="H215" s="633" t="s">
        <v>1244</v>
      </c>
      <c r="I215" s="633" t="s">
        <v>1245</v>
      </c>
      <c r="J215" s="633" t="s">
        <v>1246</v>
      </c>
      <c r="K215" s="633" t="s">
        <v>1057</v>
      </c>
      <c r="L215" s="635">
        <v>2322.3047685728002</v>
      </c>
      <c r="M215" s="635">
        <v>3</v>
      </c>
      <c r="N215" s="636">
        <v>6966.914305718401</v>
      </c>
    </row>
    <row r="216" spans="1:14" ht="14.4" customHeight="1" x14ac:dyDescent="0.3">
      <c r="A216" s="631" t="s">
        <v>512</v>
      </c>
      <c r="B216" s="632" t="s">
        <v>1459</v>
      </c>
      <c r="C216" s="633" t="s">
        <v>517</v>
      </c>
      <c r="D216" s="634" t="s">
        <v>1460</v>
      </c>
      <c r="E216" s="633" t="s">
        <v>1200</v>
      </c>
      <c r="F216" s="634" t="s">
        <v>1462</v>
      </c>
      <c r="G216" s="633" t="s">
        <v>539</v>
      </c>
      <c r="H216" s="633" t="s">
        <v>1247</v>
      </c>
      <c r="I216" s="633" t="s">
        <v>1248</v>
      </c>
      <c r="J216" s="633" t="s">
        <v>1249</v>
      </c>
      <c r="K216" s="633" t="s">
        <v>1250</v>
      </c>
      <c r="L216" s="635">
        <v>1886</v>
      </c>
      <c r="M216" s="635">
        <v>4</v>
      </c>
      <c r="N216" s="636">
        <v>7544</v>
      </c>
    </row>
    <row r="217" spans="1:14" ht="14.4" customHeight="1" x14ac:dyDescent="0.3">
      <c r="A217" s="631" t="s">
        <v>512</v>
      </c>
      <c r="B217" s="632" t="s">
        <v>1459</v>
      </c>
      <c r="C217" s="633" t="s">
        <v>517</v>
      </c>
      <c r="D217" s="634" t="s">
        <v>1460</v>
      </c>
      <c r="E217" s="633" t="s">
        <v>1200</v>
      </c>
      <c r="F217" s="634" t="s">
        <v>1462</v>
      </c>
      <c r="G217" s="633" t="s">
        <v>1104</v>
      </c>
      <c r="H217" s="633" t="s">
        <v>1251</v>
      </c>
      <c r="I217" s="633" t="s">
        <v>1252</v>
      </c>
      <c r="J217" s="633" t="s">
        <v>1253</v>
      </c>
      <c r="K217" s="633" t="s">
        <v>1116</v>
      </c>
      <c r="L217" s="635">
        <v>40.570005627059778</v>
      </c>
      <c r="M217" s="635">
        <v>29</v>
      </c>
      <c r="N217" s="636">
        <v>1176.5301631847335</v>
      </c>
    </row>
    <row r="218" spans="1:14" ht="14.4" customHeight="1" x14ac:dyDescent="0.3">
      <c r="A218" s="631" t="s">
        <v>512</v>
      </c>
      <c r="B218" s="632" t="s">
        <v>1459</v>
      </c>
      <c r="C218" s="633" t="s">
        <v>517</v>
      </c>
      <c r="D218" s="634" t="s">
        <v>1460</v>
      </c>
      <c r="E218" s="633" t="s">
        <v>1200</v>
      </c>
      <c r="F218" s="634" t="s">
        <v>1462</v>
      </c>
      <c r="G218" s="633" t="s">
        <v>1104</v>
      </c>
      <c r="H218" s="633" t="s">
        <v>1254</v>
      </c>
      <c r="I218" s="633" t="s">
        <v>1255</v>
      </c>
      <c r="J218" s="633" t="s">
        <v>1256</v>
      </c>
      <c r="K218" s="633" t="s">
        <v>1116</v>
      </c>
      <c r="L218" s="635">
        <v>54.119995973881188</v>
      </c>
      <c r="M218" s="635">
        <v>44</v>
      </c>
      <c r="N218" s="636">
        <v>2381.2798228507722</v>
      </c>
    </row>
    <row r="219" spans="1:14" ht="14.4" customHeight="1" x14ac:dyDescent="0.3">
      <c r="A219" s="631" t="s">
        <v>512</v>
      </c>
      <c r="B219" s="632" t="s">
        <v>1459</v>
      </c>
      <c r="C219" s="633" t="s">
        <v>517</v>
      </c>
      <c r="D219" s="634" t="s">
        <v>1460</v>
      </c>
      <c r="E219" s="633" t="s">
        <v>1200</v>
      </c>
      <c r="F219" s="634" t="s">
        <v>1462</v>
      </c>
      <c r="G219" s="633" t="s">
        <v>1104</v>
      </c>
      <c r="H219" s="633" t="s">
        <v>1257</v>
      </c>
      <c r="I219" s="633" t="s">
        <v>1258</v>
      </c>
      <c r="J219" s="633" t="s">
        <v>1259</v>
      </c>
      <c r="K219" s="633" t="s">
        <v>1116</v>
      </c>
      <c r="L219" s="635">
        <v>54.119997865444532</v>
      </c>
      <c r="M219" s="635">
        <v>32</v>
      </c>
      <c r="N219" s="636">
        <v>1731.839931694225</v>
      </c>
    </row>
    <row r="220" spans="1:14" ht="14.4" customHeight="1" x14ac:dyDescent="0.3">
      <c r="A220" s="631" t="s">
        <v>512</v>
      </c>
      <c r="B220" s="632" t="s">
        <v>1459</v>
      </c>
      <c r="C220" s="633" t="s">
        <v>517</v>
      </c>
      <c r="D220" s="634" t="s">
        <v>1460</v>
      </c>
      <c r="E220" s="633" t="s">
        <v>1200</v>
      </c>
      <c r="F220" s="634" t="s">
        <v>1462</v>
      </c>
      <c r="G220" s="633" t="s">
        <v>1104</v>
      </c>
      <c r="H220" s="633" t="s">
        <v>1260</v>
      </c>
      <c r="I220" s="633" t="s">
        <v>1261</v>
      </c>
      <c r="J220" s="633" t="s">
        <v>1262</v>
      </c>
      <c r="K220" s="633" t="s">
        <v>1116</v>
      </c>
      <c r="L220" s="635">
        <v>54.460003541988918</v>
      </c>
      <c r="M220" s="635">
        <v>12</v>
      </c>
      <c r="N220" s="636">
        <v>653.52004250386699</v>
      </c>
    </row>
    <row r="221" spans="1:14" ht="14.4" customHeight="1" x14ac:dyDescent="0.3">
      <c r="A221" s="631" t="s">
        <v>512</v>
      </c>
      <c r="B221" s="632" t="s">
        <v>1459</v>
      </c>
      <c r="C221" s="633" t="s">
        <v>517</v>
      </c>
      <c r="D221" s="634" t="s">
        <v>1460</v>
      </c>
      <c r="E221" s="633" t="s">
        <v>1200</v>
      </c>
      <c r="F221" s="634" t="s">
        <v>1462</v>
      </c>
      <c r="G221" s="633" t="s">
        <v>1104</v>
      </c>
      <c r="H221" s="633" t="s">
        <v>1263</v>
      </c>
      <c r="I221" s="633" t="s">
        <v>1264</v>
      </c>
      <c r="J221" s="633" t="s">
        <v>1265</v>
      </c>
      <c r="K221" s="633" t="s">
        <v>1116</v>
      </c>
      <c r="L221" s="635">
        <v>42.76000085996786</v>
      </c>
      <c r="M221" s="635">
        <v>40</v>
      </c>
      <c r="N221" s="636">
        <v>1710.4000343987145</v>
      </c>
    </row>
    <row r="222" spans="1:14" ht="14.4" customHeight="1" x14ac:dyDescent="0.3">
      <c r="A222" s="631" t="s">
        <v>512</v>
      </c>
      <c r="B222" s="632" t="s">
        <v>1459</v>
      </c>
      <c r="C222" s="633" t="s">
        <v>517</v>
      </c>
      <c r="D222" s="634" t="s">
        <v>1460</v>
      </c>
      <c r="E222" s="633" t="s">
        <v>1200</v>
      </c>
      <c r="F222" s="634" t="s">
        <v>1462</v>
      </c>
      <c r="G222" s="633" t="s">
        <v>1104</v>
      </c>
      <c r="H222" s="633" t="s">
        <v>1266</v>
      </c>
      <c r="I222" s="633" t="s">
        <v>1266</v>
      </c>
      <c r="J222" s="633" t="s">
        <v>1267</v>
      </c>
      <c r="K222" s="633" t="s">
        <v>1268</v>
      </c>
      <c r="L222" s="635">
        <v>424.98</v>
      </c>
      <c r="M222" s="635">
        <v>29</v>
      </c>
      <c r="N222" s="636">
        <v>12324.42</v>
      </c>
    </row>
    <row r="223" spans="1:14" ht="14.4" customHeight="1" x14ac:dyDescent="0.3">
      <c r="A223" s="631" t="s">
        <v>512</v>
      </c>
      <c r="B223" s="632" t="s">
        <v>1459</v>
      </c>
      <c r="C223" s="633" t="s">
        <v>517</v>
      </c>
      <c r="D223" s="634" t="s">
        <v>1460</v>
      </c>
      <c r="E223" s="633" t="s">
        <v>1200</v>
      </c>
      <c r="F223" s="634" t="s">
        <v>1462</v>
      </c>
      <c r="G223" s="633" t="s">
        <v>1104</v>
      </c>
      <c r="H223" s="633" t="s">
        <v>1269</v>
      </c>
      <c r="I223" s="633" t="s">
        <v>1269</v>
      </c>
      <c r="J223" s="633" t="s">
        <v>1270</v>
      </c>
      <c r="K223" s="633" t="s">
        <v>1268</v>
      </c>
      <c r="L223" s="635">
        <v>183.36989609495717</v>
      </c>
      <c r="M223" s="635">
        <v>48</v>
      </c>
      <c r="N223" s="636">
        <v>8801.7550125579437</v>
      </c>
    </row>
    <row r="224" spans="1:14" ht="14.4" customHeight="1" x14ac:dyDescent="0.3">
      <c r="A224" s="631" t="s">
        <v>512</v>
      </c>
      <c r="B224" s="632" t="s">
        <v>1459</v>
      </c>
      <c r="C224" s="633" t="s">
        <v>517</v>
      </c>
      <c r="D224" s="634" t="s">
        <v>1460</v>
      </c>
      <c r="E224" s="633" t="s">
        <v>1200</v>
      </c>
      <c r="F224" s="634" t="s">
        <v>1462</v>
      </c>
      <c r="G224" s="633" t="s">
        <v>1104</v>
      </c>
      <c r="H224" s="633" t="s">
        <v>1271</v>
      </c>
      <c r="I224" s="633" t="s">
        <v>1271</v>
      </c>
      <c r="J224" s="633" t="s">
        <v>1272</v>
      </c>
      <c r="K224" s="633" t="s">
        <v>1273</v>
      </c>
      <c r="L224" s="635">
        <v>148.07</v>
      </c>
      <c r="M224" s="635">
        <v>2</v>
      </c>
      <c r="N224" s="636">
        <v>296.14</v>
      </c>
    </row>
    <row r="225" spans="1:14" ht="14.4" customHeight="1" x14ac:dyDescent="0.3">
      <c r="A225" s="631" t="s">
        <v>512</v>
      </c>
      <c r="B225" s="632" t="s">
        <v>1459</v>
      </c>
      <c r="C225" s="633" t="s">
        <v>517</v>
      </c>
      <c r="D225" s="634" t="s">
        <v>1460</v>
      </c>
      <c r="E225" s="633" t="s">
        <v>1200</v>
      </c>
      <c r="F225" s="634" t="s">
        <v>1462</v>
      </c>
      <c r="G225" s="633" t="s">
        <v>1104</v>
      </c>
      <c r="H225" s="633" t="s">
        <v>1274</v>
      </c>
      <c r="I225" s="633" t="s">
        <v>1274</v>
      </c>
      <c r="J225" s="633" t="s">
        <v>1275</v>
      </c>
      <c r="K225" s="633" t="s">
        <v>1273</v>
      </c>
      <c r="L225" s="635">
        <v>148.07</v>
      </c>
      <c r="M225" s="635">
        <v>1</v>
      </c>
      <c r="N225" s="636">
        <v>148.07</v>
      </c>
    </row>
    <row r="226" spans="1:14" ht="14.4" customHeight="1" x14ac:dyDescent="0.3">
      <c r="A226" s="631" t="s">
        <v>512</v>
      </c>
      <c r="B226" s="632" t="s">
        <v>1459</v>
      </c>
      <c r="C226" s="633" t="s">
        <v>517</v>
      </c>
      <c r="D226" s="634" t="s">
        <v>1460</v>
      </c>
      <c r="E226" s="633" t="s">
        <v>1200</v>
      </c>
      <c r="F226" s="634" t="s">
        <v>1462</v>
      </c>
      <c r="G226" s="633" t="s">
        <v>1104</v>
      </c>
      <c r="H226" s="633" t="s">
        <v>1276</v>
      </c>
      <c r="I226" s="633" t="s">
        <v>1277</v>
      </c>
      <c r="J226" s="633" t="s">
        <v>1278</v>
      </c>
      <c r="K226" s="633" t="s">
        <v>1116</v>
      </c>
      <c r="L226" s="635">
        <v>40.569993475167699</v>
      </c>
      <c r="M226" s="635">
        <v>155</v>
      </c>
      <c r="N226" s="636">
        <v>6288.3489886509933</v>
      </c>
    </row>
    <row r="227" spans="1:14" ht="14.4" customHeight="1" x14ac:dyDescent="0.3">
      <c r="A227" s="631" t="s">
        <v>512</v>
      </c>
      <c r="B227" s="632" t="s">
        <v>1459</v>
      </c>
      <c r="C227" s="633" t="s">
        <v>517</v>
      </c>
      <c r="D227" s="634" t="s">
        <v>1460</v>
      </c>
      <c r="E227" s="633" t="s">
        <v>1200</v>
      </c>
      <c r="F227" s="634" t="s">
        <v>1462</v>
      </c>
      <c r="G227" s="633" t="s">
        <v>1104</v>
      </c>
      <c r="H227" s="633" t="s">
        <v>1279</v>
      </c>
      <c r="I227" s="633" t="s">
        <v>1280</v>
      </c>
      <c r="J227" s="633" t="s">
        <v>1281</v>
      </c>
      <c r="K227" s="633" t="s">
        <v>1282</v>
      </c>
      <c r="L227" s="635">
        <v>148.07000000000002</v>
      </c>
      <c r="M227" s="635">
        <v>1</v>
      </c>
      <c r="N227" s="636">
        <v>148.07000000000002</v>
      </c>
    </row>
    <row r="228" spans="1:14" ht="14.4" customHeight="1" x14ac:dyDescent="0.3">
      <c r="A228" s="631" t="s">
        <v>512</v>
      </c>
      <c r="B228" s="632" t="s">
        <v>1459</v>
      </c>
      <c r="C228" s="633" t="s">
        <v>517</v>
      </c>
      <c r="D228" s="634" t="s">
        <v>1460</v>
      </c>
      <c r="E228" s="633" t="s">
        <v>1200</v>
      </c>
      <c r="F228" s="634" t="s">
        <v>1462</v>
      </c>
      <c r="G228" s="633" t="s">
        <v>1104</v>
      </c>
      <c r="H228" s="633" t="s">
        <v>1283</v>
      </c>
      <c r="I228" s="633" t="s">
        <v>1284</v>
      </c>
      <c r="J228" s="633" t="s">
        <v>1285</v>
      </c>
      <c r="K228" s="633"/>
      <c r="L228" s="635">
        <v>40.569988892031887</v>
      </c>
      <c r="M228" s="635">
        <v>136</v>
      </c>
      <c r="N228" s="636">
        <v>5517.5184893163369</v>
      </c>
    </row>
    <row r="229" spans="1:14" ht="14.4" customHeight="1" x14ac:dyDescent="0.3">
      <c r="A229" s="631" t="s">
        <v>512</v>
      </c>
      <c r="B229" s="632" t="s">
        <v>1459</v>
      </c>
      <c r="C229" s="633" t="s">
        <v>517</v>
      </c>
      <c r="D229" s="634" t="s">
        <v>1460</v>
      </c>
      <c r="E229" s="633" t="s">
        <v>1286</v>
      </c>
      <c r="F229" s="634" t="s">
        <v>1463</v>
      </c>
      <c r="G229" s="633" t="s">
        <v>539</v>
      </c>
      <c r="H229" s="633" t="s">
        <v>1287</v>
      </c>
      <c r="I229" s="633" t="s">
        <v>1288</v>
      </c>
      <c r="J229" s="633" t="s">
        <v>1289</v>
      </c>
      <c r="K229" s="633" t="s">
        <v>1290</v>
      </c>
      <c r="L229" s="635">
        <v>35.26</v>
      </c>
      <c r="M229" s="635">
        <v>30</v>
      </c>
      <c r="N229" s="636">
        <v>1057.8</v>
      </c>
    </row>
    <row r="230" spans="1:14" ht="14.4" customHeight="1" x14ac:dyDescent="0.3">
      <c r="A230" s="631" t="s">
        <v>512</v>
      </c>
      <c r="B230" s="632" t="s">
        <v>1459</v>
      </c>
      <c r="C230" s="633" t="s">
        <v>517</v>
      </c>
      <c r="D230" s="634" t="s">
        <v>1460</v>
      </c>
      <c r="E230" s="633" t="s">
        <v>1286</v>
      </c>
      <c r="F230" s="634" t="s">
        <v>1463</v>
      </c>
      <c r="G230" s="633" t="s">
        <v>539</v>
      </c>
      <c r="H230" s="633" t="s">
        <v>1291</v>
      </c>
      <c r="I230" s="633" t="s">
        <v>1291</v>
      </c>
      <c r="J230" s="633" t="s">
        <v>1292</v>
      </c>
      <c r="K230" s="633" t="s">
        <v>1293</v>
      </c>
      <c r="L230" s="635">
        <v>72.840225191263002</v>
      </c>
      <c r="M230" s="635">
        <v>6</v>
      </c>
      <c r="N230" s="636">
        <v>437.04135114757804</v>
      </c>
    </row>
    <row r="231" spans="1:14" ht="14.4" customHeight="1" x14ac:dyDescent="0.3">
      <c r="A231" s="631" t="s">
        <v>512</v>
      </c>
      <c r="B231" s="632" t="s">
        <v>1459</v>
      </c>
      <c r="C231" s="633" t="s">
        <v>517</v>
      </c>
      <c r="D231" s="634" t="s">
        <v>1460</v>
      </c>
      <c r="E231" s="633" t="s">
        <v>1286</v>
      </c>
      <c r="F231" s="634" t="s">
        <v>1463</v>
      </c>
      <c r="G231" s="633" t="s">
        <v>539</v>
      </c>
      <c r="H231" s="633" t="s">
        <v>1294</v>
      </c>
      <c r="I231" s="633" t="s">
        <v>1295</v>
      </c>
      <c r="J231" s="633" t="s">
        <v>1296</v>
      </c>
      <c r="K231" s="633" t="s">
        <v>1297</v>
      </c>
      <c r="L231" s="635">
        <v>39.269910925438921</v>
      </c>
      <c r="M231" s="635">
        <v>7</v>
      </c>
      <c r="N231" s="636">
        <v>274.88937647807245</v>
      </c>
    </row>
    <row r="232" spans="1:14" ht="14.4" customHeight="1" x14ac:dyDescent="0.3">
      <c r="A232" s="631" t="s">
        <v>512</v>
      </c>
      <c r="B232" s="632" t="s">
        <v>1459</v>
      </c>
      <c r="C232" s="633" t="s">
        <v>517</v>
      </c>
      <c r="D232" s="634" t="s">
        <v>1460</v>
      </c>
      <c r="E232" s="633" t="s">
        <v>1286</v>
      </c>
      <c r="F232" s="634" t="s">
        <v>1463</v>
      </c>
      <c r="G232" s="633" t="s">
        <v>539</v>
      </c>
      <c r="H232" s="633" t="s">
        <v>1298</v>
      </c>
      <c r="I232" s="633" t="s">
        <v>1299</v>
      </c>
      <c r="J232" s="633" t="s">
        <v>1300</v>
      </c>
      <c r="K232" s="633" t="s">
        <v>580</v>
      </c>
      <c r="L232" s="635">
        <v>66.13</v>
      </c>
      <c r="M232" s="635">
        <v>2</v>
      </c>
      <c r="N232" s="636">
        <v>132.26</v>
      </c>
    </row>
    <row r="233" spans="1:14" ht="14.4" customHeight="1" x14ac:dyDescent="0.3">
      <c r="A233" s="631" t="s">
        <v>512</v>
      </c>
      <c r="B233" s="632" t="s">
        <v>1459</v>
      </c>
      <c r="C233" s="633" t="s">
        <v>517</v>
      </c>
      <c r="D233" s="634" t="s">
        <v>1460</v>
      </c>
      <c r="E233" s="633" t="s">
        <v>1286</v>
      </c>
      <c r="F233" s="634" t="s">
        <v>1463</v>
      </c>
      <c r="G233" s="633" t="s">
        <v>539</v>
      </c>
      <c r="H233" s="633" t="s">
        <v>1301</v>
      </c>
      <c r="I233" s="633" t="s">
        <v>1302</v>
      </c>
      <c r="J233" s="633" t="s">
        <v>1303</v>
      </c>
      <c r="K233" s="633" t="s">
        <v>1304</v>
      </c>
      <c r="L233" s="635">
        <v>33.366250000000001</v>
      </c>
      <c r="M233" s="635">
        <v>16</v>
      </c>
      <c r="N233" s="636">
        <v>533.86</v>
      </c>
    </row>
    <row r="234" spans="1:14" ht="14.4" customHeight="1" x14ac:dyDescent="0.3">
      <c r="A234" s="631" t="s">
        <v>512</v>
      </c>
      <c r="B234" s="632" t="s">
        <v>1459</v>
      </c>
      <c r="C234" s="633" t="s">
        <v>517</v>
      </c>
      <c r="D234" s="634" t="s">
        <v>1460</v>
      </c>
      <c r="E234" s="633" t="s">
        <v>1286</v>
      </c>
      <c r="F234" s="634" t="s">
        <v>1463</v>
      </c>
      <c r="G234" s="633" t="s">
        <v>539</v>
      </c>
      <c r="H234" s="633" t="s">
        <v>1305</v>
      </c>
      <c r="I234" s="633" t="s">
        <v>1306</v>
      </c>
      <c r="J234" s="633" t="s">
        <v>1307</v>
      </c>
      <c r="K234" s="633" t="s">
        <v>1308</v>
      </c>
      <c r="L234" s="635">
        <v>430.81391482290479</v>
      </c>
      <c r="M234" s="635">
        <v>26</v>
      </c>
      <c r="N234" s="636">
        <v>11201.161785395525</v>
      </c>
    </row>
    <row r="235" spans="1:14" ht="14.4" customHeight="1" x14ac:dyDescent="0.3">
      <c r="A235" s="631" t="s">
        <v>512</v>
      </c>
      <c r="B235" s="632" t="s">
        <v>1459</v>
      </c>
      <c r="C235" s="633" t="s">
        <v>517</v>
      </c>
      <c r="D235" s="634" t="s">
        <v>1460</v>
      </c>
      <c r="E235" s="633" t="s">
        <v>1286</v>
      </c>
      <c r="F235" s="634" t="s">
        <v>1463</v>
      </c>
      <c r="G235" s="633" t="s">
        <v>539</v>
      </c>
      <c r="H235" s="633" t="s">
        <v>1309</v>
      </c>
      <c r="I235" s="633" t="s">
        <v>1310</v>
      </c>
      <c r="J235" s="633" t="s">
        <v>1311</v>
      </c>
      <c r="K235" s="633" t="s">
        <v>1312</v>
      </c>
      <c r="L235" s="635">
        <v>1450.8221353346587</v>
      </c>
      <c r="M235" s="635">
        <v>19.586299999999998</v>
      </c>
      <c r="N235" s="636">
        <v>28416.237589305223</v>
      </c>
    </row>
    <row r="236" spans="1:14" ht="14.4" customHeight="1" x14ac:dyDescent="0.3">
      <c r="A236" s="631" t="s">
        <v>512</v>
      </c>
      <c r="B236" s="632" t="s">
        <v>1459</v>
      </c>
      <c r="C236" s="633" t="s">
        <v>517</v>
      </c>
      <c r="D236" s="634" t="s">
        <v>1460</v>
      </c>
      <c r="E236" s="633" t="s">
        <v>1286</v>
      </c>
      <c r="F236" s="634" t="s">
        <v>1463</v>
      </c>
      <c r="G236" s="633" t="s">
        <v>539</v>
      </c>
      <c r="H236" s="633" t="s">
        <v>1313</v>
      </c>
      <c r="I236" s="633" t="s">
        <v>1314</v>
      </c>
      <c r="J236" s="633" t="s">
        <v>1315</v>
      </c>
      <c r="K236" s="633" t="s">
        <v>1316</v>
      </c>
      <c r="L236" s="635">
        <v>641.98994215452342</v>
      </c>
      <c r="M236" s="635">
        <v>11</v>
      </c>
      <c r="N236" s="636">
        <v>7061.8893636997582</v>
      </c>
    </row>
    <row r="237" spans="1:14" ht="14.4" customHeight="1" x14ac:dyDescent="0.3">
      <c r="A237" s="631" t="s">
        <v>512</v>
      </c>
      <c r="B237" s="632" t="s">
        <v>1459</v>
      </c>
      <c r="C237" s="633" t="s">
        <v>517</v>
      </c>
      <c r="D237" s="634" t="s">
        <v>1460</v>
      </c>
      <c r="E237" s="633" t="s">
        <v>1286</v>
      </c>
      <c r="F237" s="634" t="s">
        <v>1463</v>
      </c>
      <c r="G237" s="633" t="s">
        <v>539</v>
      </c>
      <c r="H237" s="633" t="s">
        <v>1317</v>
      </c>
      <c r="I237" s="633" t="s">
        <v>1318</v>
      </c>
      <c r="J237" s="633" t="s">
        <v>1319</v>
      </c>
      <c r="K237" s="633" t="s">
        <v>1320</v>
      </c>
      <c r="L237" s="635">
        <v>249.67292628283599</v>
      </c>
      <c r="M237" s="635">
        <v>3</v>
      </c>
      <c r="N237" s="636">
        <v>749.01877884850796</v>
      </c>
    </row>
    <row r="238" spans="1:14" ht="14.4" customHeight="1" x14ac:dyDescent="0.3">
      <c r="A238" s="631" t="s">
        <v>512</v>
      </c>
      <c r="B238" s="632" t="s">
        <v>1459</v>
      </c>
      <c r="C238" s="633" t="s">
        <v>517</v>
      </c>
      <c r="D238" s="634" t="s">
        <v>1460</v>
      </c>
      <c r="E238" s="633" t="s">
        <v>1286</v>
      </c>
      <c r="F238" s="634" t="s">
        <v>1463</v>
      </c>
      <c r="G238" s="633" t="s">
        <v>539</v>
      </c>
      <c r="H238" s="633" t="s">
        <v>1321</v>
      </c>
      <c r="I238" s="633" t="s">
        <v>1322</v>
      </c>
      <c r="J238" s="633" t="s">
        <v>1323</v>
      </c>
      <c r="K238" s="633" t="s">
        <v>1324</v>
      </c>
      <c r="L238" s="635">
        <v>2899.2095792370601</v>
      </c>
      <c r="M238" s="635">
        <v>21</v>
      </c>
      <c r="N238" s="636">
        <v>60883.401163978262</v>
      </c>
    </row>
    <row r="239" spans="1:14" ht="14.4" customHeight="1" x14ac:dyDescent="0.3">
      <c r="A239" s="631" t="s">
        <v>512</v>
      </c>
      <c r="B239" s="632" t="s">
        <v>1459</v>
      </c>
      <c r="C239" s="633" t="s">
        <v>517</v>
      </c>
      <c r="D239" s="634" t="s">
        <v>1460</v>
      </c>
      <c r="E239" s="633" t="s">
        <v>1286</v>
      </c>
      <c r="F239" s="634" t="s">
        <v>1463</v>
      </c>
      <c r="G239" s="633" t="s">
        <v>539</v>
      </c>
      <c r="H239" s="633" t="s">
        <v>1325</v>
      </c>
      <c r="I239" s="633" t="s">
        <v>1326</v>
      </c>
      <c r="J239" s="633" t="s">
        <v>1327</v>
      </c>
      <c r="K239" s="633" t="s">
        <v>1328</v>
      </c>
      <c r="L239" s="635">
        <v>86.569815242475258</v>
      </c>
      <c r="M239" s="635">
        <v>3</v>
      </c>
      <c r="N239" s="636">
        <v>259.70944572742576</v>
      </c>
    </row>
    <row r="240" spans="1:14" ht="14.4" customHeight="1" x14ac:dyDescent="0.3">
      <c r="A240" s="631" t="s">
        <v>512</v>
      </c>
      <c r="B240" s="632" t="s">
        <v>1459</v>
      </c>
      <c r="C240" s="633" t="s">
        <v>517</v>
      </c>
      <c r="D240" s="634" t="s">
        <v>1460</v>
      </c>
      <c r="E240" s="633" t="s">
        <v>1286</v>
      </c>
      <c r="F240" s="634" t="s">
        <v>1463</v>
      </c>
      <c r="G240" s="633" t="s">
        <v>539</v>
      </c>
      <c r="H240" s="633" t="s">
        <v>1329</v>
      </c>
      <c r="I240" s="633" t="s">
        <v>1330</v>
      </c>
      <c r="J240" s="633" t="s">
        <v>1331</v>
      </c>
      <c r="K240" s="633" t="s">
        <v>1332</v>
      </c>
      <c r="L240" s="635">
        <v>105.68499999999999</v>
      </c>
      <c r="M240" s="635">
        <v>40</v>
      </c>
      <c r="N240" s="636">
        <v>4227.3999999999996</v>
      </c>
    </row>
    <row r="241" spans="1:14" ht="14.4" customHeight="1" x14ac:dyDescent="0.3">
      <c r="A241" s="631" t="s">
        <v>512</v>
      </c>
      <c r="B241" s="632" t="s">
        <v>1459</v>
      </c>
      <c r="C241" s="633" t="s">
        <v>517</v>
      </c>
      <c r="D241" s="634" t="s">
        <v>1460</v>
      </c>
      <c r="E241" s="633" t="s">
        <v>1286</v>
      </c>
      <c r="F241" s="634" t="s">
        <v>1463</v>
      </c>
      <c r="G241" s="633" t="s">
        <v>539</v>
      </c>
      <c r="H241" s="633" t="s">
        <v>1333</v>
      </c>
      <c r="I241" s="633" t="s">
        <v>1334</v>
      </c>
      <c r="J241" s="633" t="s">
        <v>1335</v>
      </c>
      <c r="K241" s="633" t="s">
        <v>1336</v>
      </c>
      <c r="L241" s="635">
        <v>202.48000000000002</v>
      </c>
      <c r="M241" s="635">
        <v>30</v>
      </c>
      <c r="N241" s="636">
        <v>6074.4000000000005</v>
      </c>
    </row>
    <row r="242" spans="1:14" ht="14.4" customHeight="1" x14ac:dyDescent="0.3">
      <c r="A242" s="631" t="s">
        <v>512</v>
      </c>
      <c r="B242" s="632" t="s">
        <v>1459</v>
      </c>
      <c r="C242" s="633" t="s">
        <v>517</v>
      </c>
      <c r="D242" s="634" t="s">
        <v>1460</v>
      </c>
      <c r="E242" s="633" t="s">
        <v>1286</v>
      </c>
      <c r="F242" s="634" t="s">
        <v>1463</v>
      </c>
      <c r="G242" s="633" t="s">
        <v>539</v>
      </c>
      <c r="H242" s="633" t="s">
        <v>1337</v>
      </c>
      <c r="I242" s="633" t="s">
        <v>1338</v>
      </c>
      <c r="J242" s="633" t="s">
        <v>1339</v>
      </c>
      <c r="K242" s="633" t="s">
        <v>1340</v>
      </c>
      <c r="L242" s="635">
        <v>678.12004287324942</v>
      </c>
      <c r="M242" s="635">
        <v>2.7</v>
      </c>
      <c r="N242" s="636">
        <v>1830.9241157577735</v>
      </c>
    </row>
    <row r="243" spans="1:14" ht="14.4" customHeight="1" x14ac:dyDescent="0.3">
      <c r="A243" s="631" t="s">
        <v>512</v>
      </c>
      <c r="B243" s="632" t="s">
        <v>1459</v>
      </c>
      <c r="C243" s="633" t="s">
        <v>517</v>
      </c>
      <c r="D243" s="634" t="s">
        <v>1460</v>
      </c>
      <c r="E243" s="633" t="s">
        <v>1286</v>
      </c>
      <c r="F243" s="634" t="s">
        <v>1463</v>
      </c>
      <c r="G243" s="633" t="s">
        <v>539</v>
      </c>
      <c r="H243" s="633" t="s">
        <v>1341</v>
      </c>
      <c r="I243" s="633" t="s">
        <v>1342</v>
      </c>
      <c r="J243" s="633" t="s">
        <v>1343</v>
      </c>
      <c r="K243" s="633" t="s">
        <v>1344</v>
      </c>
      <c r="L243" s="635">
        <v>605.26798759302221</v>
      </c>
      <c r="M243" s="635">
        <v>5</v>
      </c>
      <c r="N243" s="636">
        <v>3026.3399379651109</v>
      </c>
    </row>
    <row r="244" spans="1:14" ht="14.4" customHeight="1" x14ac:dyDescent="0.3">
      <c r="A244" s="631" t="s">
        <v>512</v>
      </c>
      <c r="B244" s="632" t="s">
        <v>1459</v>
      </c>
      <c r="C244" s="633" t="s">
        <v>517</v>
      </c>
      <c r="D244" s="634" t="s">
        <v>1460</v>
      </c>
      <c r="E244" s="633" t="s">
        <v>1286</v>
      </c>
      <c r="F244" s="634" t="s">
        <v>1463</v>
      </c>
      <c r="G244" s="633" t="s">
        <v>539</v>
      </c>
      <c r="H244" s="633" t="s">
        <v>1345</v>
      </c>
      <c r="I244" s="633" t="s">
        <v>1345</v>
      </c>
      <c r="J244" s="633" t="s">
        <v>1346</v>
      </c>
      <c r="K244" s="633" t="s">
        <v>1347</v>
      </c>
      <c r="L244" s="635">
        <v>814.63089166283282</v>
      </c>
      <c r="M244" s="635">
        <v>5</v>
      </c>
      <c r="N244" s="636">
        <v>4073.154458314164</v>
      </c>
    </row>
    <row r="245" spans="1:14" ht="14.4" customHeight="1" x14ac:dyDescent="0.3">
      <c r="A245" s="631" t="s">
        <v>512</v>
      </c>
      <c r="B245" s="632" t="s">
        <v>1459</v>
      </c>
      <c r="C245" s="633" t="s">
        <v>517</v>
      </c>
      <c r="D245" s="634" t="s">
        <v>1460</v>
      </c>
      <c r="E245" s="633" t="s">
        <v>1286</v>
      </c>
      <c r="F245" s="634" t="s">
        <v>1463</v>
      </c>
      <c r="G245" s="633" t="s">
        <v>539</v>
      </c>
      <c r="H245" s="633" t="s">
        <v>1348</v>
      </c>
      <c r="I245" s="633" t="s">
        <v>1349</v>
      </c>
      <c r="J245" s="633" t="s">
        <v>1350</v>
      </c>
      <c r="K245" s="633" t="s">
        <v>1351</v>
      </c>
      <c r="L245" s="635">
        <v>82.83</v>
      </c>
      <c r="M245" s="635">
        <v>67</v>
      </c>
      <c r="N245" s="636">
        <v>5549.61</v>
      </c>
    </row>
    <row r="246" spans="1:14" ht="14.4" customHeight="1" x14ac:dyDescent="0.3">
      <c r="A246" s="631" t="s">
        <v>512</v>
      </c>
      <c r="B246" s="632" t="s">
        <v>1459</v>
      </c>
      <c r="C246" s="633" t="s">
        <v>517</v>
      </c>
      <c r="D246" s="634" t="s">
        <v>1460</v>
      </c>
      <c r="E246" s="633" t="s">
        <v>1286</v>
      </c>
      <c r="F246" s="634" t="s">
        <v>1463</v>
      </c>
      <c r="G246" s="633" t="s">
        <v>539</v>
      </c>
      <c r="H246" s="633" t="s">
        <v>1352</v>
      </c>
      <c r="I246" s="633" t="s">
        <v>1353</v>
      </c>
      <c r="J246" s="633" t="s">
        <v>1354</v>
      </c>
      <c r="K246" s="633" t="s">
        <v>1355</v>
      </c>
      <c r="L246" s="635">
        <v>226.55719011184692</v>
      </c>
      <c r="M246" s="635">
        <v>10</v>
      </c>
      <c r="N246" s="636">
        <v>2265.5719011184692</v>
      </c>
    </row>
    <row r="247" spans="1:14" ht="14.4" customHeight="1" x14ac:dyDescent="0.3">
      <c r="A247" s="631" t="s">
        <v>512</v>
      </c>
      <c r="B247" s="632" t="s">
        <v>1459</v>
      </c>
      <c r="C247" s="633" t="s">
        <v>517</v>
      </c>
      <c r="D247" s="634" t="s">
        <v>1460</v>
      </c>
      <c r="E247" s="633" t="s">
        <v>1286</v>
      </c>
      <c r="F247" s="634" t="s">
        <v>1463</v>
      </c>
      <c r="G247" s="633" t="s">
        <v>539</v>
      </c>
      <c r="H247" s="633" t="s">
        <v>1356</v>
      </c>
      <c r="I247" s="633" t="s">
        <v>1357</v>
      </c>
      <c r="J247" s="633" t="s">
        <v>1358</v>
      </c>
      <c r="K247" s="633" t="s">
        <v>580</v>
      </c>
      <c r="L247" s="635">
        <v>58.579874787798992</v>
      </c>
      <c r="M247" s="635">
        <v>1</v>
      </c>
      <c r="N247" s="636">
        <v>58.579874787798992</v>
      </c>
    </row>
    <row r="248" spans="1:14" ht="14.4" customHeight="1" x14ac:dyDescent="0.3">
      <c r="A248" s="631" t="s">
        <v>512</v>
      </c>
      <c r="B248" s="632" t="s">
        <v>1459</v>
      </c>
      <c r="C248" s="633" t="s">
        <v>517</v>
      </c>
      <c r="D248" s="634" t="s">
        <v>1460</v>
      </c>
      <c r="E248" s="633" t="s">
        <v>1286</v>
      </c>
      <c r="F248" s="634" t="s">
        <v>1463</v>
      </c>
      <c r="G248" s="633" t="s">
        <v>539</v>
      </c>
      <c r="H248" s="633" t="s">
        <v>1359</v>
      </c>
      <c r="I248" s="633" t="s">
        <v>1359</v>
      </c>
      <c r="J248" s="633" t="s">
        <v>1360</v>
      </c>
      <c r="K248" s="633" t="s">
        <v>1361</v>
      </c>
      <c r="L248" s="635">
        <v>1967.4696428571431</v>
      </c>
      <c r="M248" s="635">
        <v>11.2</v>
      </c>
      <c r="N248" s="636">
        <v>22035.66</v>
      </c>
    </row>
    <row r="249" spans="1:14" ht="14.4" customHeight="1" x14ac:dyDescent="0.3">
      <c r="A249" s="631" t="s">
        <v>512</v>
      </c>
      <c r="B249" s="632" t="s">
        <v>1459</v>
      </c>
      <c r="C249" s="633" t="s">
        <v>517</v>
      </c>
      <c r="D249" s="634" t="s">
        <v>1460</v>
      </c>
      <c r="E249" s="633" t="s">
        <v>1286</v>
      </c>
      <c r="F249" s="634" t="s">
        <v>1463</v>
      </c>
      <c r="G249" s="633" t="s">
        <v>539</v>
      </c>
      <c r="H249" s="633" t="s">
        <v>1362</v>
      </c>
      <c r="I249" s="633" t="s">
        <v>1362</v>
      </c>
      <c r="J249" s="633" t="s">
        <v>1363</v>
      </c>
      <c r="K249" s="633" t="s">
        <v>1364</v>
      </c>
      <c r="L249" s="635">
        <v>920</v>
      </c>
      <c r="M249" s="635">
        <v>9</v>
      </c>
      <c r="N249" s="636">
        <v>8280</v>
      </c>
    </row>
    <row r="250" spans="1:14" ht="14.4" customHeight="1" x14ac:dyDescent="0.3">
      <c r="A250" s="631" t="s">
        <v>512</v>
      </c>
      <c r="B250" s="632" t="s">
        <v>1459</v>
      </c>
      <c r="C250" s="633" t="s">
        <v>517</v>
      </c>
      <c r="D250" s="634" t="s">
        <v>1460</v>
      </c>
      <c r="E250" s="633" t="s">
        <v>1286</v>
      </c>
      <c r="F250" s="634" t="s">
        <v>1463</v>
      </c>
      <c r="G250" s="633" t="s">
        <v>539</v>
      </c>
      <c r="H250" s="633" t="s">
        <v>1365</v>
      </c>
      <c r="I250" s="633" t="s">
        <v>1365</v>
      </c>
      <c r="J250" s="633" t="s">
        <v>1366</v>
      </c>
      <c r="K250" s="633" t="s">
        <v>1367</v>
      </c>
      <c r="L250" s="635">
        <v>12339.569999999998</v>
      </c>
      <c r="M250" s="635">
        <v>1.2000000000000002</v>
      </c>
      <c r="N250" s="636">
        <v>14807.484</v>
      </c>
    </row>
    <row r="251" spans="1:14" ht="14.4" customHeight="1" x14ac:dyDescent="0.3">
      <c r="A251" s="631" t="s">
        <v>512</v>
      </c>
      <c r="B251" s="632" t="s">
        <v>1459</v>
      </c>
      <c r="C251" s="633" t="s">
        <v>517</v>
      </c>
      <c r="D251" s="634" t="s">
        <v>1460</v>
      </c>
      <c r="E251" s="633" t="s">
        <v>1286</v>
      </c>
      <c r="F251" s="634" t="s">
        <v>1463</v>
      </c>
      <c r="G251" s="633" t="s">
        <v>1104</v>
      </c>
      <c r="H251" s="633" t="s">
        <v>1368</v>
      </c>
      <c r="I251" s="633" t="s">
        <v>1369</v>
      </c>
      <c r="J251" s="633" t="s">
        <v>1370</v>
      </c>
      <c r="K251" s="633" t="s">
        <v>1371</v>
      </c>
      <c r="L251" s="635">
        <v>88.600279770524097</v>
      </c>
      <c r="M251" s="635">
        <v>93</v>
      </c>
      <c r="N251" s="636">
        <v>8239.8260186587413</v>
      </c>
    </row>
    <row r="252" spans="1:14" ht="14.4" customHeight="1" x14ac:dyDescent="0.3">
      <c r="A252" s="631" t="s">
        <v>512</v>
      </c>
      <c r="B252" s="632" t="s">
        <v>1459</v>
      </c>
      <c r="C252" s="633" t="s">
        <v>517</v>
      </c>
      <c r="D252" s="634" t="s">
        <v>1460</v>
      </c>
      <c r="E252" s="633" t="s">
        <v>1286</v>
      </c>
      <c r="F252" s="634" t="s">
        <v>1463</v>
      </c>
      <c r="G252" s="633" t="s">
        <v>1104</v>
      </c>
      <c r="H252" s="633" t="s">
        <v>1372</v>
      </c>
      <c r="I252" s="633" t="s">
        <v>1373</v>
      </c>
      <c r="J252" s="633" t="s">
        <v>1374</v>
      </c>
      <c r="K252" s="633" t="s">
        <v>1375</v>
      </c>
      <c r="L252" s="635">
        <v>45.842890396580508</v>
      </c>
      <c r="M252" s="635">
        <v>224</v>
      </c>
      <c r="N252" s="636">
        <v>10268.807448834033</v>
      </c>
    </row>
    <row r="253" spans="1:14" ht="14.4" customHeight="1" x14ac:dyDescent="0.3">
      <c r="A253" s="631" t="s">
        <v>512</v>
      </c>
      <c r="B253" s="632" t="s">
        <v>1459</v>
      </c>
      <c r="C253" s="633" t="s">
        <v>517</v>
      </c>
      <c r="D253" s="634" t="s">
        <v>1460</v>
      </c>
      <c r="E253" s="633" t="s">
        <v>1286</v>
      </c>
      <c r="F253" s="634" t="s">
        <v>1463</v>
      </c>
      <c r="G253" s="633" t="s">
        <v>1104</v>
      </c>
      <c r="H253" s="633" t="s">
        <v>1376</v>
      </c>
      <c r="I253" s="633" t="s">
        <v>1377</v>
      </c>
      <c r="J253" s="633" t="s">
        <v>1378</v>
      </c>
      <c r="K253" s="633" t="s">
        <v>1379</v>
      </c>
      <c r="L253" s="635">
        <v>74.700031095338318</v>
      </c>
      <c r="M253" s="635">
        <v>200</v>
      </c>
      <c r="N253" s="636">
        <v>14940.006219067664</v>
      </c>
    </row>
    <row r="254" spans="1:14" ht="14.4" customHeight="1" x14ac:dyDescent="0.3">
      <c r="A254" s="631" t="s">
        <v>512</v>
      </c>
      <c r="B254" s="632" t="s">
        <v>1459</v>
      </c>
      <c r="C254" s="633" t="s">
        <v>517</v>
      </c>
      <c r="D254" s="634" t="s">
        <v>1460</v>
      </c>
      <c r="E254" s="633" t="s">
        <v>1286</v>
      </c>
      <c r="F254" s="634" t="s">
        <v>1463</v>
      </c>
      <c r="G254" s="633" t="s">
        <v>1104</v>
      </c>
      <c r="H254" s="633" t="s">
        <v>1380</v>
      </c>
      <c r="I254" s="633" t="s">
        <v>1381</v>
      </c>
      <c r="J254" s="633" t="s">
        <v>1382</v>
      </c>
      <c r="K254" s="633" t="s">
        <v>1383</v>
      </c>
      <c r="L254" s="635">
        <v>261.94499999999999</v>
      </c>
      <c r="M254" s="635">
        <v>40</v>
      </c>
      <c r="N254" s="636">
        <v>10477.799999999999</v>
      </c>
    </row>
    <row r="255" spans="1:14" ht="14.4" customHeight="1" x14ac:dyDescent="0.3">
      <c r="A255" s="631" t="s">
        <v>512</v>
      </c>
      <c r="B255" s="632" t="s">
        <v>1459</v>
      </c>
      <c r="C255" s="633" t="s">
        <v>517</v>
      </c>
      <c r="D255" s="634" t="s">
        <v>1460</v>
      </c>
      <c r="E255" s="633" t="s">
        <v>1286</v>
      </c>
      <c r="F255" s="634" t="s">
        <v>1463</v>
      </c>
      <c r="G255" s="633" t="s">
        <v>1104</v>
      </c>
      <c r="H255" s="633" t="s">
        <v>1384</v>
      </c>
      <c r="I255" s="633" t="s">
        <v>1385</v>
      </c>
      <c r="J255" s="633" t="s">
        <v>1386</v>
      </c>
      <c r="K255" s="633" t="s">
        <v>1324</v>
      </c>
      <c r="L255" s="635">
        <v>207.00026361024581</v>
      </c>
      <c r="M255" s="635">
        <v>9.4999999999999982</v>
      </c>
      <c r="N255" s="636">
        <v>1966.5025042973348</v>
      </c>
    </row>
    <row r="256" spans="1:14" ht="14.4" customHeight="1" x14ac:dyDescent="0.3">
      <c r="A256" s="631" t="s">
        <v>512</v>
      </c>
      <c r="B256" s="632" t="s">
        <v>1459</v>
      </c>
      <c r="C256" s="633" t="s">
        <v>517</v>
      </c>
      <c r="D256" s="634" t="s">
        <v>1460</v>
      </c>
      <c r="E256" s="633" t="s">
        <v>1286</v>
      </c>
      <c r="F256" s="634" t="s">
        <v>1463</v>
      </c>
      <c r="G256" s="633" t="s">
        <v>1104</v>
      </c>
      <c r="H256" s="633" t="s">
        <v>1387</v>
      </c>
      <c r="I256" s="633" t="s">
        <v>1388</v>
      </c>
      <c r="J256" s="633" t="s">
        <v>1389</v>
      </c>
      <c r="K256" s="633" t="s">
        <v>1390</v>
      </c>
      <c r="L256" s="635">
        <v>96.237212793345023</v>
      </c>
      <c r="M256" s="635">
        <v>96.000000000000057</v>
      </c>
      <c r="N256" s="636">
        <v>9238.7724281611281</v>
      </c>
    </row>
    <row r="257" spans="1:14" ht="14.4" customHeight="1" x14ac:dyDescent="0.3">
      <c r="A257" s="631" t="s">
        <v>512</v>
      </c>
      <c r="B257" s="632" t="s">
        <v>1459</v>
      </c>
      <c r="C257" s="633" t="s">
        <v>517</v>
      </c>
      <c r="D257" s="634" t="s">
        <v>1460</v>
      </c>
      <c r="E257" s="633" t="s">
        <v>1286</v>
      </c>
      <c r="F257" s="634" t="s">
        <v>1463</v>
      </c>
      <c r="G257" s="633" t="s">
        <v>1104</v>
      </c>
      <c r="H257" s="633" t="s">
        <v>1391</v>
      </c>
      <c r="I257" s="633" t="s">
        <v>1392</v>
      </c>
      <c r="J257" s="633" t="s">
        <v>1393</v>
      </c>
      <c r="K257" s="633" t="s">
        <v>1394</v>
      </c>
      <c r="L257" s="635">
        <v>75.220170604299071</v>
      </c>
      <c r="M257" s="635">
        <v>56</v>
      </c>
      <c r="N257" s="636">
        <v>4212.3295538407483</v>
      </c>
    </row>
    <row r="258" spans="1:14" ht="14.4" customHeight="1" x14ac:dyDescent="0.3">
      <c r="A258" s="631" t="s">
        <v>512</v>
      </c>
      <c r="B258" s="632" t="s">
        <v>1459</v>
      </c>
      <c r="C258" s="633" t="s">
        <v>517</v>
      </c>
      <c r="D258" s="634" t="s">
        <v>1460</v>
      </c>
      <c r="E258" s="633" t="s">
        <v>1286</v>
      </c>
      <c r="F258" s="634" t="s">
        <v>1463</v>
      </c>
      <c r="G258" s="633" t="s">
        <v>1104</v>
      </c>
      <c r="H258" s="633" t="s">
        <v>1395</v>
      </c>
      <c r="I258" s="633" t="s">
        <v>1396</v>
      </c>
      <c r="J258" s="633" t="s">
        <v>1397</v>
      </c>
      <c r="K258" s="633" t="s">
        <v>1398</v>
      </c>
      <c r="L258" s="635">
        <v>252.54120453477299</v>
      </c>
      <c r="M258" s="635">
        <v>1</v>
      </c>
      <c r="N258" s="636">
        <v>252.54120453477299</v>
      </c>
    </row>
    <row r="259" spans="1:14" ht="14.4" customHeight="1" x14ac:dyDescent="0.3">
      <c r="A259" s="631" t="s">
        <v>512</v>
      </c>
      <c r="B259" s="632" t="s">
        <v>1459</v>
      </c>
      <c r="C259" s="633" t="s">
        <v>517</v>
      </c>
      <c r="D259" s="634" t="s">
        <v>1460</v>
      </c>
      <c r="E259" s="633" t="s">
        <v>1286</v>
      </c>
      <c r="F259" s="634" t="s">
        <v>1463</v>
      </c>
      <c r="G259" s="633" t="s">
        <v>1104</v>
      </c>
      <c r="H259" s="633" t="s">
        <v>1399</v>
      </c>
      <c r="I259" s="633" t="s">
        <v>1400</v>
      </c>
      <c r="J259" s="633" t="s">
        <v>1401</v>
      </c>
      <c r="K259" s="633" t="s">
        <v>1379</v>
      </c>
      <c r="L259" s="635">
        <v>54.429714268215847</v>
      </c>
      <c r="M259" s="635">
        <v>8</v>
      </c>
      <c r="N259" s="636">
        <v>435.43771414572677</v>
      </c>
    </row>
    <row r="260" spans="1:14" ht="14.4" customHeight="1" x14ac:dyDescent="0.3">
      <c r="A260" s="631" t="s">
        <v>512</v>
      </c>
      <c r="B260" s="632" t="s">
        <v>1459</v>
      </c>
      <c r="C260" s="633" t="s">
        <v>517</v>
      </c>
      <c r="D260" s="634" t="s">
        <v>1460</v>
      </c>
      <c r="E260" s="633" t="s">
        <v>1286</v>
      </c>
      <c r="F260" s="634" t="s">
        <v>1463</v>
      </c>
      <c r="G260" s="633" t="s">
        <v>1104</v>
      </c>
      <c r="H260" s="633" t="s">
        <v>1402</v>
      </c>
      <c r="I260" s="633" t="s">
        <v>1403</v>
      </c>
      <c r="J260" s="633" t="s">
        <v>1370</v>
      </c>
      <c r="K260" s="633" t="s">
        <v>1404</v>
      </c>
      <c r="L260" s="635">
        <v>74</v>
      </c>
      <c r="M260" s="635">
        <v>2</v>
      </c>
      <c r="N260" s="636">
        <v>148</v>
      </c>
    </row>
    <row r="261" spans="1:14" ht="14.4" customHeight="1" x14ac:dyDescent="0.3">
      <c r="A261" s="631" t="s">
        <v>512</v>
      </c>
      <c r="B261" s="632" t="s">
        <v>1459</v>
      </c>
      <c r="C261" s="633" t="s">
        <v>517</v>
      </c>
      <c r="D261" s="634" t="s">
        <v>1460</v>
      </c>
      <c r="E261" s="633" t="s">
        <v>1286</v>
      </c>
      <c r="F261" s="634" t="s">
        <v>1463</v>
      </c>
      <c r="G261" s="633" t="s">
        <v>1104</v>
      </c>
      <c r="H261" s="633" t="s">
        <v>1405</v>
      </c>
      <c r="I261" s="633" t="s">
        <v>1406</v>
      </c>
      <c r="J261" s="633" t="s">
        <v>1407</v>
      </c>
      <c r="K261" s="633" t="s">
        <v>1408</v>
      </c>
      <c r="L261" s="635">
        <v>59.78951020352438</v>
      </c>
      <c r="M261" s="635">
        <v>16</v>
      </c>
      <c r="N261" s="636">
        <v>956.63216325639007</v>
      </c>
    </row>
    <row r="262" spans="1:14" ht="14.4" customHeight="1" x14ac:dyDescent="0.3">
      <c r="A262" s="631" t="s">
        <v>512</v>
      </c>
      <c r="B262" s="632" t="s">
        <v>1459</v>
      </c>
      <c r="C262" s="633" t="s">
        <v>517</v>
      </c>
      <c r="D262" s="634" t="s">
        <v>1460</v>
      </c>
      <c r="E262" s="633" t="s">
        <v>1286</v>
      </c>
      <c r="F262" s="634" t="s">
        <v>1463</v>
      </c>
      <c r="G262" s="633" t="s">
        <v>1104</v>
      </c>
      <c r="H262" s="633" t="s">
        <v>1409</v>
      </c>
      <c r="I262" s="633" t="s">
        <v>1410</v>
      </c>
      <c r="J262" s="633" t="s">
        <v>1411</v>
      </c>
      <c r="K262" s="633" t="s">
        <v>1412</v>
      </c>
      <c r="L262" s="635">
        <v>12566.385333333334</v>
      </c>
      <c r="M262" s="635">
        <v>6</v>
      </c>
      <c r="N262" s="636">
        <v>75398.312000000005</v>
      </c>
    </row>
    <row r="263" spans="1:14" ht="14.4" customHeight="1" x14ac:dyDescent="0.3">
      <c r="A263" s="631" t="s">
        <v>512</v>
      </c>
      <c r="B263" s="632" t="s">
        <v>1459</v>
      </c>
      <c r="C263" s="633" t="s">
        <v>517</v>
      </c>
      <c r="D263" s="634" t="s">
        <v>1460</v>
      </c>
      <c r="E263" s="633" t="s">
        <v>1286</v>
      </c>
      <c r="F263" s="634" t="s">
        <v>1463</v>
      </c>
      <c r="G263" s="633" t="s">
        <v>1104</v>
      </c>
      <c r="H263" s="633" t="s">
        <v>1413</v>
      </c>
      <c r="I263" s="633" t="s">
        <v>1413</v>
      </c>
      <c r="J263" s="633" t="s">
        <v>1414</v>
      </c>
      <c r="K263" s="633" t="s">
        <v>1415</v>
      </c>
      <c r="L263" s="635">
        <v>1706.9973799374179</v>
      </c>
      <c r="M263" s="635">
        <v>8</v>
      </c>
      <c r="N263" s="636">
        <v>13655.979039499343</v>
      </c>
    </row>
    <row r="264" spans="1:14" ht="14.4" customHeight="1" x14ac:dyDescent="0.3">
      <c r="A264" s="631" t="s">
        <v>512</v>
      </c>
      <c r="B264" s="632" t="s">
        <v>1459</v>
      </c>
      <c r="C264" s="633" t="s">
        <v>517</v>
      </c>
      <c r="D264" s="634" t="s">
        <v>1460</v>
      </c>
      <c r="E264" s="633" t="s">
        <v>1416</v>
      </c>
      <c r="F264" s="634" t="s">
        <v>1464</v>
      </c>
      <c r="G264" s="633" t="s">
        <v>539</v>
      </c>
      <c r="H264" s="633" t="s">
        <v>1417</v>
      </c>
      <c r="I264" s="633" t="s">
        <v>1418</v>
      </c>
      <c r="J264" s="633" t="s">
        <v>1419</v>
      </c>
      <c r="K264" s="633" t="s">
        <v>1420</v>
      </c>
      <c r="L264" s="635">
        <v>109.95</v>
      </c>
      <c r="M264" s="635">
        <v>3</v>
      </c>
      <c r="N264" s="636">
        <v>329.85</v>
      </c>
    </row>
    <row r="265" spans="1:14" ht="14.4" customHeight="1" x14ac:dyDescent="0.3">
      <c r="A265" s="631" t="s">
        <v>512</v>
      </c>
      <c r="B265" s="632" t="s">
        <v>1459</v>
      </c>
      <c r="C265" s="633" t="s">
        <v>517</v>
      </c>
      <c r="D265" s="634" t="s">
        <v>1460</v>
      </c>
      <c r="E265" s="633" t="s">
        <v>1416</v>
      </c>
      <c r="F265" s="634" t="s">
        <v>1464</v>
      </c>
      <c r="G265" s="633" t="s">
        <v>539</v>
      </c>
      <c r="H265" s="633" t="s">
        <v>1421</v>
      </c>
      <c r="I265" s="633" t="s">
        <v>1422</v>
      </c>
      <c r="J265" s="633" t="s">
        <v>1423</v>
      </c>
      <c r="K265" s="633" t="s">
        <v>1424</v>
      </c>
      <c r="L265" s="635">
        <v>92.835541571586901</v>
      </c>
      <c r="M265" s="635">
        <v>7</v>
      </c>
      <c r="N265" s="636">
        <v>649.84879100110834</v>
      </c>
    </row>
    <row r="266" spans="1:14" ht="14.4" customHeight="1" x14ac:dyDescent="0.3">
      <c r="A266" s="631" t="s">
        <v>512</v>
      </c>
      <c r="B266" s="632" t="s">
        <v>1459</v>
      </c>
      <c r="C266" s="633" t="s">
        <v>517</v>
      </c>
      <c r="D266" s="634" t="s">
        <v>1460</v>
      </c>
      <c r="E266" s="633" t="s">
        <v>1416</v>
      </c>
      <c r="F266" s="634" t="s">
        <v>1464</v>
      </c>
      <c r="G266" s="633" t="s">
        <v>539</v>
      </c>
      <c r="H266" s="633" t="s">
        <v>1425</v>
      </c>
      <c r="I266" s="633" t="s">
        <v>1426</v>
      </c>
      <c r="J266" s="633" t="s">
        <v>1427</v>
      </c>
      <c r="K266" s="633" t="s">
        <v>1428</v>
      </c>
      <c r="L266" s="635">
        <v>7691.7806793408499</v>
      </c>
      <c r="M266" s="635">
        <v>6</v>
      </c>
      <c r="N266" s="636">
        <v>46150.684076045101</v>
      </c>
    </row>
    <row r="267" spans="1:14" ht="14.4" customHeight="1" x14ac:dyDescent="0.3">
      <c r="A267" s="631" t="s">
        <v>512</v>
      </c>
      <c r="B267" s="632" t="s">
        <v>1459</v>
      </c>
      <c r="C267" s="633" t="s">
        <v>517</v>
      </c>
      <c r="D267" s="634" t="s">
        <v>1460</v>
      </c>
      <c r="E267" s="633" t="s">
        <v>1416</v>
      </c>
      <c r="F267" s="634" t="s">
        <v>1464</v>
      </c>
      <c r="G267" s="633" t="s">
        <v>539</v>
      </c>
      <c r="H267" s="633" t="s">
        <v>1429</v>
      </c>
      <c r="I267" s="633" t="s">
        <v>1430</v>
      </c>
      <c r="J267" s="633" t="s">
        <v>1431</v>
      </c>
      <c r="K267" s="633" t="s">
        <v>1432</v>
      </c>
      <c r="L267" s="635">
        <v>7690</v>
      </c>
      <c r="M267" s="635">
        <v>6</v>
      </c>
      <c r="N267" s="636">
        <v>46140</v>
      </c>
    </row>
    <row r="268" spans="1:14" ht="14.4" customHeight="1" x14ac:dyDescent="0.3">
      <c r="A268" s="631" t="s">
        <v>512</v>
      </c>
      <c r="B268" s="632" t="s">
        <v>1459</v>
      </c>
      <c r="C268" s="633" t="s">
        <v>517</v>
      </c>
      <c r="D268" s="634" t="s">
        <v>1460</v>
      </c>
      <c r="E268" s="633" t="s">
        <v>1416</v>
      </c>
      <c r="F268" s="634" t="s">
        <v>1464</v>
      </c>
      <c r="G268" s="633" t="s">
        <v>539</v>
      </c>
      <c r="H268" s="633" t="s">
        <v>1433</v>
      </c>
      <c r="I268" s="633" t="s">
        <v>1433</v>
      </c>
      <c r="J268" s="633" t="s">
        <v>1434</v>
      </c>
      <c r="K268" s="633" t="s">
        <v>1435</v>
      </c>
      <c r="L268" s="635">
        <v>9614.7218575555689</v>
      </c>
      <c r="M268" s="635">
        <v>10</v>
      </c>
      <c r="N268" s="636">
        <v>96147.218575555686</v>
      </c>
    </row>
    <row r="269" spans="1:14" ht="14.4" customHeight="1" x14ac:dyDescent="0.3">
      <c r="A269" s="631" t="s">
        <v>512</v>
      </c>
      <c r="B269" s="632" t="s">
        <v>1459</v>
      </c>
      <c r="C269" s="633" t="s">
        <v>517</v>
      </c>
      <c r="D269" s="634" t="s">
        <v>1460</v>
      </c>
      <c r="E269" s="633" t="s">
        <v>1416</v>
      </c>
      <c r="F269" s="634" t="s">
        <v>1464</v>
      </c>
      <c r="G269" s="633" t="s">
        <v>1104</v>
      </c>
      <c r="H269" s="633" t="s">
        <v>1436</v>
      </c>
      <c r="I269" s="633" t="s">
        <v>1437</v>
      </c>
      <c r="J269" s="633" t="s">
        <v>1438</v>
      </c>
      <c r="K269" s="633"/>
      <c r="L269" s="635">
        <v>47.986453225961164</v>
      </c>
      <c r="M269" s="635">
        <v>330</v>
      </c>
      <c r="N269" s="636">
        <v>15835.529564567183</v>
      </c>
    </row>
    <row r="270" spans="1:14" ht="14.4" customHeight="1" x14ac:dyDescent="0.3">
      <c r="A270" s="631" t="s">
        <v>512</v>
      </c>
      <c r="B270" s="632" t="s">
        <v>1459</v>
      </c>
      <c r="C270" s="633" t="s">
        <v>517</v>
      </c>
      <c r="D270" s="634" t="s">
        <v>1460</v>
      </c>
      <c r="E270" s="633" t="s">
        <v>1416</v>
      </c>
      <c r="F270" s="634" t="s">
        <v>1464</v>
      </c>
      <c r="G270" s="633" t="s">
        <v>1104</v>
      </c>
      <c r="H270" s="633" t="s">
        <v>1439</v>
      </c>
      <c r="I270" s="633" t="s">
        <v>1440</v>
      </c>
      <c r="J270" s="633" t="s">
        <v>1441</v>
      </c>
      <c r="K270" s="633" t="s">
        <v>1442</v>
      </c>
      <c r="L270" s="635">
        <v>2991.5534956189645</v>
      </c>
      <c r="M270" s="635">
        <v>12</v>
      </c>
      <c r="N270" s="636">
        <v>35898.641947427575</v>
      </c>
    </row>
    <row r="271" spans="1:14" ht="14.4" customHeight="1" x14ac:dyDescent="0.3">
      <c r="A271" s="631" t="s">
        <v>512</v>
      </c>
      <c r="B271" s="632" t="s">
        <v>1459</v>
      </c>
      <c r="C271" s="633" t="s">
        <v>517</v>
      </c>
      <c r="D271" s="634" t="s">
        <v>1460</v>
      </c>
      <c r="E271" s="633" t="s">
        <v>1416</v>
      </c>
      <c r="F271" s="634" t="s">
        <v>1464</v>
      </c>
      <c r="G271" s="633" t="s">
        <v>1104</v>
      </c>
      <c r="H271" s="633" t="s">
        <v>1443</v>
      </c>
      <c r="I271" s="633" t="s">
        <v>1444</v>
      </c>
      <c r="J271" s="633" t="s">
        <v>1445</v>
      </c>
      <c r="K271" s="633" t="s">
        <v>1446</v>
      </c>
      <c r="L271" s="635">
        <v>7840.9100000000008</v>
      </c>
      <c r="M271" s="635">
        <v>4</v>
      </c>
      <c r="N271" s="636">
        <v>31363.640000000003</v>
      </c>
    </row>
    <row r="272" spans="1:14" ht="14.4" customHeight="1" x14ac:dyDescent="0.3">
      <c r="A272" s="631" t="s">
        <v>512</v>
      </c>
      <c r="B272" s="632" t="s">
        <v>1459</v>
      </c>
      <c r="C272" s="633" t="s">
        <v>517</v>
      </c>
      <c r="D272" s="634" t="s">
        <v>1460</v>
      </c>
      <c r="E272" s="633" t="s">
        <v>1447</v>
      </c>
      <c r="F272" s="634" t="s">
        <v>1465</v>
      </c>
      <c r="G272" s="633"/>
      <c r="H272" s="633"/>
      <c r="I272" s="633" t="s">
        <v>1448</v>
      </c>
      <c r="J272" s="633" t="s">
        <v>1449</v>
      </c>
      <c r="K272" s="633"/>
      <c r="L272" s="635">
        <v>3842.04</v>
      </c>
      <c r="M272" s="635">
        <v>9</v>
      </c>
      <c r="N272" s="636">
        <v>34578.36</v>
      </c>
    </row>
    <row r="273" spans="1:14" ht="14.4" customHeight="1" x14ac:dyDescent="0.3">
      <c r="A273" s="631" t="s">
        <v>512</v>
      </c>
      <c r="B273" s="632" t="s">
        <v>1459</v>
      </c>
      <c r="C273" s="633" t="s">
        <v>517</v>
      </c>
      <c r="D273" s="634" t="s">
        <v>1460</v>
      </c>
      <c r="E273" s="633" t="s">
        <v>1447</v>
      </c>
      <c r="F273" s="634" t="s">
        <v>1465</v>
      </c>
      <c r="G273" s="633"/>
      <c r="H273" s="633"/>
      <c r="I273" s="633" t="s">
        <v>1450</v>
      </c>
      <c r="J273" s="633" t="s">
        <v>1451</v>
      </c>
      <c r="K273" s="633"/>
      <c r="L273" s="635">
        <v>1407.5400000000004</v>
      </c>
      <c r="M273" s="635">
        <v>26</v>
      </c>
      <c r="N273" s="636">
        <v>36596.040000000008</v>
      </c>
    </row>
    <row r="274" spans="1:14" ht="14.4" customHeight="1" x14ac:dyDescent="0.3">
      <c r="A274" s="631" t="s">
        <v>512</v>
      </c>
      <c r="B274" s="632" t="s">
        <v>1459</v>
      </c>
      <c r="C274" s="633" t="s">
        <v>517</v>
      </c>
      <c r="D274" s="634" t="s">
        <v>1460</v>
      </c>
      <c r="E274" s="633" t="s">
        <v>1447</v>
      </c>
      <c r="F274" s="634" t="s">
        <v>1465</v>
      </c>
      <c r="G274" s="633"/>
      <c r="H274" s="633"/>
      <c r="I274" s="633" t="s">
        <v>1452</v>
      </c>
      <c r="J274" s="633" t="s">
        <v>1453</v>
      </c>
      <c r="K274" s="633"/>
      <c r="L274" s="635">
        <v>1312.3799999999999</v>
      </c>
      <c r="M274" s="635">
        <v>10</v>
      </c>
      <c r="N274" s="636">
        <v>13123.8</v>
      </c>
    </row>
    <row r="275" spans="1:14" ht="14.4" customHeight="1" x14ac:dyDescent="0.3">
      <c r="A275" s="631" t="s">
        <v>512</v>
      </c>
      <c r="B275" s="632" t="s">
        <v>1459</v>
      </c>
      <c r="C275" s="633" t="s">
        <v>517</v>
      </c>
      <c r="D275" s="634" t="s">
        <v>1460</v>
      </c>
      <c r="E275" s="633" t="s">
        <v>1447</v>
      </c>
      <c r="F275" s="634" t="s">
        <v>1465</v>
      </c>
      <c r="G275" s="633"/>
      <c r="H275" s="633"/>
      <c r="I275" s="633" t="s">
        <v>1454</v>
      </c>
      <c r="J275" s="633" t="s">
        <v>1455</v>
      </c>
      <c r="K275" s="633"/>
      <c r="L275" s="635">
        <v>4304.45</v>
      </c>
      <c r="M275" s="635">
        <v>4</v>
      </c>
      <c r="N275" s="636">
        <v>17217.8</v>
      </c>
    </row>
    <row r="276" spans="1:14" ht="14.4" customHeight="1" thickBot="1" x14ac:dyDescent="0.35">
      <c r="A276" s="637" t="s">
        <v>512</v>
      </c>
      <c r="B276" s="638" t="s">
        <v>1459</v>
      </c>
      <c r="C276" s="639" t="s">
        <v>517</v>
      </c>
      <c r="D276" s="640" t="s">
        <v>1460</v>
      </c>
      <c r="E276" s="639" t="s">
        <v>1447</v>
      </c>
      <c r="F276" s="640" t="s">
        <v>1465</v>
      </c>
      <c r="G276" s="639"/>
      <c r="H276" s="639"/>
      <c r="I276" s="639" t="s">
        <v>1456</v>
      </c>
      <c r="J276" s="639" t="s">
        <v>1457</v>
      </c>
      <c r="K276" s="639" t="s">
        <v>1458</v>
      </c>
      <c r="L276" s="641">
        <v>4374.6000000000004</v>
      </c>
      <c r="M276" s="641">
        <v>1</v>
      </c>
      <c r="N276" s="642">
        <v>4374.6000000000004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47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7" customWidth="1"/>
    <col min="2" max="2" width="10" style="340" customWidth="1"/>
    <col min="3" max="3" width="5.5546875" style="343" customWidth="1"/>
    <col min="4" max="4" width="10" style="340" customWidth="1"/>
    <col min="5" max="5" width="5.5546875" style="343" customWidth="1"/>
    <col min="6" max="6" width="10" style="340" customWidth="1"/>
    <col min="7" max="16384" width="8.88671875" style="257"/>
  </cols>
  <sheetData>
    <row r="1" spans="1:6" ht="37.200000000000003" customHeight="1" thickBot="1" x14ac:dyDescent="0.4">
      <c r="A1" s="495" t="s">
        <v>209</v>
      </c>
      <c r="B1" s="496"/>
      <c r="C1" s="496"/>
      <c r="D1" s="496"/>
      <c r="E1" s="496"/>
      <c r="F1" s="496"/>
    </row>
    <row r="2" spans="1:6" ht="14.4" customHeight="1" thickBot="1" x14ac:dyDescent="0.35">
      <c r="A2" s="386" t="s">
        <v>321</v>
      </c>
      <c r="B2" s="67"/>
      <c r="C2" s="68"/>
      <c r="D2" s="69"/>
      <c r="E2" s="68"/>
      <c r="F2" s="69"/>
    </row>
    <row r="3" spans="1:6" ht="14.4" customHeight="1" thickBot="1" x14ac:dyDescent="0.35">
      <c r="A3" s="212"/>
      <c r="B3" s="497" t="s">
        <v>162</v>
      </c>
      <c r="C3" s="498"/>
      <c r="D3" s="499" t="s">
        <v>161</v>
      </c>
      <c r="E3" s="498"/>
      <c r="F3" s="105" t="s">
        <v>3</v>
      </c>
    </row>
    <row r="4" spans="1:6" ht="14.4" customHeight="1" thickBot="1" x14ac:dyDescent="0.35">
      <c r="A4" s="643" t="s">
        <v>186</v>
      </c>
      <c r="B4" s="644" t="s">
        <v>14</v>
      </c>
      <c r="C4" s="645" t="s">
        <v>2</v>
      </c>
      <c r="D4" s="644" t="s">
        <v>14</v>
      </c>
      <c r="E4" s="645" t="s">
        <v>2</v>
      </c>
      <c r="F4" s="646" t="s">
        <v>14</v>
      </c>
    </row>
    <row r="5" spans="1:6" ht="14.4" customHeight="1" thickBot="1" x14ac:dyDescent="0.35">
      <c r="A5" s="655" t="s">
        <v>1466</v>
      </c>
      <c r="B5" s="623">
        <v>16965.004196763184</v>
      </c>
      <c r="C5" s="647">
        <v>3.8536745398514691E-2</v>
      </c>
      <c r="D5" s="623">
        <v>423264.28920425824</v>
      </c>
      <c r="E5" s="647">
        <v>0.96146325460148541</v>
      </c>
      <c r="F5" s="624">
        <v>440229.29340102139</v>
      </c>
    </row>
    <row r="6" spans="1:6" ht="14.4" customHeight="1" thickBot="1" x14ac:dyDescent="0.35">
      <c r="A6" s="651" t="s">
        <v>3</v>
      </c>
      <c r="B6" s="652">
        <v>16965.004196763184</v>
      </c>
      <c r="C6" s="653">
        <v>3.8536745398514691E-2</v>
      </c>
      <c r="D6" s="652">
        <v>423264.28920425824</v>
      </c>
      <c r="E6" s="653">
        <v>0.96146325460148541</v>
      </c>
      <c r="F6" s="654">
        <v>440229.29340102139</v>
      </c>
    </row>
    <row r="7" spans="1:6" ht="14.4" customHeight="1" thickBot="1" x14ac:dyDescent="0.35"/>
    <row r="8" spans="1:6" ht="14.4" customHeight="1" x14ac:dyDescent="0.3">
      <c r="A8" s="661" t="s">
        <v>1467</v>
      </c>
      <c r="B8" s="629">
        <v>9091.8400000000038</v>
      </c>
      <c r="C8" s="648">
        <v>0.9445331554430062</v>
      </c>
      <c r="D8" s="629">
        <v>533.90997776095401</v>
      </c>
      <c r="E8" s="648">
        <v>5.5466844556993848E-2</v>
      </c>
      <c r="F8" s="630">
        <v>9625.7499777609573</v>
      </c>
    </row>
    <row r="9" spans="1:6" ht="14.4" customHeight="1" x14ac:dyDescent="0.3">
      <c r="A9" s="662" t="s">
        <v>1468</v>
      </c>
      <c r="B9" s="635">
        <v>5214.5934947252754</v>
      </c>
      <c r="C9" s="657">
        <v>1</v>
      </c>
      <c r="D9" s="635"/>
      <c r="E9" s="657">
        <v>0</v>
      </c>
      <c r="F9" s="636">
        <v>5214.5934947252754</v>
      </c>
    </row>
    <row r="10" spans="1:6" ht="14.4" customHeight="1" x14ac:dyDescent="0.3">
      <c r="A10" s="662" t="s">
        <v>1469</v>
      </c>
      <c r="B10" s="635">
        <v>1003.5699999999999</v>
      </c>
      <c r="C10" s="657">
        <v>2.3019021308528093E-2</v>
      </c>
      <c r="D10" s="635">
        <v>42593.852607545748</v>
      </c>
      <c r="E10" s="657">
        <v>0.97698097869147194</v>
      </c>
      <c r="F10" s="636">
        <v>43597.422607545748</v>
      </c>
    </row>
    <row r="11" spans="1:6" ht="14.4" customHeight="1" x14ac:dyDescent="0.3">
      <c r="A11" s="662" t="s">
        <v>1470</v>
      </c>
      <c r="B11" s="635">
        <v>900.00070203790347</v>
      </c>
      <c r="C11" s="657">
        <v>4.21106148403224E-2</v>
      </c>
      <c r="D11" s="635">
        <v>20472.299499480905</v>
      </c>
      <c r="E11" s="657">
        <v>0.95788938515967748</v>
      </c>
      <c r="F11" s="636">
        <v>21372.30020151881</v>
      </c>
    </row>
    <row r="12" spans="1:6" ht="14.4" customHeight="1" x14ac:dyDescent="0.3">
      <c r="A12" s="662" t="s">
        <v>1471</v>
      </c>
      <c r="B12" s="635">
        <v>705.19999999999993</v>
      </c>
      <c r="C12" s="657">
        <v>1</v>
      </c>
      <c r="D12" s="635"/>
      <c r="E12" s="657">
        <v>0</v>
      </c>
      <c r="F12" s="636">
        <v>705.19999999999993</v>
      </c>
    </row>
    <row r="13" spans="1:6" ht="14.4" customHeight="1" x14ac:dyDescent="0.3">
      <c r="A13" s="662" t="s">
        <v>1472</v>
      </c>
      <c r="B13" s="635">
        <v>49.8</v>
      </c>
      <c r="C13" s="657">
        <v>0.18344568460603383</v>
      </c>
      <c r="D13" s="635">
        <v>221.67</v>
      </c>
      <c r="E13" s="657">
        <v>0.81655431539396628</v>
      </c>
      <c r="F13" s="636">
        <v>271.46999999999997</v>
      </c>
    </row>
    <row r="14" spans="1:6" ht="14.4" customHeight="1" x14ac:dyDescent="0.3">
      <c r="A14" s="662" t="s">
        <v>1473</v>
      </c>
      <c r="B14" s="635"/>
      <c r="C14" s="657">
        <v>0</v>
      </c>
      <c r="D14" s="635">
        <v>27599.999999999996</v>
      </c>
      <c r="E14" s="657">
        <v>1</v>
      </c>
      <c r="F14" s="636">
        <v>27599.999999999996</v>
      </c>
    </row>
    <row r="15" spans="1:6" ht="14.4" customHeight="1" x14ac:dyDescent="0.3">
      <c r="A15" s="662" t="s">
        <v>1474</v>
      </c>
      <c r="B15" s="635"/>
      <c r="C15" s="657">
        <v>0</v>
      </c>
      <c r="D15" s="635">
        <v>11347.767846031536</v>
      </c>
      <c r="E15" s="657">
        <v>1</v>
      </c>
      <c r="F15" s="636">
        <v>11347.767846031536</v>
      </c>
    </row>
    <row r="16" spans="1:6" ht="14.4" customHeight="1" x14ac:dyDescent="0.3">
      <c r="A16" s="662" t="s">
        <v>1475</v>
      </c>
      <c r="B16" s="635"/>
      <c r="C16" s="657">
        <v>0</v>
      </c>
      <c r="D16" s="635">
        <v>15835.529564567181</v>
      </c>
      <c r="E16" s="657">
        <v>1</v>
      </c>
      <c r="F16" s="636">
        <v>15835.529564567181</v>
      </c>
    </row>
    <row r="17" spans="1:6" ht="14.4" customHeight="1" x14ac:dyDescent="0.3">
      <c r="A17" s="662" t="s">
        <v>1476</v>
      </c>
      <c r="B17" s="635"/>
      <c r="C17" s="657">
        <v>0</v>
      </c>
      <c r="D17" s="635">
        <v>79.83</v>
      </c>
      <c r="E17" s="657">
        <v>1</v>
      </c>
      <c r="F17" s="636">
        <v>79.83</v>
      </c>
    </row>
    <row r="18" spans="1:6" ht="14.4" customHeight="1" x14ac:dyDescent="0.3">
      <c r="A18" s="662" t="s">
        <v>1477</v>
      </c>
      <c r="B18" s="635"/>
      <c r="C18" s="657">
        <v>0</v>
      </c>
      <c r="D18" s="635">
        <v>162.36000000000004</v>
      </c>
      <c r="E18" s="657">
        <v>1</v>
      </c>
      <c r="F18" s="636">
        <v>162.36000000000004</v>
      </c>
    </row>
    <row r="19" spans="1:6" ht="14.4" customHeight="1" x14ac:dyDescent="0.3">
      <c r="A19" s="662" t="s">
        <v>1478</v>
      </c>
      <c r="B19" s="635"/>
      <c r="C19" s="657">
        <v>0</v>
      </c>
      <c r="D19" s="635">
        <v>215.66000000000003</v>
      </c>
      <c r="E19" s="657">
        <v>1</v>
      </c>
      <c r="F19" s="636">
        <v>215.66000000000003</v>
      </c>
    </row>
    <row r="20" spans="1:6" ht="14.4" customHeight="1" x14ac:dyDescent="0.3">
      <c r="A20" s="662" t="s">
        <v>1479</v>
      </c>
      <c r="B20" s="635"/>
      <c r="C20" s="657">
        <v>0</v>
      </c>
      <c r="D20" s="635">
        <v>4920.8675959050415</v>
      </c>
      <c r="E20" s="657">
        <v>1</v>
      </c>
      <c r="F20" s="636">
        <v>4920.8675959050415</v>
      </c>
    </row>
    <row r="21" spans="1:6" ht="14.4" customHeight="1" x14ac:dyDescent="0.3">
      <c r="A21" s="662" t="s">
        <v>1480</v>
      </c>
      <c r="B21" s="635"/>
      <c r="C21" s="657">
        <v>0</v>
      </c>
      <c r="D21" s="635">
        <v>159.87965826345686</v>
      </c>
      <c r="E21" s="657">
        <v>1</v>
      </c>
      <c r="F21" s="636">
        <v>159.87965826345686</v>
      </c>
    </row>
    <row r="22" spans="1:6" ht="14.4" customHeight="1" x14ac:dyDescent="0.3">
      <c r="A22" s="662" t="s">
        <v>1481</v>
      </c>
      <c r="B22" s="635"/>
      <c r="C22" s="657">
        <v>0</v>
      </c>
      <c r="D22" s="635">
        <v>31363.640000000003</v>
      </c>
      <c r="E22" s="657">
        <v>1</v>
      </c>
      <c r="F22" s="636">
        <v>31363.640000000003</v>
      </c>
    </row>
    <row r="23" spans="1:6" ht="14.4" customHeight="1" x14ac:dyDescent="0.3">
      <c r="A23" s="662" t="s">
        <v>1482</v>
      </c>
      <c r="B23" s="635"/>
      <c r="C23" s="657">
        <v>0</v>
      </c>
      <c r="D23" s="635">
        <v>140.94</v>
      </c>
      <c r="E23" s="657">
        <v>1</v>
      </c>
      <c r="F23" s="636">
        <v>140.94</v>
      </c>
    </row>
    <row r="24" spans="1:6" ht="14.4" customHeight="1" x14ac:dyDescent="0.3">
      <c r="A24" s="662" t="s">
        <v>1483</v>
      </c>
      <c r="B24" s="635"/>
      <c r="C24" s="657">
        <v>0</v>
      </c>
      <c r="D24" s="635">
        <v>28.98</v>
      </c>
      <c r="E24" s="657">
        <v>1</v>
      </c>
      <c r="F24" s="636">
        <v>28.98</v>
      </c>
    </row>
    <row r="25" spans="1:6" ht="14.4" customHeight="1" x14ac:dyDescent="0.3">
      <c r="A25" s="662" t="s">
        <v>1484</v>
      </c>
      <c r="B25" s="635"/>
      <c r="C25" s="657">
        <v>0</v>
      </c>
      <c r="D25" s="635">
        <v>15993.64</v>
      </c>
      <c r="E25" s="657">
        <v>1</v>
      </c>
      <c r="F25" s="636">
        <v>15993.64</v>
      </c>
    </row>
    <row r="26" spans="1:6" ht="14.4" customHeight="1" x14ac:dyDescent="0.3">
      <c r="A26" s="662" t="s">
        <v>1485</v>
      </c>
      <c r="B26" s="635"/>
      <c r="C26" s="657">
        <v>0</v>
      </c>
      <c r="D26" s="635">
        <v>411.0200000000001</v>
      </c>
      <c r="E26" s="657">
        <v>1</v>
      </c>
      <c r="F26" s="636">
        <v>411.0200000000001</v>
      </c>
    </row>
    <row r="27" spans="1:6" ht="14.4" customHeight="1" x14ac:dyDescent="0.3">
      <c r="A27" s="662" t="s">
        <v>1486</v>
      </c>
      <c r="B27" s="635"/>
      <c r="C27" s="657">
        <v>0</v>
      </c>
      <c r="D27" s="635">
        <v>145.32</v>
      </c>
      <c r="E27" s="657">
        <v>1</v>
      </c>
      <c r="F27" s="636">
        <v>145.32</v>
      </c>
    </row>
    <row r="28" spans="1:6" ht="14.4" customHeight="1" x14ac:dyDescent="0.3">
      <c r="A28" s="662" t="s">
        <v>1487</v>
      </c>
      <c r="B28" s="635"/>
      <c r="C28" s="657">
        <v>0</v>
      </c>
      <c r="D28" s="635">
        <v>9344.4581819151317</v>
      </c>
      <c r="E28" s="657">
        <v>1</v>
      </c>
      <c r="F28" s="636">
        <v>9344.4581819151317</v>
      </c>
    </row>
    <row r="29" spans="1:6" ht="14.4" customHeight="1" x14ac:dyDescent="0.3">
      <c r="A29" s="662" t="s">
        <v>1488</v>
      </c>
      <c r="B29" s="635"/>
      <c r="C29" s="657">
        <v>0</v>
      </c>
      <c r="D29" s="635">
        <v>435.43771414572677</v>
      </c>
      <c r="E29" s="657">
        <v>1</v>
      </c>
      <c r="F29" s="636">
        <v>435.43771414572677</v>
      </c>
    </row>
    <row r="30" spans="1:6" ht="14.4" customHeight="1" x14ac:dyDescent="0.3">
      <c r="A30" s="662" t="s">
        <v>1489</v>
      </c>
      <c r="B30" s="635"/>
      <c r="C30" s="657">
        <v>0</v>
      </c>
      <c r="D30" s="635">
        <v>14940.006219067665</v>
      </c>
      <c r="E30" s="657">
        <v>1</v>
      </c>
      <c r="F30" s="636">
        <v>14940.006219067665</v>
      </c>
    </row>
    <row r="31" spans="1:6" ht="14.4" customHeight="1" x14ac:dyDescent="0.3">
      <c r="A31" s="662" t="s">
        <v>1490</v>
      </c>
      <c r="B31" s="635"/>
      <c r="C31" s="657">
        <v>0</v>
      </c>
      <c r="D31" s="635">
        <v>9490.7999999999993</v>
      </c>
      <c r="E31" s="657">
        <v>1</v>
      </c>
      <c r="F31" s="636">
        <v>9490.7999999999993</v>
      </c>
    </row>
    <row r="32" spans="1:6" ht="14.4" customHeight="1" x14ac:dyDescent="0.3">
      <c r="A32" s="662" t="s">
        <v>1491</v>
      </c>
      <c r="B32" s="635"/>
      <c r="C32" s="657">
        <v>0</v>
      </c>
      <c r="D32" s="635">
        <v>75398.312000000005</v>
      </c>
      <c r="E32" s="657">
        <v>1</v>
      </c>
      <c r="F32" s="636">
        <v>75398.312000000005</v>
      </c>
    </row>
    <row r="33" spans="1:6" ht="14.4" customHeight="1" x14ac:dyDescent="0.3">
      <c r="A33" s="662" t="s">
        <v>1492</v>
      </c>
      <c r="B33" s="635"/>
      <c r="C33" s="657">
        <v>0</v>
      </c>
      <c r="D33" s="635">
        <v>35898.641947427575</v>
      </c>
      <c r="E33" s="657">
        <v>1</v>
      </c>
      <c r="F33" s="636">
        <v>35898.641947427575</v>
      </c>
    </row>
    <row r="34" spans="1:6" ht="14.4" customHeight="1" x14ac:dyDescent="0.3">
      <c r="A34" s="662" t="s">
        <v>1493</v>
      </c>
      <c r="B34" s="635"/>
      <c r="C34" s="657">
        <v>0</v>
      </c>
      <c r="D34" s="635">
        <v>10268.807448834032</v>
      </c>
      <c r="E34" s="657">
        <v>1</v>
      </c>
      <c r="F34" s="636">
        <v>10268.807448834032</v>
      </c>
    </row>
    <row r="35" spans="1:6" ht="14.4" customHeight="1" x14ac:dyDescent="0.3">
      <c r="A35" s="662" t="s">
        <v>1494</v>
      </c>
      <c r="B35" s="635"/>
      <c r="C35" s="657">
        <v>0</v>
      </c>
      <c r="D35" s="635">
        <v>419.36992892396074</v>
      </c>
      <c r="E35" s="657">
        <v>1</v>
      </c>
      <c r="F35" s="636">
        <v>419.36992892396074</v>
      </c>
    </row>
    <row r="36" spans="1:6" ht="14.4" customHeight="1" x14ac:dyDescent="0.3">
      <c r="A36" s="662" t="s">
        <v>1495</v>
      </c>
      <c r="B36" s="635"/>
      <c r="C36" s="657">
        <v>0</v>
      </c>
      <c r="D36" s="635">
        <v>9491.3136326959102</v>
      </c>
      <c r="E36" s="657">
        <v>1</v>
      </c>
      <c r="F36" s="636">
        <v>9491.3136326959102</v>
      </c>
    </row>
    <row r="37" spans="1:6" ht="14.4" customHeight="1" x14ac:dyDescent="0.3">
      <c r="A37" s="662" t="s">
        <v>1496</v>
      </c>
      <c r="B37" s="635"/>
      <c r="C37" s="657">
        <v>0</v>
      </c>
      <c r="D37" s="635">
        <v>337.15</v>
      </c>
      <c r="E37" s="657">
        <v>1</v>
      </c>
      <c r="F37" s="636">
        <v>337.15</v>
      </c>
    </row>
    <row r="38" spans="1:6" ht="14.4" customHeight="1" x14ac:dyDescent="0.3">
      <c r="A38" s="662" t="s">
        <v>1497</v>
      </c>
      <c r="B38" s="635"/>
      <c r="C38" s="657">
        <v>0</v>
      </c>
      <c r="D38" s="635">
        <v>1966.5025042973348</v>
      </c>
      <c r="E38" s="657">
        <v>1</v>
      </c>
      <c r="F38" s="636">
        <v>1966.5025042973348</v>
      </c>
    </row>
    <row r="39" spans="1:6" ht="14.4" customHeight="1" x14ac:dyDescent="0.3">
      <c r="A39" s="662" t="s">
        <v>1498</v>
      </c>
      <c r="B39" s="635"/>
      <c r="C39" s="657">
        <v>0</v>
      </c>
      <c r="D39" s="635">
        <v>3892.9013778723047</v>
      </c>
      <c r="E39" s="657">
        <v>1</v>
      </c>
      <c r="F39" s="636">
        <v>3892.9013778723047</v>
      </c>
    </row>
    <row r="40" spans="1:6" ht="14.4" customHeight="1" x14ac:dyDescent="0.3">
      <c r="A40" s="662" t="s">
        <v>1499</v>
      </c>
      <c r="B40" s="635"/>
      <c r="C40" s="657">
        <v>0</v>
      </c>
      <c r="D40" s="635">
        <v>4212.3295538407483</v>
      </c>
      <c r="E40" s="657">
        <v>1</v>
      </c>
      <c r="F40" s="636">
        <v>4212.3295538407483</v>
      </c>
    </row>
    <row r="41" spans="1:6" ht="14.4" customHeight="1" x14ac:dyDescent="0.3">
      <c r="A41" s="662" t="s">
        <v>1500</v>
      </c>
      <c r="B41" s="635"/>
      <c r="C41" s="657">
        <v>0</v>
      </c>
      <c r="D41" s="635">
        <v>684.17999999999984</v>
      </c>
      <c r="E41" s="657">
        <v>1</v>
      </c>
      <c r="F41" s="636">
        <v>684.17999999999984</v>
      </c>
    </row>
    <row r="42" spans="1:6" ht="14.4" customHeight="1" x14ac:dyDescent="0.3">
      <c r="A42" s="662" t="s">
        <v>1501</v>
      </c>
      <c r="B42" s="635"/>
      <c r="C42" s="657">
        <v>0</v>
      </c>
      <c r="D42" s="635">
        <v>46826.022906183527</v>
      </c>
      <c r="E42" s="657">
        <v>1</v>
      </c>
      <c r="F42" s="636">
        <v>46826.022906183527</v>
      </c>
    </row>
    <row r="43" spans="1:6" ht="14.4" customHeight="1" x14ac:dyDescent="0.3">
      <c r="A43" s="662" t="s">
        <v>1502</v>
      </c>
      <c r="B43" s="635"/>
      <c r="C43" s="657">
        <v>0</v>
      </c>
      <c r="D43" s="635">
        <v>89.25</v>
      </c>
      <c r="E43" s="657">
        <v>1</v>
      </c>
      <c r="F43" s="636">
        <v>89.25</v>
      </c>
    </row>
    <row r="44" spans="1:6" ht="14.4" customHeight="1" x14ac:dyDescent="0.3">
      <c r="A44" s="662" t="s">
        <v>1503</v>
      </c>
      <c r="B44" s="635"/>
      <c r="C44" s="657">
        <v>0</v>
      </c>
      <c r="D44" s="635">
        <v>13655.979039499343</v>
      </c>
      <c r="E44" s="657">
        <v>1</v>
      </c>
      <c r="F44" s="636">
        <v>13655.979039499343</v>
      </c>
    </row>
    <row r="45" spans="1:6" ht="14.4" customHeight="1" x14ac:dyDescent="0.3">
      <c r="A45" s="662" t="s">
        <v>1504</v>
      </c>
      <c r="B45" s="635"/>
      <c r="C45" s="657">
        <v>0</v>
      </c>
      <c r="D45" s="635">
        <v>3207.86</v>
      </c>
      <c r="E45" s="657">
        <v>1</v>
      </c>
      <c r="F45" s="636">
        <v>3207.86</v>
      </c>
    </row>
    <row r="46" spans="1:6" ht="14.4" customHeight="1" thickBot="1" x14ac:dyDescent="0.35">
      <c r="A46" s="663" t="s">
        <v>1505</v>
      </c>
      <c r="B46" s="658"/>
      <c r="C46" s="659">
        <v>0</v>
      </c>
      <c r="D46" s="658">
        <v>10477.800000000001</v>
      </c>
      <c r="E46" s="659">
        <v>1</v>
      </c>
      <c r="F46" s="660">
        <v>10477.800000000001</v>
      </c>
    </row>
    <row r="47" spans="1:6" ht="14.4" customHeight="1" thickBot="1" x14ac:dyDescent="0.35">
      <c r="A47" s="651" t="s">
        <v>3</v>
      </c>
      <c r="B47" s="652">
        <v>16965.004196763184</v>
      </c>
      <c r="C47" s="653">
        <v>3.8536745398514698E-2</v>
      </c>
      <c r="D47" s="652">
        <v>423264.28920425812</v>
      </c>
      <c r="E47" s="653">
        <v>0.96146325460148541</v>
      </c>
      <c r="F47" s="654">
        <v>440229.29340102128</v>
      </c>
    </row>
  </sheetData>
  <mergeCells count="3">
    <mergeCell ref="A1:F1"/>
    <mergeCell ref="B3:C3"/>
    <mergeCell ref="D3:E3"/>
  </mergeCells>
  <conditionalFormatting sqref="C5:C1048576">
    <cfRule type="cellIs" dxfId="5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29</vt:i4>
      </vt:variant>
      <vt:variant>
        <vt:lpstr>Pojmenované oblasti</vt:lpstr>
      </vt:variant>
      <vt:variant>
        <vt:i4>3</vt:i4>
      </vt:variant>
    </vt:vector>
  </HeadingPairs>
  <TitlesOfParts>
    <vt:vector size="3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2014-04-11T12:47:33Z</cp:lastPrinted>
  <dcterms:created xsi:type="dcterms:W3CDTF">2013-04-17T20:15:29Z</dcterms:created>
  <dcterms:modified xsi:type="dcterms:W3CDTF">2014-04-25T05:47:27Z</dcterms:modified>
</cp:coreProperties>
</file>