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20" r:id="rId11"/>
    <sheet name="MŽ Detail" sheetId="403" r:id="rId12"/>
    <sheet name="Osobní náklady" sheetId="419" r:id="rId13"/>
    <sheet name="ON Data" sheetId="418" state="hidden" r:id="rId14"/>
    <sheet name="ZV Vykáz.-H" sheetId="410" r:id="rId15"/>
    <sheet name="ZV Vykáz.-H Detail" sheetId="377" r:id="rId16"/>
    <sheet name="CaseMix" sheetId="370" r:id="rId17"/>
    <sheet name="ALOS" sheetId="374" r:id="rId18"/>
    <sheet name="Total" sheetId="371" r:id="rId19"/>
    <sheet name="ZV Vyžád." sheetId="342" r:id="rId20"/>
    <sheet name="ZV Vyžád. Detail" sheetId="343" r:id="rId21"/>
    <sheet name="OD TISS" sheetId="372" r:id="rId22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21" hidden="1">'OD TISS'!$A$5:$N$5</definedName>
    <definedName name="_xlnm._FilterDatabase" localSheetId="18" hidden="1">Total!$A$4:$W$4</definedName>
    <definedName name="_xlnm._FilterDatabase" localSheetId="15" hidden="1">'ZV Vykáz.-H Detail'!$A$5:$Q$5</definedName>
    <definedName name="_xlnm._FilterDatabase" localSheetId="19" hidden="1">'ZV Vyžád.'!$A$5:$M$5</definedName>
    <definedName name="_xlnm._FilterDatabase" localSheetId="20" hidden="1">'ZV Vyžád. Detail'!$A$5:$Q$5</definedName>
    <definedName name="doměsíce">'HI Graf'!$C$11</definedName>
    <definedName name="_xlnm.Print_Area" localSheetId="17">ALOS!$A$1:$M$45</definedName>
    <definedName name="_xlnm.Print_Area" localSheetId="16">CaseMix!$A$1:$M$39</definedName>
  </definedNames>
  <calcPr calcId="145621"/>
</workbook>
</file>

<file path=xl/calcChain.xml><?xml version="1.0" encoding="utf-8"?>
<calcChain xmlns="http://schemas.openxmlformats.org/spreadsheetml/2006/main">
  <c r="U54" i="371" l="1"/>
  <c r="T54" i="371"/>
  <c r="V54" i="371" s="1"/>
  <c r="S54" i="371"/>
  <c r="R54" i="371"/>
  <c r="Q54" i="371"/>
  <c r="T53" i="371"/>
  <c r="V53" i="371" s="1"/>
  <c r="S53" i="371"/>
  <c r="R53" i="371"/>
  <c r="Q53" i="371"/>
  <c r="U52" i="371"/>
  <c r="T52" i="371"/>
  <c r="V52" i="371" s="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U45" i="371" s="1"/>
  <c r="S45" i="371"/>
  <c r="V45" i="371" s="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T41" i="371"/>
  <c r="U41" i="371" s="1"/>
  <c r="S41" i="371"/>
  <c r="V41" i="371" s="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U38" i="371"/>
  <c r="T38" i="371"/>
  <c r="V38" i="371" s="1"/>
  <c r="S38" i="371"/>
  <c r="R38" i="371"/>
  <c r="Q38" i="371"/>
  <c r="V37" i="371"/>
  <c r="U37" i="371"/>
  <c r="T37" i="371"/>
  <c r="S37" i="371"/>
  <c r="R37" i="371"/>
  <c r="Q37" i="371"/>
  <c r="U36" i="371"/>
  <c r="T36" i="371"/>
  <c r="V36" i="371" s="1"/>
  <c r="S36" i="371"/>
  <c r="R36" i="371"/>
  <c r="Q36" i="371"/>
  <c r="T35" i="371"/>
  <c r="S35" i="371"/>
  <c r="V35" i="371" s="1"/>
  <c r="R35" i="371"/>
  <c r="Q35" i="371"/>
  <c r="V34" i="371"/>
  <c r="U34" i="371"/>
  <c r="T34" i="371"/>
  <c r="S34" i="371"/>
  <c r="R34" i="371"/>
  <c r="Q34" i="371"/>
  <c r="T33" i="371"/>
  <c r="S33" i="371"/>
  <c r="V33" i="371" s="1"/>
  <c r="R33" i="371"/>
  <c r="Q33" i="371"/>
  <c r="U32" i="371"/>
  <c r="T32" i="371"/>
  <c r="V32" i="371" s="1"/>
  <c r="S32" i="371"/>
  <c r="R32" i="371"/>
  <c r="Q32" i="371"/>
  <c r="V31" i="371"/>
  <c r="U31" i="371"/>
  <c r="T31" i="371"/>
  <c r="S31" i="371"/>
  <c r="R31" i="371"/>
  <c r="Q31" i="371"/>
  <c r="U30" i="371"/>
  <c r="T30" i="371"/>
  <c r="V30" i="371" s="1"/>
  <c r="S30" i="371"/>
  <c r="R30" i="371"/>
  <c r="Q30" i="371"/>
  <c r="V29" i="371"/>
  <c r="U29" i="371"/>
  <c r="T29" i="371"/>
  <c r="S29" i="371"/>
  <c r="R29" i="371"/>
  <c r="Q29" i="371"/>
  <c r="U28" i="371"/>
  <c r="T28" i="371"/>
  <c r="V28" i="371" s="1"/>
  <c r="S28" i="371"/>
  <c r="R28" i="371"/>
  <c r="Q28" i="371"/>
  <c r="V27" i="371"/>
  <c r="U27" i="371"/>
  <c r="T27" i="371"/>
  <c r="S27" i="371"/>
  <c r="R27" i="371"/>
  <c r="Q27" i="371"/>
  <c r="U26" i="371"/>
  <c r="T26" i="371"/>
  <c r="V26" i="371" s="1"/>
  <c r="S26" i="371"/>
  <c r="R26" i="371"/>
  <c r="Q26" i="371"/>
  <c r="T25" i="371"/>
  <c r="S25" i="371"/>
  <c r="V25" i="371" s="1"/>
  <c r="R25" i="371"/>
  <c r="Q25" i="371"/>
  <c r="V24" i="371"/>
  <c r="U24" i="371"/>
  <c r="T24" i="371"/>
  <c r="S24" i="371"/>
  <c r="R24" i="371"/>
  <c r="Q24" i="371"/>
  <c r="T23" i="371"/>
  <c r="S23" i="371"/>
  <c r="V23" i="371" s="1"/>
  <c r="R23" i="371"/>
  <c r="Q23" i="371"/>
  <c r="U22" i="371"/>
  <c r="T22" i="371"/>
  <c r="V22" i="371" s="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V19" i="371"/>
  <c r="U19" i="371"/>
  <c r="T19" i="371"/>
  <c r="S19" i="371"/>
  <c r="R19" i="371"/>
  <c r="Q19" i="371"/>
  <c r="U18" i="371"/>
  <c r="T18" i="371"/>
  <c r="V18" i="371" s="1"/>
  <c r="S18" i="371"/>
  <c r="R18" i="371"/>
  <c r="Q18" i="371"/>
  <c r="T17" i="371"/>
  <c r="S17" i="371"/>
  <c r="V17" i="371" s="1"/>
  <c r="R17" i="371"/>
  <c r="Q17" i="371"/>
  <c r="U16" i="371"/>
  <c r="T16" i="371"/>
  <c r="V16" i="371" s="1"/>
  <c r="S16" i="371"/>
  <c r="R16" i="371"/>
  <c r="Q16" i="371"/>
  <c r="V15" i="371"/>
  <c r="U15" i="371"/>
  <c r="T15" i="371"/>
  <c r="S15" i="371"/>
  <c r="R15" i="371"/>
  <c r="Q15" i="371"/>
  <c r="U14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S11" i="371"/>
  <c r="V11" i="371" s="1"/>
  <c r="R11" i="371"/>
  <c r="Q11" i="371"/>
  <c r="U10" i="371"/>
  <c r="T10" i="371"/>
  <c r="V10" i="371" s="1"/>
  <c r="S10" i="371"/>
  <c r="R10" i="371"/>
  <c r="Q10" i="371"/>
  <c r="V9" i="371"/>
  <c r="U9" i="371"/>
  <c r="T9" i="371"/>
  <c r="S9" i="371"/>
  <c r="R9" i="371"/>
  <c r="Q9" i="371"/>
  <c r="U8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S5" i="371"/>
  <c r="V5" i="371" s="1"/>
  <c r="R5" i="371"/>
  <c r="Q5" i="371"/>
  <c r="U5" i="371" l="1"/>
  <c r="U11" i="371"/>
  <c r="U17" i="371"/>
  <c r="U21" i="371"/>
  <c r="U23" i="371"/>
  <c r="U25" i="371"/>
  <c r="U33" i="371"/>
  <c r="U35" i="371"/>
  <c r="U49" i="371"/>
  <c r="U53" i="371"/>
  <c r="AG26" i="419" l="1"/>
  <c r="AG25" i="419"/>
  <c r="C11" i="340" l="1"/>
  <c r="A15" i="383" l="1"/>
  <c r="A11" i="383"/>
  <c r="C13" i="414"/>
  <c r="D13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J24" i="370" l="1"/>
  <c r="J23" i="370"/>
  <c r="J22" i="370"/>
  <c r="J21" i="370"/>
  <c r="J20" i="370"/>
  <c r="J19" i="370"/>
  <c r="J18" i="370"/>
  <c r="A24" i="414" l="1"/>
  <c r="A15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21" i="414"/>
  <c r="A20" i="414"/>
  <c r="A19" i="414" l="1"/>
  <c r="A18" i="414"/>
  <c r="A16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E11" i="339" l="1"/>
  <c r="B11" i="339"/>
  <c r="F11" i="339" l="1"/>
  <c r="C11" i="339"/>
  <c r="H11" i="339" l="1"/>
  <c r="G11" i="339"/>
  <c r="A23" i="414"/>
  <c r="A17" i="414"/>
  <c r="A12" i="414"/>
  <c r="A8" i="414"/>
  <c r="A7" i="414"/>
  <c r="A13" i="414"/>
  <c r="A4" i="414"/>
  <c r="A6" i="339" l="1"/>
  <c r="A5" i="339"/>
  <c r="D16" i="414"/>
  <c r="C16" i="414"/>
  <c r="D4" i="414"/>
  <c r="D8" i="414" l="1"/>
  <c r="C12" i="414" l="1"/>
  <c r="C7" i="414"/>
  <c r="E17" i="414" l="1"/>
  <c r="E12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1" i="414" s="1"/>
  <c r="E21" i="414" s="1"/>
  <c r="I39" i="370"/>
  <c r="I26" i="370"/>
  <c r="E12" i="339"/>
  <c r="M39" i="370"/>
  <c r="E26" i="370"/>
  <c r="D20" i="414" s="1"/>
  <c r="E20" i="414" s="1"/>
  <c r="L39" i="370"/>
  <c r="C12" i="339"/>
  <c r="E13" i="370"/>
  <c r="D19" i="414" s="1"/>
  <c r="E19" i="414" s="1"/>
  <c r="L13" i="370"/>
  <c r="B12" i="339"/>
  <c r="F12" i="339" s="1"/>
  <c r="I13" i="370"/>
  <c r="D22" i="414" s="1"/>
  <c r="E22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D18" i="414"/>
  <c r="C18" i="414"/>
  <c r="F3" i="372" l="1"/>
  <c r="N3" i="372"/>
  <c r="C24" i="414"/>
  <c r="E24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20" i="383"/>
  <c r="A17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5" i="414"/>
  <c r="H13" i="339" l="1"/>
  <c r="F15" i="339"/>
  <c r="D23" i="414"/>
  <c r="E23" i="414" s="1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8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<sst xmlns="http://schemas.openxmlformats.org/spreadsheetml/2006/main" count="10921" uniqueCount="3590">
  <si>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</si>
  <si>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</si>
  <si>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</si>
  <si>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</si>
  <si>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</si>
  <si>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</si>
  <si>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</si>
  <si>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</si>
  <si>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</si>
  <si>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</si>
  <si>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</si>
  <si>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</si>
  <si>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</si>
  <si>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</si>
  <si>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</si>
  <si>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</si>
  <si>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</si>
  <si>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</si>
  <si>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</si>
  <si>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</si>
  <si>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</si>
  <si>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</si>
  <si>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</si>
  <si>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</si>
  <si>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</si>
  <si>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</si>
  <si>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</si>
  <si>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</si>
  <si>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</si>
  <si>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</si>
  <si>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</si>
  <si>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</si>
  <si>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</si>
  <si>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</si>
  <si>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</si>
  <si>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</si>
  <si>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</si>
  <si>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</si>
  <si>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</si>
  <si>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</si>
  <si>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</si>
  <si>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</si>
  <si>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</si>
  <si>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</si>
  <si>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</si>
  <si>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</si>
  <si>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</si>
  <si>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</si>
  <si>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</si>
  <si>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</si>
  <si>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</si>
  <si>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</si>
  <si>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</si>
  <si>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</si>
  <si>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</si>
  <si>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</si>
  <si>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</si>
  <si>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</si>
  <si>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</si>
  <si>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</si>
  <si>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</si>
  <si>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</si>
  <si>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</si>
  <si>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</si>
  <si>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</si>
  <si>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</si>
  <si>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</si>
  <si>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</si>
  <si>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</si>
  <si>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</si>
  <si>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</si>
  <si>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</si>
  <si>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</si>
  <si>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</si>
  <si>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</si>
  <si>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</si>
  <si>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</si>
  <si>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</si>
  <si>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</si>
  <si>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</si>
  <si>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</si>
  <si>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</si>
  <si>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</si>
  <si>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</si>
  <si>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</si>
  <si>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</si>
  <si>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</si>
  <si>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</si>
  <si>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</si>
  <si>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</si>
  <si>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</si>
  <si>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</si>
  <si>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</si>
  <si>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</si>
  <si>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</si>
  <si>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</si>
  <si>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</si>
  <si>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</si>
  <si>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</si>
  <si>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</si>
  <si>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</si>
  <si>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</si>
  <si>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</si>
  <si>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</si>
  <si>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</si>
  <si>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</si>
  <si>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</si>
  <si>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</si>
  <si>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</si>
  <si>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</si>
  <si>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</si>
  <si>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</si>
  <si>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</si>
  <si>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</si>
  <si>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</si>
  <si>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</si>
  <si>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</si>
  <si>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</si>
  <si>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</si>
  <si>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</si>
  <si>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</si>
  <si>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</si>
  <si>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</si>
  <si>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</si>
  <si>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</si>
  <si>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</si>
  <si>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</si>
  <si>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</si>
  <si>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</si>
  <si>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</si>
  <si>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</si>
  <si>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</si>
  <si>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</si>
  <si>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</si>
  <si>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</si>
  <si>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</si>
  <si>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</si>
  <si>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</si>
  <si>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</si>
  <si>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</si>
  <si>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</si>
  <si>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</si>
  <si>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</si>
  <si>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</si>
  <si>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</si>
  <si>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</si>
  <si>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</si>
  <si>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</si>
  <si>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</si>
  <si>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</si>
  <si>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</si>
  <si>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</si>
  <si>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</si>
  <si>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</si>
  <si>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</si>
  <si>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</si>
  <si>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</si>
  <si>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</si>
  <si>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</si>
  <si>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</si>
  <si>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</si>
  <si>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</si>
  <si>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</si>
  <si>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</si>
  <si>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</si>
  <si>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</si>
  <si>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</si>
  <si>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</si>
  <si>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</si>
  <si>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</si>
  <si>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</si>
  <si>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</si>
  <si>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</si>
  <si>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</si>
  <si>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</si>
  <si>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</si>
  <si>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</si>
  <si>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</si>
  <si>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</si>
  <si>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</si>
  <si>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</si>
  <si>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</si>
  <si>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</si>
  <si>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</si>
  <si>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</si>
  <si>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</si>
  <si>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</si>
  <si>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</si>
  <si>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</si>
  <si>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</si>
  <si>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</si>
  <si>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</si>
  <si>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</si>
  <si>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</si>
  <si>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</si>
  <si>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</si>
  <si>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</si>
  <si>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</si>
  <si>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</si>
  <si>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</si>
  <si>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</si>
  <si>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</si>
  <si>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</si>
  <si>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</si>
  <si>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</si>
  <si>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</si>
  <si>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</si>
  <si>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</si>
  <si>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</si>
  <si>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</si>
  <si>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</si>
  <si>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</si>
  <si>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</si>
  <si>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</si>
  <si>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</si>
  <si>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</si>
  <si>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</si>
  <si>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</si>
  <si>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</si>
  <si>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</si>
  <si>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</si>
  <si>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</si>
  <si>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</si>
  <si>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</si>
  <si>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</si>
  <si>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</si>
  <si>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</si>
  <si>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</si>
  <si>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</si>
  <si>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</si>
  <si>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</si>
  <si>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</si>
  <si>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</si>
  <si>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</si>
  <si>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</si>
  <si>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</si>
  <si>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</si>
  <si>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</si>
  <si>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</si>
  <si>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</si>
  <si>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</si>
  <si>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</si>
  <si>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</si>
  <si>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</si>
  <si>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</si>
  <si>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</si>
  <si>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</si>
  <si>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</si>
  <si>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</si>
  <si>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</si>
  <si>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</si>
  <si>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</si>
  <si>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</si>
  <si>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</si>
  <si>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</si>
  <si>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</si>
  <si>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</si>
  <si>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</si>
  <si>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</si>
  <si>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</si>
  <si>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</si>
  <si>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</si>
  <si>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</si>
  <si>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</si>
  <si>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</si>
  <si>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</si>
  <si>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</si>
  <si>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</si>
  <si>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</si>
  <si>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</si>
  <si>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</si>
  <si>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</si>
  <si>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</si>
  <si>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</si>
  <si>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</si>
  <si>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</si>
  <si>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</si>
  <si>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</si>
  <si>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</si>
  <si>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</si>
  <si>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</si>
  <si>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</si>
  <si>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</si>
  <si>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</si>
  <si>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</si>
  <si>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</si>
  <si>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</si>
  <si>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</si>
  <si>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</si>
  <si>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</si>
  <si>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</si>
  <si>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</si>
  <si>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</si>
  <si>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</si>
  <si>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</si>
  <si>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</si>
  <si>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</si>
  <si>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</si>
  <si>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</si>
  <si>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</si>
  <si>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</si>
  <si>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</si>
  <si>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</si>
  <si>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</si>
  <si>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</si>
  <si>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</si>
  <si>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</si>
  <si>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</si>
  <si>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</si>
  <si>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</si>
  <si>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</si>
  <si>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</si>
  <si>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</si>
  <si>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</si>
  <si>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</si>
  <si>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</si>
  <si>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</si>
  <si>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</si>
  <si>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</si>
  <si>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</si>
  <si>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</si>
  <si>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</si>
  <si>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</si>
  <si>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</si>
  <si>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</si>
  <si>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</si>
  <si>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</si>
  <si>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</si>
  <si>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</si>
  <si>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</si>
  <si>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</si>
  <si>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</si>
  <si>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</si>
  <si>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</si>
  <si>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</si>
  <si>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</si>
  <si>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</si>
  <si>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</si>
  <si>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</si>
  <si>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</si>
  <si>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</si>
  <si>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</si>
  <si>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</si>
  <si>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</si>
  <si>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</si>
  <si>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</si>
  <si>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</si>
  <si>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</si>
  <si>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</si>
  <si>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</si>
  <si>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</si>
  <si>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</si>
  <si>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</si>
  <si>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</si>
  <si>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</si>
  <si>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</si>
  <si>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</si>
  <si>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</si>
  <si>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</si>
  <si>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</si>
  <si>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</si>
  <si>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</si>
  <si>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</si>
  <si>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</si>
  <si>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</si>
  <si>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</si>
  <si>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</si>
  <si>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</si>
  <si>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</si>
  <si>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</si>
  <si>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</si>
  <si>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</si>
  <si>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</si>
  <si>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</si>
  <si>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</si>
  <si>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</si>
  <si>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</si>
  <si>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</si>
  <si>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</si>
  <si>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</si>
  <si>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</si>
  <si>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</si>
  <si>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</si>
  <si>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</si>
  <si>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</si>
  <si>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</si>
  <si>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</si>
  <si>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</si>
  <si>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</si>
  <si>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</si>
  <si>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</si>
  <si>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</si>
  <si>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</si>
  <si>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</si>
  <si>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</si>
  <si>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</si>
  <si>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</si>
  <si>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</si>
  <si>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</si>
  <si>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</si>
  <si>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</si>
  <si>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</si>
  <si>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</si>
  <si>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</si>
  <si>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</si>
  <si>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</si>
  <si>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</si>
  <si>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</si>
  <si>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</si>
  <si>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</si>
  <si>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</si>
  <si>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</si>
  <si>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</si>
  <si>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</si>
  <si>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</si>
  <si>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</si>
  <si>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</si>
  <si>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</si>
  <si>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</si>
  <si>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</si>
  <si>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</si>
  <si>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</si>
  <si>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</si>
  <si>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</si>
  <si>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</si>
  <si>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</si>
  <si>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</si>
  <si>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</si>
  <si>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</si>
  <si>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</si>
  <si>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</si>
  <si>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</si>
  <si>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</si>
  <si>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</si>
  <si>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</si>
  <si>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</si>
  <si>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</si>
  <si>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</si>
  <si>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</si>
  <si>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</si>
  <si>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</si>
  <si>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</si>
  <si>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</si>
  <si>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</si>
  <si>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</si>
  <si>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</si>
  <si>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</si>
  <si>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</si>
  <si>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</si>
  <si>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</si>
  <si>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</si>
  <si>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</si>
  <si>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</si>
  <si>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</si>
  <si>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</si>
  <si>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</si>
  <si>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</si>
  <si>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</si>
  <si>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</si>
  <si>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</si>
  <si>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</si>
  <si>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</si>
  <si>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</si>
  <si>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</si>
  <si>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</si>
  <si>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</si>
  <si>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</si>
  <si>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</si>
  <si>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</si>
  <si>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</si>
  <si>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</si>
  <si>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</si>
  <si>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</si>
  <si>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</si>
  <si>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</si>
  <si>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</si>
  <si>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</si>
  <si>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</si>
  <si>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</si>
  <si>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</si>
  <si>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</si>
  <si>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</si>
  <si>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</si>
  <si>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</si>
  <si>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</si>
  <si>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</si>
  <si>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</si>
  <si>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</si>
  <si>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</si>
  <si>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</si>
  <si>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</si>
  <si>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</si>
  <si>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</si>
  <si>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</si>
  <si>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</si>
  <si>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</si>
  <si>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185526</t>
  </si>
  <si>
    <t>85526</t>
  </si>
  <si>
    <t>SUFENTA FORTE I.V.</t>
  </si>
  <si>
    <t>INJ 5X1ML/0.05MG</t>
  </si>
  <si>
    <t>127437</t>
  </si>
  <si>
    <t>27437</t>
  </si>
  <si>
    <t>CELLCEPT 500 MG</t>
  </si>
  <si>
    <t>POR CPSDUR50X500MG</t>
  </si>
  <si>
    <t>33573</t>
  </si>
  <si>
    <t>NEPRO</t>
  </si>
  <si>
    <t>POR SOL 1X500ML</t>
  </si>
  <si>
    <t>129027</t>
  </si>
  <si>
    <t>PROPOFOL-LIPURO 1 % (10MG/ML)</t>
  </si>
  <si>
    <t>INJ+INF EML 10X100ML/1000MG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</si>
  <si>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</si>
  <si>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</si>
  <si>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</si>
  <si>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</si>
  <si>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</si>
  <si>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</si>
  <si>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</si>
  <si>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</si>
  <si>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</si>
  <si>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</si>
  <si>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</si>
  <si>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</si>
  <si>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</si>
  <si>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</si>
  <si>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</si>
  <si>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</si>
  <si>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</si>
  <si>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</si>
  <si>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</si>
  <si>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</si>
  <si>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</si>
  <si>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</si>
  <si>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</si>
  <si>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</si>
  <si>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</si>
  <si>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</si>
  <si>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</si>
  <si>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</si>
  <si>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</si>
  <si>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</si>
  <si>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</si>
  <si>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</si>
  <si>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</si>
  <si>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</si>
  <si>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</si>
  <si>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</si>
  <si>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</si>
  <si>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</si>
  <si>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</si>
  <si>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</si>
  <si>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</si>
  <si>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</si>
  <si>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</si>
  <si>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</si>
  <si>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</si>
  <si>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</si>
  <si>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</si>
  <si>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</si>
  <si>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</si>
  <si>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</si>
  <si>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</si>
  <si>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</si>
  <si>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</si>
  <si>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</si>
  <si>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</si>
  <si>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</si>
  <si>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</si>
  <si>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</si>
  <si>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</si>
  <si>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</si>
  <si>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</si>
  <si>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</si>
  <si>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</si>
  <si>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</si>
  <si>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</si>
  <si>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</si>
  <si>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</si>
  <si>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</si>
  <si>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</si>
  <si>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</si>
  <si>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</si>
  <si>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</si>
  <si>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</si>
  <si>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</si>
  <si>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</si>
  <si>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</si>
  <si>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</si>
  <si>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</si>
  <si>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</si>
  <si>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</si>
  <si>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</si>
  <si>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</si>
  <si>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</si>
  <si>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</si>
  <si>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</si>
  <si>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</si>
  <si>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</si>
  <si>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</si>
  <si>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</si>
  <si>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</si>
  <si>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</si>
  <si>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</si>
  <si>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</si>
  <si>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</si>
  <si>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</si>
  <si>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</si>
  <si>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</si>
  <si>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</si>
  <si>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</si>
  <si>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</si>
  <si>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</si>
  <si>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</si>
  <si>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</si>
  <si>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</si>
  <si>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</si>
  <si>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</si>
  <si>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114773</t>
  </si>
  <si>
    <t>14773</t>
  </si>
  <si>
    <t>ISUPREL inj.</t>
  </si>
  <si>
    <t>5x1 ml</t>
  </si>
  <si>
    <t>114933</t>
  </si>
  <si>
    <t>14933</t>
  </si>
  <si>
    <t>INHIBACE PLUS</t>
  </si>
  <si>
    <t>POR TBL FLM 28</t>
  </si>
  <si>
    <t>115140</t>
  </si>
  <si>
    <t>15140</t>
  </si>
  <si>
    <t>TARKA 240/4 MG TBL.</t>
  </si>
  <si>
    <t>POR TBL RET 28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</si>
  <si>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</si>
  <si>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</si>
  <si>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</si>
  <si>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</si>
  <si>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</si>
  <si>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</si>
  <si>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</si>
  <si>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</si>
  <si>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</si>
  <si>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</si>
  <si>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</si>
  <si>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</si>
  <si>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</si>
  <si>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</si>
  <si>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</si>
  <si>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</si>
  <si>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</si>
  <si>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</si>
  <si>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132917</t>
  </si>
  <si>
    <t>32917</t>
  </si>
  <si>
    <t>PREDUCTAL MR</t>
  </si>
  <si>
    <t>POR TBL RET 60X35MG</t>
  </si>
  <si>
    <t>144305</t>
  </si>
  <si>
    <t>44305</t>
  </si>
  <si>
    <t>EUPHYLLIN CR N 200</t>
  </si>
  <si>
    <t>CPS RET 50X200MG</t>
  </si>
  <si>
    <t>148578</t>
  </si>
  <si>
    <t>48578</t>
  </si>
  <si>
    <t>TIAPRIDAL</t>
  </si>
  <si>
    <t>POR TBLNOB 50X100MG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</si>
  <si>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</si>
  <si>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</si>
  <si>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</si>
  <si>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</si>
  <si>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</si>
  <si>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</si>
  <si>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</si>
  <si>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157483</t>
  </si>
  <si>
    <t>57483</t>
  </si>
  <si>
    <t>CALCIUM RESONIUM</t>
  </si>
  <si>
    <t>PLV 1X300GM</t>
  </si>
  <si>
    <t>158746</t>
  </si>
  <si>
    <t>58746</t>
  </si>
  <si>
    <t>KARDEGIC 0.5 G</t>
  </si>
  <si>
    <t>INJ PSO LQF 6+SOL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</si>
  <si>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</si>
  <si>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</si>
  <si>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</si>
  <si>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</si>
  <si>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</si>
  <si>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</si>
  <si>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</si>
  <si>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</si>
  <si>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</si>
  <si>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</si>
  <si>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</si>
  <si>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</si>
  <si>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</si>
  <si>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</si>
  <si>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</si>
  <si>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</si>
  <si>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</si>
  <si>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</si>
  <si>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</si>
  <si>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</si>
  <si>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</si>
  <si>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</si>
  <si>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</si>
  <si>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</si>
  <si>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</si>
  <si>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</si>
  <si>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</si>
  <si>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</si>
  <si>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</si>
  <si>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</si>
  <si>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</si>
  <si>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</si>
  <si>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</si>
  <si>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</si>
  <si>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</si>
  <si>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</si>
  <si>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</si>
  <si>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</si>
  <si>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</si>
  <si>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</si>
  <si>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</si>
  <si>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</si>
  <si>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</si>
  <si>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</si>
  <si>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</si>
  <si>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</si>
  <si>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</si>
  <si>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</si>
  <si>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</si>
  <si>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</si>
  <si>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</si>
  <si>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</si>
  <si>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</si>
  <si>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</si>
  <si>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</si>
  <si>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</si>
  <si>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</si>
  <si>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</si>
  <si>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</si>
  <si>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</si>
  <si>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</si>
  <si>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</si>
  <si>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</si>
  <si>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</si>
  <si>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</si>
  <si>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</si>
  <si>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196190</t>
  </si>
  <si>
    <t>96190</t>
  </si>
  <si>
    <t>MONOSAN 20MG</t>
  </si>
  <si>
    <t>TBL 30X20MG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</si>
  <si>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</si>
  <si>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</si>
  <si>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</si>
  <si>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</si>
  <si>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</si>
  <si>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</si>
  <si>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</si>
  <si>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</si>
  <si>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</si>
  <si>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</si>
  <si>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</si>
  <si>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</si>
  <si>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842230</t>
  </si>
  <si>
    <t>Vazelina bílá kosmetic.Valinka  50ml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</si>
  <si>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</si>
  <si>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</si>
  <si>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</si>
  <si>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</si>
  <si>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</si>
  <si>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</si>
  <si>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</si>
  <si>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845008</t>
  </si>
  <si>
    <t>107806</t>
  </si>
  <si>
    <t>AESCIN-TEVA</t>
  </si>
  <si>
    <t>POR TBL FLM 30X20MG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</si>
  <si>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</si>
  <si>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</si>
  <si>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</si>
  <si>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</si>
  <si>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</si>
  <si>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</si>
  <si>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</si>
  <si>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</si>
  <si>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</si>
  <si>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</si>
  <si>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</si>
  <si>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</si>
  <si>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</si>
  <si>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</si>
  <si>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</si>
  <si>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848930</t>
  </si>
  <si>
    <t>155781</t>
  </si>
  <si>
    <t>GODASAL 100</t>
  </si>
  <si>
    <t>POR TBL NOB 50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</si>
  <si>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</si>
  <si>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</si>
  <si>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</si>
  <si>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</si>
  <si>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</si>
  <si>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</si>
  <si>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</si>
  <si>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</si>
  <si>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</si>
  <si>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</si>
  <si>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</si>
  <si>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</si>
  <si>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</si>
  <si>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</si>
  <si>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</si>
  <si>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</si>
  <si>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</si>
  <si>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</si>
  <si>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</si>
  <si>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905098</t>
  </si>
  <si>
    <t>23989</t>
  </si>
  <si>
    <t>DZ OCTENISEPT 1 l</t>
  </si>
  <si>
    <t>930065</t>
  </si>
  <si>
    <t>DZ PRONTOSAN ROZTOK 350ml</t>
  </si>
  <si>
    <t>987464</t>
  </si>
  <si>
    <t>Menalind Professional čistící pěna 400ml</t>
  </si>
  <si>
    <t>987465</t>
  </si>
  <si>
    <t>Menalind vlhké ošetř.ubrousky 50ks náhradní náplň</t>
  </si>
  <si>
    <t>51384</t>
  </si>
  <si>
    <t>INF SOL 10X1000MLPLAH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</si>
  <si>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</si>
  <si>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</si>
  <si>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</si>
  <si>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</si>
  <si>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</si>
  <si>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</si>
  <si>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</si>
  <si>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</si>
  <si>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</si>
  <si>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</si>
  <si>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</si>
  <si>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</si>
  <si>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</si>
  <si>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</si>
  <si>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</si>
  <si>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</si>
  <si>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</si>
  <si>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</si>
  <si>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</si>
  <si>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</si>
  <si>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</si>
  <si>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</si>
  <si>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</si>
  <si>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</si>
  <si>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</si>
  <si>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</si>
  <si>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</si>
  <si>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</si>
  <si>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</si>
  <si>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</si>
  <si>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</si>
  <si>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</si>
  <si>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</si>
  <si>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</si>
  <si>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</si>
  <si>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</si>
  <si>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</si>
  <si>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</si>
  <si>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</si>
  <si>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</si>
  <si>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</si>
  <si>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</si>
  <si>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</si>
  <si>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</si>
  <si>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</si>
  <si>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172564</t>
  </si>
  <si>
    <t>72564</t>
  </si>
  <si>
    <t>SEROPRAM</t>
  </si>
  <si>
    <t>INF 5X0.5ML/20MG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</si>
  <si>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</si>
  <si>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</si>
  <si>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</si>
  <si>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</si>
  <si>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</si>
  <si>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</si>
  <si>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</si>
  <si>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</si>
  <si>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</si>
  <si>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</si>
  <si>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</si>
  <si>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</si>
  <si>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</si>
  <si>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</si>
  <si>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</si>
  <si>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</si>
  <si>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</si>
  <si>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</si>
  <si>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</si>
  <si>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</si>
  <si>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</si>
  <si>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</si>
  <si>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</si>
  <si>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</si>
  <si>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</si>
  <si>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</si>
  <si>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</si>
  <si>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</si>
  <si>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</si>
  <si>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</si>
  <si>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</si>
  <si>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</si>
  <si>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</si>
  <si>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</si>
  <si>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</si>
  <si>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</si>
  <si>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</si>
  <si>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</si>
  <si>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146125</t>
  </si>
  <si>
    <t>46125</t>
  </si>
  <si>
    <t>LIDOCAIN 10%</t>
  </si>
  <si>
    <t>SPR 1X38GM</t>
  </si>
  <si>
    <t>165633</t>
  </si>
  <si>
    <t>165751</t>
  </si>
  <si>
    <t>GELASPAN 4% EBI20x500 ml</t>
  </si>
  <si>
    <t>INF SOL20X500ML VAK</t>
  </si>
  <si>
    <t>47706</t>
  </si>
  <si>
    <t>GLUKÓZA 20 BRAUN</t>
  </si>
  <si>
    <t>98236</t>
  </si>
  <si>
    <t>HYDROGENUHLIČITAN SODNÝ 4.2%(W/V)-BRAUN</t>
  </si>
  <si>
    <t>INF SOL 1X250ML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</si>
  <si>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</si>
  <si>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</si>
  <si>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</si>
  <si>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</si>
  <si>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</si>
  <si>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</si>
  <si>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</si>
  <si>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</si>
  <si>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</si>
  <si>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</si>
  <si>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</si>
  <si>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</si>
  <si>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</si>
  <si>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</si>
  <si>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</si>
  <si>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</si>
  <si>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</si>
  <si>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</si>
  <si>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</si>
  <si>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</si>
  <si>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</si>
  <si>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</si>
  <si>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</si>
  <si>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</si>
  <si>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</si>
  <si>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</si>
  <si>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</si>
  <si>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</si>
  <si>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</si>
  <si>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</si>
  <si>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</si>
  <si>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</si>
  <si>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</si>
  <si>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</si>
  <si>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</si>
  <si>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</si>
  <si>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</si>
  <si>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</si>
  <si>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843740</t>
  </si>
  <si>
    <t>AVIRIL Dětský zásyp s azulenem sypačka</t>
  </si>
  <si>
    <t>844078</t>
  </si>
  <si>
    <t>Lacrisyn gtt.ophth.10ml</t>
  </si>
  <si>
    <t>921458</t>
  </si>
  <si>
    <t>KL ETHER 200G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</si>
  <si>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</si>
  <si>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</si>
  <si>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</si>
  <si>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</si>
  <si>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</si>
  <si>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</si>
  <si>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</si>
  <si>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</si>
  <si>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</si>
  <si>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</si>
  <si>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</si>
  <si>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</si>
  <si>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</si>
  <si>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</si>
  <si>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</si>
  <si>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</si>
  <si>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</si>
  <si>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</si>
  <si>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</si>
  <si>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</si>
  <si>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148673</t>
  </si>
  <si>
    <t>XADOS 20 MG TABLETY</t>
  </si>
  <si>
    <t>POR TBL NOB 30X20MG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</si>
  <si>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</si>
  <si>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</si>
  <si>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</si>
  <si>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</si>
  <si>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</si>
  <si>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</si>
  <si>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</si>
  <si>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</si>
  <si>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101940</t>
  </si>
  <si>
    <t>1940</t>
  </si>
  <si>
    <t>OXAZEPAM TBL.20X10MG</t>
  </si>
  <si>
    <t>TBL 20X10MG(BLISTR)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</si>
  <si>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</si>
  <si>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</si>
  <si>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</si>
  <si>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</si>
  <si>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</si>
  <si>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</si>
  <si>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</si>
  <si>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</si>
  <si>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</si>
  <si>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</si>
  <si>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</si>
  <si>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</si>
  <si>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</si>
  <si>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</si>
  <si>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</si>
  <si>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</si>
  <si>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</si>
  <si>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</si>
  <si>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</si>
  <si>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</si>
  <si>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</si>
  <si>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</si>
  <si>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</si>
  <si>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</si>
  <si>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</si>
  <si>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</si>
  <si>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</si>
  <si>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</si>
  <si>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</si>
  <si>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</si>
  <si>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</si>
  <si>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</si>
  <si>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</si>
  <si>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</si>
  <si>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841577</t>
  </si>
  <si>
    <t>MENALIND Professional olej.přís. 500ml</t>
  </si>
  <si>
    <t>846873</t>
  </si>
  <si>
    <t>DZ PRONTODERM ROZTOK 500 ml</t>
  </si>
  <si>
    <t>16321</t>
  </si>
  <si>
    <t>BRAUNOVIDON MAST</t>
  </si>
  <si>
    <t>DRM UNG 1X250GM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</si>
  <si>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</si>
  <si>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</si>
  <si>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</si>
  <si>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</si>
  <si>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</si>
  <si>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</si>
  <si>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</si>
  <si>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159358</t>
  </si>
  <si>
    <t>59358</t>
  </si>
  <si>
    <t>INF 10X1000ML(LDPE)</t>
  </si>
  <si>
    <t>187149</t>
  </si>
  <si>
    <t>87149</t>
  </si>
  <si>
    <t>THYROZOL 10</t>
  </si>
  <si>
    <t>TBL OBD 50X10MG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</si>
  <si>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</si>
  <si>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</si>
  <si>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</si>
  <si>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</si>
  <si>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</si>
  <si>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</si>
  <si>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</si>
  <si>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</si>
  <si>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</si>
  <si>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</si>
  <si>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</si>
  <si>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</si>
  <si>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</si>
  <si>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</si>
  <si>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</si>
  <si>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</si>
  <si>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</si>
  <si>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</si>
  <si>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</si>
  <si>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501065</t>
  </si>
  <si>
    <t>KL SIGNATURY</t>
  </si>
  <si>
    <t>189869</t>
  </si>
  <si>
    <t>89869</t>
  </si>
  <si>
    <t>DIPROPHOS</t>
  </si>
  <si>
    <t>INJ 5X1ML</t>
  </si>
  <si>
    <t>192730</t>
  </si>
  <si>
    <t>92730</t>
  </si>
  <si>
    <t>INJ 50X5ML</t>
  </si>
  <si>
    <t>845813</t>
  </si>
  <si>
    <t>DECA DURABOLIN  50</t>
  </si>
  <si>
    <t xml:space="preserve">INJ SOL 1X1ML/50MG </t>
  </si>
  <si>
    <t>106091</t>
  </si>
  <si>
    <t>6091</t>
  </si>
  <si>
    <t>GUTRON 2.5MG</t>
  </si>
  <si>
    <t>TBL 20X2.5MG</t>
  </si>
  <si>
    <t>129707</t>
  </si>
  <si>
    <t>29707</t>
  </si>
  <si>
    <t>ADVAGRAF 1 MG</t>
  </si>
  <si>
    <t>POR CPS PRO 60X1MG</t>
  </si>
  <si>
    <t>841314</t>
  </si>
  <si>
    <t>MENALIND Ochranná pěna 100ml</t>
  </si>
  <si>
    <t>169667</t>
  </si>
  <si>
    <t>69667</t>
  </si>
  <si>
    <t>ARDEAELYTOSOL NA.HYDR.FOSF.8.7%</t>
  </si>
  <si>
    <t>INF 1X200ML</t>
  </si>
  <si>
    <t>395927</t>
  </si>
  <si>
    <t>98237</t>
  </si>
  <si>
    <t>HYDROGENUHLIČITAN SODNÝ 8,4 (W/V)-BRAUN</t>
  </si>
  <si>
    <t>INF SOL 10X250ML</t>
  </si>
  <si>
    <t>198880</t>
  </si>
  <si>
    <t>98880</t>
  </si>
  <si>
    <t>FYZIOLOGICKÝ ROZTOK VIAFLO</t>
  </si>
  <si>
    <t>181425</t>
  </si>
  <si>
    <t>81425</t>
  </si>
  <si>
    <t>XALACOM</t>
  </si>
  <si>
    <t>OPH GTT SOL 1X2.5ML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</si>
  <si>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</si>
  <si>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</si>
  <si>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</si>
  <si>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</si>
  <si>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</si>
  <si>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</si>
  <si>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920060</t>
  </si>
  <si>
    <t>KL SOL.ARG.NITR.20% 10G</t>
  </si>
  <si>
    <t>114098</t>
  </si>
  <si>
    <t>14098</t>
  </si>
  <si>
    <t>OSTEOD 0.25 MCG</t>
  </si>
  <si>
    <t>POR CPSMOL30X0.25RG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</si>
  <si>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</si>
  <si>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</si>
  <si>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</si>
  <si>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</si>
  <si>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</si>
  <si>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</si>
  <si>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</si>
  <si>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</si>
  <si>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2584</t>
  </si>
  <si>
    <t>GLUKÓZA 40 BRAUN</t>
  </si>
  <si>
    <t>844242</t>
  </si>
  <si>
    <t>105937</t>
  </si>
  <si>
    <t>TETRASPAN 6%</t>
  </si>
  <si>
    <t>843996</t>
  </si>
  <si>
    <t>100191</t>
  </si>
  <si>
    <t>VOLUVEN  6%</t>
  </si>
  <si>
    <t>INF SOL 20X500MLVAK+P</t>
  </si>
  <si>
    <t>900012</t>
  </si>
  <si>
    <t>KL SOL.HYD.PEROX.3% 200G</t>
  </si>
  <si>
    <t>447</t>
  </si>
  <si>
    <t>EPHEDRIN BIOTIKA</t>
  </si>
  <si>
    <t>INJ SOL 10X1ML/50MG</t>
  </si>
  <si>
    <t>187000</t>
  </si>
  <si>
    <t>87000</t>
  </si>
  <si>
    <t>ARDEAOSMOSOL MA 20 (Mannitol)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</si>
  <si>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</si>
  <si>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</si>
  <si>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</si>
  <si>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</si>
  <si>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</si>
  <si>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</si>
  <si>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</si>
  <si>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</si>
  <si>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103761</t>
  </si>
  <si>
    <t>3761</t>
  </si>
  <si>
    <t>CHIROCAINE 5 MG/ML</t>
  </si>
  <si>
    <t>INJ CNC SOL 10X10ML</t>
  </si>
  <si>
    <t>50440</t>
  </si>
  <si>
    <t>ACCUSOL 35, ROZTOK PRO HEMOFILTRACI, HEMODIALÝZU A</t>
  </si>
  <si>
    <t>DLP HFL SOL 2X5000ML</t>
  </si>
  <si>
    <t>149990</t>
  </si>
  <si>
    <t>49990</t>
  </si>
  <si>
    <t>EXACYL</t>
  </si>
  <si>
    <t>INJ 5X5ML/500MG</t>
  </si>
  <si>
    <t>190484</t>
  </si>
  <si>
    <t>NEPRESOL 25 MG</t>
  </si>
  <si>
    <t>INJ SIC 5X25MG+SOLV</t>
  </si>
  <si>
    <t>196484</t>
  </si>
  <si>
    <t>96484</t>
  </si>
  <si>
    <t>SURGAM</t>
  </si>
  <si>
    <t>TBL 20X300MG</t>
  </si>
  <si>
    <t>169726</t>
  </si>
  <si>
    <t>69726</t>
  </si>
  <si>
    <t>ARDEAELYTOSOL NATRIUMCHLOR.5.85</t>
  </si>
  <si>
    <t>INF 1X80ML</t>
  </si>
  <si>
    <t>394942</t>
  </si>
  <si>
    <t>93527</t>
  </si>
  <si>
    <t>ARDEAELYTOSOL R1/1</t>
  </si>
  <si>
    <t>INF 1X500ML</t>
  </si>
  <si>
    <t>846024</t>
  </si>
  <si>
    <t>100097</t>
  </si>
  <si>
    <t>VOLTAREN EMULGEL</t>
  </si>
  <si>
    <t>DRM GEL 1X100GM LAM</t>
  </si>
  <si>
    <t>153507</t>
  </si>
  <si>
    <t>53507</t>
  </si>
  <si>
    <t>MEDOSTATIN 20MG</t>
  </si>
  <si>
    <t>TBL 100X20MG</t>
  </si>
  <si>
    <t>1673</t>
  </si>
  <si>
    <t>INJ SOL 100X2ML/8MG</t>
  </si>
  <si>
    <t>164865</t>
  </si>
  <si>
    <t>64865</t>
  </si>
  <si>
    <t>PIRACETAM AL 1200</t>
  </si>
  <si>
    <t>POR TBLFLM60X1200MG</t>
  </si>
  <si>
    <t>500553</t>
  </si>
  <si>
    <t>Lapis tyčinka na bradavice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</si>
  <si>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</si>
  <si>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</si>
  <si>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</si>
  <si>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</si>
  <si>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</si>
  <si>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</si>
  <si>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</si>
  <si>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30g Generica</t>
  </si>
  <si>
    <t>395712</t>
  </si>
  <si>
    <t>HBF Calcium panthotenát mast 30g</t>
  </si>
  <si>
    <t>841318</t>
  </si>
  <si>
    <t>HBF Calcium panthotenát mast 100ml</t>
  </si>
  <si>
    <t>845714</t>
  </si>
  <si>
    <t>120369</t>
  </si>
  <si>
    <t>VELAXIN 75 MG</t>
  </si>
  <si>
    <t>POR CPS PRO 2X14X75MG</t>
  </si>
  <si>
    <t>397238</t>
  </si>
  <si>
    <t>KL ETHANOLUM BENZ.DENAT. 500ml /400g/</t>
  </si>
  <si>
    <t>UN 1170</t>
  </si>
  <si>
    <t>P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</si>
  <si>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</si>
  <si>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</si>
  <si>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</si>
  <si>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</si>
  <si>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</si>
  <si>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</si>
  <si>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</si>
  <si>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</si>
  <si>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</si>
  <si>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</si>
  <si>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</si>
  <si>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133343</t>
  </si>
  <si>
    <t>33343</t>
  </si>
  <si>
    <t>CUBITAN S PŘÍCHUTÍ JAHODOVOU (SOL)</t>
  </si>
  <si>
    <t>POR SOL 1X200ML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</si>
  <si>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</si>
  <si>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</si>
  <si>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</si>
  <si>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</si>
  <si>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</si>
  <si>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</si>
  <si>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</si>
  <si>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</si>
  <si>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</si>
  <si>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</si>
  <si>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</si>
  <si>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</si>
  <si>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</si>
  <si>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</si>
  <si>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</si>
  <si>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</si>
  <si>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</si>
  <si>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</si>
  <si>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</si>
  <si>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</si>
  <si>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</si>
  <si>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</si>
  <si>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</si>
  <si>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</si>
  <si>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</si>
  <si>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</si>
  <si>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</si>
  <si>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</si>
  <si>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184399</t>
  </si>
  <si>
    <t>84399</t>
  </si>
  <si>
    <t>NEURONTIN 300MG</t>
  </si>
  <si>
    <t>CPS 50X300MG</t>
  </si>
  <si>
    <t>846446</t>
  </si>
  <si>
    <t>124343</t>
  </si>
  <si>
    <t>CEZERA 5 MG</t>
  </si>
  <si>
    <t>POR TBL FLM 30X5MG</t>
  </si>
  <si>
    <t>848765</t>
  </si>
  <si>
    <t>107938</t>
  </si>
  <si>
    <t>INJ SOL 6X3ML/150MG</t>
  </si>
  <si>
    <t>126786</t>
  </si>
  <si>
    <t>26786</t>
  </si>
  <si>
    <t>NOVORAPID 100 U/ML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</si>
  <si>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</si>
  <si>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</si>
  <si>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</si>
  <si>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</si>
  <si>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</si>
  <si>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</si>
  <si>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</si>
  <si>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849187</t>
  </si>
  <si>
    <t>111902</t>
  </si>
  <si>
    <t>NITRESAN 20 MG</t>
  </si>
  <si>
    <t>118175</t>
  </si>
  <si>
    <t>18175</t>
  </si>
  <si>
    <t>PROPOFOL 1% MCT/LCT FRESENIUS</t>
  </si>
  <si>
    <t>INJ EML 10X100ML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</si>
  <si>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</si>
  <si>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</si>
  <si>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</si>
  <si>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</si>
  <si>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</si>
  <si>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</si>
  <si>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</si>
  <si>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147133</t>
  </si>
  <si>
    <t>47133</t>
  </si>
  <si>
    <t>LETROX 150</t>
  </si>
  <si>
    <t>TBL 100X150RG</t>
  </si>
  <si>
    <t>110820</t>
  </si>
  <si>
    <t>10820</t>
  </si>
  <si>
    <t>ZOFRAN</t>
  </si>
  <si>
    <t>INJ SOL 5X4ML/8MG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</si>
  <si>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</si>
  <si>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</si>
  <si>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</si>
  <si>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</si>
  <si>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</si>
  <si>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</si>
  <si>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</si>
  <si>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</si>
  <si>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</si>
  <si>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</si>
  <si>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NEURONTIN 100MG</t>
  </si>
  <si>
    <t>CPS 20X100MG</t>
  </si>
  <si>
    <t>119220</t>
  </si>
  <si>
    <t>MONTELUKAST TEVA 10 MG</t>
  </si>
  <si>
    <t>POR TBL FLM 28X10MG</t>
  </si>
  <si>
    <t>130164</t>
  </si>
  <si>
    <t>30164</t>
  </si>
  <si>
    <t>MIDAZOLAM TORREX 1MG/ML</t>
  </si>
  <si>
    <t>INJ 10X5ML/5MG</t>
  </si>
  <si>
    <t>115245</t>
  </si>
  <si>
    <t>15245</t>
  </si>
  <si>
    <t>SANDOSTATIN 0.1 MG/ML</t>
  </si>
  <si>
    <t>INJ SOL 5X1ML/0.1MG</t>
  </si>
  <si>
    <t>849054</t>
  </si>
  <si>
    <t>107847</t>
  </si>
  <si>
    <t>APO-PAROX</t>
  </si>
  <si>
    <t>50113006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</si>
  <si>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</si>
  <si>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</si>
  <si>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</si>
  <si>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</si>
  <si>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</si>
  <si>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</si>
  <si>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</si>
  <si>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</si>
  <si>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</si>
  <si>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</si>
  <si>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</si>
  <si>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841569</t>
  </si>
  <si>
    <t>Fresubin hepa 15x500ml</t>
  </si>
  <si>
    <t>846016</t>
  </si>
  <si>
    <t>Nutrison Advanced Protison 500ml</t>
  </si>
  <si>
    <t>1X500ML</t>
  </si>
  <si>
    <t>103414</t>
  </si>
  <si>
    <t>3414</t>
  </si>
  <si>
    <t>NUTRIFLEX PERI</t>
  </si>
  <si>
    <t>INF 5X2000ML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</si>
  <si>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</si>
  <si>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</si>
  <si>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</si>
  <si>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</si>
  <si>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</si>
  <si>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</si>
  <si>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</si>
  <si>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</si>
  <si>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</si>
  <si>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</si>
  <si>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</si>
  <si>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</si>
  <si>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</si>
  <si>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165317</t>
  </si>
  <si>
    <t>65317</t>
  </si>
  <si>
    <t>ELOTRACE I.V.</t>
  </si>
  <si>
    <t>INF 10X100ML</t>
  </si>
  <si>
    <t>195939</t>
  </si>
  <si>
    <t>95939</t>
  </si>
  <si>
    <t>AMINOMIX 1 NOVUM</t>
  </si>
  <si>
    <t>INFSOL4X1500ML</t>
  </si>
  <si>
    <t>902083</t>
  </si>
  <si>
    <t>151110</t>
  </si>
  <si>
    <t>IR  SMOFKABIVEN 1477 ml</t>
  </si>
  <si>
    <t>IR 4x1477 ml</t>
  </si>
  <si>
    <t>988740</t>
  </si>
  <si>
    <t>Nutrison Advanced Diason 1000ml</t>
  </si>
  <si>
    <t>116338</t>
  </si>
  <si>
    <t>16338</t>
  </si>
  <si>
    <t>INFEML10X500ML-SKLO</t>
  </si>
  <si>
    <t>396920</t>
  </si>
  <si>
    <t>100152</t>
  </si>
  <si>
    <t>AMINOPLASMAL 15%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</si>
  <si>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</si>
  <si>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</si>
  <si>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</si>
  <si>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</si>
  <si>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</si>
  <si>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</si>
  <si>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</si>
  <si>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</si>
  <si>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</si>
  <si>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</si>
  <si>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</si>
  <si>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</si>
  <si>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</si>
  <si>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</si>
  <si>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</si>
  <si>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</si>
  <si>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</si>
  <si>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</si>
  <si>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</si>
  <si>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</si>
  <si>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</si>
  <si>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</si>
  <si>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133148</t>
  </si>
  <si>
    <t>33148</t>
  </si>
  <si>
    <t>NUTRISON PROTEIN PLUS MULTI FIB</t>
  </si>
  <si>
    <t>POR SOL 1X500ML-VA</t>
  </si>
  <si>
    <t>33424</t>
  </si>
  <si>
    <t>NUTRISON ADVANCED CUBISON</t>
  </si>
  <si>
    <t>POR SOL 1X1000ML</t>
  </si>
  <si>
    <t>33526</t>
  </si>
  <si>
    <t>NUTRISON</t>
  </si>
  <si>
    <t>848250</t>
  </si>
  <si>
    <t>33423</t>
  </si>
  <si>
    <t>NUTRISON ADVANCED PEPTISORB</t>
  </si>
  <si>
    <t xml:space="preserve">POR SOL 1X1000ML 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</si>
  <si>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</si>
  <si>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</si>
  <si>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</si>
  <si>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</si>
  <si>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</si>
  <si>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</si>
  <si>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</si>
  <si>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</si>
  <si>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</si>
  <si>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</si>
  <si>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</si>
  <si>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</si>
  <si>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</si>
  <si>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</si>
  <si>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</si>
  <si>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987792</t>
  </si>
  <si>
    <t>33749</t>
  </si>
  <si>
    <t>NUTRIDRINK CREME S PŘÍCHUTÍ BANÁNOVOU</t>
  </si>
  <si>
    <t>33785</t>
  </si>
  <si>
    <t>FORTICARE S PŘÍCHUTÍ POMERANČ A CITRÓN</t>
  </si>
  <si>
    <t>POR SOL 4X125ML</t>
  </si>
  <si>
    <t>33786</t>
  </si>
  <si>
    <t>FORTICARE S PŘÍCHUTÍ BROSKEV A ZÁZVOR</t>
  </si>
  <si>
    <t>33787</t>
  </si>
  <si>
    <t>FORTICARE S PŘÍCHUTÍ CAPPUCCINO</t>
  </si>
  <si>
    <t>50113013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</si>
  <si>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</si>
  <si>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</si>
  <si>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</si>
  <si>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</si>
  <si>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</si>
  <si>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</si>
  <si>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</si>
  <si>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</si>
  <si>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</si>
  <si>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</si>
  <si>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</si>
  <si>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</si>
  <si>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</si>
  <si>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</si>
  <si>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</si>
  <si>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</si>
  <si>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</si>
  <si>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</si>
  <si>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</si>
  <si>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</si>
  <si>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</si>
  <si>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</si>
  <si>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</si>
  <si>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</si>
  <si>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</si>
  <si>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</si>
  <si>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</si>
  <si>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</si>
  <si>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</si>
  <si>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</si>
  <si>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</si>
  <si>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</si>
  <si>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</si>
  <si>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</si>
  <si>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</si>
  <si>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</si>
  <si>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</si>
  <si>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</si>
  <si>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</si>
  <si>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</si>
  <si>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</si>
  <si>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</si>
  <si>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</si>
  <si>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</si>
  <si>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</si>
  <si>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</si>
  <si>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</si>
  <si>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</si>
  <si>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</si>
  <si>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</si>
  <si>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</si>
  <si>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</si>
  <si>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</si>
  <si>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</si>
  <si>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</si>
  <si>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</si>
  <si>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</si>
  <si>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</si>
  <si>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</si>
  <si>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</si>
  <si>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</si>
  <si>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</si>
  <si>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</si>
  <si>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</si>
  <si>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</si>
  <si>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</si>
  <si>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</si>
  <si>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</si>
  <si>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500697</t>
  </si>
  <si>
    <t>Amikacin B.Braun 10mg/ml EP 100ml</t>
  </si>
  <si>
    <t>10X100ml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</si>
  <si>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</si>
  <si>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</si>
  <si>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</si>
  <si>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</si>
  <si>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</si>
  <si>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</si>
  <si>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</si>
  <si>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</si>
  <si>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</si>
  <si>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</si>
  <si>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</si>
  <si>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101077</t>
  </si>
  <si>
    <t>1077</t>
  </si>
  <si>
    <t>OPHTHALMO-FRAMYKOIN COMPOSITUM</t>
  </si>
  <si>
    <t>162496</t>
  </si>
  <si>
    <t>TAZIP 4 G/0,5 G</t>
  </si>
  <si>
    <t>INJ+INF PLV SOL 10X4,5GM</t>
  </si>
  <si>
    <t>500696</t>
  </si>
  <si>
    <t>Amikacin B.Braun 5mg/ml EP 100ml</t>
  </si>
  <si>
    <t>113453</t>
  </si>
  <si>
    <t>PIPERACILLIN/TAZOBACTAM KABI 4 G/0,5 G</t>
  </si>
  <si>
    <t>INF PLV SOL 10X4.5GM</t>
  </si>
  <si>
    <t>160041</t>
  </si>
  <si>
    <t>LINEZOLID TEVA 2 MG/ML</t>
  </si>
  <si>
    <t>INF SOL 10X300ML/600MG II</t>
  </si>
  <si>
    <t>201030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</si>
  <si>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</si>
  <si>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</si>
  <si>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</si>
  <si>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</si>
  <si>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</si>
  <si>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</si>
  <si>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</si>
  <si>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</si>
  <si>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</si>
  <si>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</si>
  <si>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</si>
  <si>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</si>
  <si>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</si>
  <si>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</si>
  <si>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</si>
  <si>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</si>
  <si>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</si>
  <si>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</si>
  <si>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</si>
  <si>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</si>
  <si>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</si>
  <si>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</si>
  <si>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</si>
  <si>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</si>
  <si>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</si>
  <si>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</si>
  <si>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</si>
  <si>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</si>
  <si>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</si>
  <si>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</si>
  <si>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</si>
  <si>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</si>
  <si>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</si>
  <si>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</si>
  <si>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</si>
  <si>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</si>
  <si>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</si>
  <si>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</si>
  <si>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</si>
  <si>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</si>
  <si>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</si>
  <si>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</si>
  <si>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</si>
  <si>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</si>
  <si>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</si>
  <si>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</si>
  <si>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</si>
  <si>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</si>
  <si>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105113</t>
  </si>
  <si>
    <t>5113</t>
  </si>
  <si>
    <t>TARGOCID 400MG</t>
  </si>
  <si>
    <t>INJ SIC 1X400MG+SOL</t>
  </si>
  <si>
    <t>50113014</t>
  </si>
  <si>
    <t>161980</t>
  </si>
  <si>
    <t>61980</t>
  </si>
  <si>
    <t>PIMAFUCORT</t>
  </si>
  <si>
    <t>UNG 1X15GM</t>
  </si>
  <si>
    <t>116895</t>
  </si>
  <si>
    <t>16895</t>
  </si>
  <si>
    <t>IMAZOL KRÉMPASTA</t>
  </si>
  <si>
    <t>DRM PST 1X30GM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</si>
  <si>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</si>
  <si>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</si>
  <si>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</si>
  <si>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</si>
  <si>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</si>
  <si>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</si>
  <si>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</si>
  <si>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</si>
  <si>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</si>
  <si>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</si>
  <si>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</si>
  <si>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</si>
  <si>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</si>
  <si>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</si>
  <si>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</si>
  <si>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</si>
  <si>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</si>
  <si>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</si>
  <si>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</si>
  <si>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</si>
  <si>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</si>
  <si>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</si>
  <si>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126889</t>
  </si>
  <si>
    <t>26889</t>
  </si>
  <si>
    <t>POR TBL OBD14X200MG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</si>
  <si>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</si>
  <si>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</si>
  <si>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</si>
  <si>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</si>
  <si>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</si>
  <si>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</si>
  <si>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</si>
  <si>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</si>
  <si>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</si>
  <si>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0129057</t>
  </si>
  <si>
    <t>ATENATIV</t>
  </si>
  <si>
    <t>INF PSO LQF 1X1000UT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</si>
  <si>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</si>
  <si>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</si>
  <si>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</si>
  <si>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</si>
  <si>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</si>
  <si>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</si>
  <si>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</si>
  <si>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5931 - Oddělení int. péče chirurg. oborů, JIP 51</t>
  </si>
  <si>
    <t>N05CD08 - Midazolam</t>
  </si>
  <si>
    <t>N01AH03 - Sufentanyl</t>
  </si>
  <si>
    <t>L04AA06 - Mykofenolová kyselina</t>
  </si>
  <si>
    <t>N01AX10 - Propofol</t>
  </si>
  <si>
    <t>J01DD01 - Cefotaxim</t>
  </si>
  <si>
    <t>V06XX - Potraviny pro zvláštní lékařské účely (PZLÚ)</t>
  </si>
  <si>
    <t>H03AA01 - Levothyroxin, sodná sůl</t>
  </si>
  <si>
    <t>B01AC16 - Eptifibatid</t>
  </si>
  <si>
    <t>J02AX06 - Anidulafungin</t>
  </si>
  <si>
    <t>C01BD01 - Amiodaron</t>
  </si>
  <si>
    <t>C07AB05 - Betaxolol</t>
  </si>
  <si>
    <t>N03AX12 - Gabapentin</t>
  </si>
  <si>
    <t>C08CA01 - Amlodipin</t>
  </si>
  <si>
    <t>B01AB06 - Nadroparin</t>
  </si>
  <si>
    <t>C08CA08 - Nitrendipin</t>
  </si>
  <si>
    <t>J02AC01 - Flukonazol</t>
  </si>
  <si>
    <t>C09AA02 - Enalapril</t>
  </si>
  <si>
    <t>A06AD11 - Laktulóza</t>
  </si>
  <si>
    <t>C10AB05 - Fenofibrát</t>
  </si>
  <si>
    <t>A16AA02 - Ademethionin</t>
  </si>
  <si>
    <t>H01CB02 - Oktreotid</t>
  </si>
  <si>
    <t>R03DC03 - Montelukast</t>
  </si>
  <si>
    <t>H02AB04 - Methylprednisolon</t>
  </si>
  <si>
    <t>J01MA01 - Ofloxacin</t>
  </si>
  <si>
    <t>J01MA02 - Ciprofloxacin</t>
  </si>
  <si>
    <t>J01XA01 - Vankomycin</t>
  </si>
  <si>
    <t>J01XA02 - Teikoplanin</t>
  </si>
  <si>
    <t>J01AA12 - Tigecyklin</t>
  </si>
  <si>
    <t>J02AC03 - Vorikonazol</t>
  </si>
  <si>
    <t>J01CR01 - Ampicilin a enzymový inhibitor</t>
  </si>
  <si>
    <t>A04AA01 - Ondansetron</t>
  </si>
  <si>
    <t>J01CR02 - Amoxicilin a enzymový inhibitor</t>
  </si>
  <si>
    <t>A10AB05 - Inzulin aspart</t>
  </si>
  <si>
    <t>J01DB04 - Cefazolin</t>
  </si>
  <si>
    <t>N05AH04 - Kvetiapin</t>
  </si>
  <si>
    <t>J01DC02 - Cefuroxim</t>
  </si>
  <si>
    <t>N06AB04 - Citalopram</t>
  </si>
  <si>
    <t>N06AB05 - Paroxetin</t>
  </si>
  <si>
    <t>N06AB06 - Sertralin</t>
  </si>
  <si>
    <t>R03AC02 - Salbutamol</t>
  </si>
  <si>
    <t>A02BC02 - Pantoprazol</t>
  </si>
  <si>
    <t>R06AE09 - Levocetirizin</t>
  </si>
  <si>
    <t>J01FA09 - Klarithromycin</t>
  </si>
  <si>
    <t>J01FF01 - Klindamycin</t>
  </si>
  <si>
    <t>J01DH51 - Imipenem a enzymový inhibitor</t>
  </si>
  <si>
    <t>A02BC02</t>
  </si>
  <si>
    <t>A04AA01</t>
  </si>
  <si>
    <t>A06AD11</t>
  </si>
  <si>
    <t>A10AB05</t>
  </si>
  <si>
    <t>A16AA02</t>
  </si>
  <si>
    <t>TRANSMETIL 500 MG INJEKCE</t>
  </si>
  <si>
    <t>INJ PSO LQF 5X500MG</t>
  </si>
  <si>
    <t>B01AB06</t>
  </si>
  <si>
    <t>INJ SOL 10X5ML/47.5KU</t>
  </si>
  <si>
    <t>B01AC16</t>
  </si>
  <si>
    <t>INTEGRILIN 0,75 MG/ML</t>
  </si>
  <si>
    <t>INF SOL 1X100ML/75MG</t>
  </si>
  <si>
    <t>C01BD01</t>
  </si>
  <si>
    <t>POR TBL NOB 30X200MG</t>
  </si>
  <si>
    <t>POR TBL NOB 60X200MG</t>
  </si>
  <si>
    <t>C07AB05</t>
  </si>
  <si>
    <t>C08CA01</t>
  </si>
  <si>
    <t>C08CA08</t>
  </si>
  <si>
    <t>C09AA02</t>
  </si>
  <si>
    <t>INJ SOL 5X1ML/1.25MG</t>
  </si>
  <si>
    <t>C10AB05</t>
  </si>
  <si>
    <t>POR CPS DUR 30X267MG</t>
  </si>
  <si>
    <t>H01CB02</t>
  </si>
  <si>
    <t>SANDOSTATIN 0,1 MG/ML</t>
  </si>
  <si>
    <t>INJ SOL+INF CNC SOL5X1ML/0.1MG</t>
  </si>
  <si>
    <t>H02AB04</t>
  </si>
  <si>
    <t>POR TBL NOB 50X16MG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</si>
  <si>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</si>
  <si>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</si>
  <si>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</si>
  <si>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</si>
  <si>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</si>
  <si>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</si>
  <si>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J01CR01</t>
  </si>
  <si>
    <t>J01CR02</t>
  </si>
  <si>
    <t>AMOKSIKLAV 1,2 G</t>
  </si>
  <si>
    <t>INJ PLV SOL 5X1.2GM</t>
  </si>
  <si>
    <t>AMOKSIKLAV 625 MG</t>
  </si>
  <si>
    <t>POR TBL FLM 21X625MG</t>
  </si>
  <si>
    <t>J01DB04</t>
  </si>
  <si>
    <t>J01DC02</t>
  </si>
  <si>
    <t>ZINACEF 1,5 G</t>
  </si>
  <si>
    <t>J01DD01</t>
  </si>
  <si>
    <t>J01DH51</t>
  </si>
  <si>
    <t>J01FA09</t>
  </si>
  <si>
    <t>INF PLV SOL 1X500MG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</si>
  <si>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</si>
  <si>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</si>
  <si>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</si>
  <si>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</si>
  <si>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</si>
  <si>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</si>
  <si>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</si>
  <si>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</si>
  <si>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</si>
  <si>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INJ PLV SOL 1X500MG</t>
  </si>
  <si>
    <t>EDICIN 1 G</t>
  </si>
  <si>
    <t>J01XA02</t>
  </si>
  <si>
    <t>TARGOCID 400 MG</t>
  </si>
  <si>
    <t>INJ+POR PSO LQF 1X400MG</t>
  </si>
  <si>
    <t>J02AC01</t>
  </si>
  <si>
    <t>MYCOMAX INF</t>
  </si>
  <si>
    <t>INF SOL 100ML/200MG</t>
  </si>
  <si>
    <t>J02AC03</t>
  </si>
  <si>
    <t>POR TBL FLM 14X200MG</t>
  </si>
  <si>
    <t>J02AX06</t>
  </si>
  <si>
    <t>L04AA06</t>
  </si>
  <si>
    <t>POR TBL FLM 50X500MG</t>
  </si>
  <si>
    <t>N01AH03</t>
  </si>
  <si>
    <t>SUFENTA FORTE</t>
  </si>
  <si>
    <t>INJ SOL 5X1ML/50RG</t>
  </si>
  <si>
    <t>N01AX10</t>
  </si>
  <si>
    <t>N03AX12</t>
  </si>
  <si>
    <t>NEURONTIN 100 MG</t>
  </si>
  <si>
    <t>POR CPS DUR 20X100MG</t>
  </si>
  <si>
    <t>NEURONTIN 300 MG</t>
  </si>
  <si>
    <t>POR CPS DUR 50X300MG</t>
  </si>
  <si>
    <t>N05AH04</t>
  </si>
  <si>
    <t>N05CD08</t>
  </si>
  <si>
    <t>MIDAZOLAM TORREX 1 MG/ML</t>
  </si>
  <si>
    <t>INJ SOL 10X5ML/5MG</t>
  </si>
  <si>
    <t>N06AB04</t>
  </si>
  <si>
    <t>POR TBL FLM 30X20 MG</t>
  </si>
  <si>
    <t>N06AB05</t>
  </si>
  <si>
    <t>N06AB06</t>
  </si>
  <si>
    <t>ZOLOFT 50 MG</t>
  </si>
  <si>
    <t>POR TBL FLM 28X50MG</t>
  </si>
  <si>
    <t>R03AC02</t>
  </si>
  <si>
    <t>R03DC03</t>
  </si>
  <si>
    <t>R06AE09</t>
  </si>
  <si>
    <t>V06XX</t>
  </si>
  <si>
    <t>NUTRISON PROTEIN PLUS MULTI FIBRE</t>
  </si>
  <si>
    <t>NUTRIDRINK S PŘÍCHUTÍ ČOKOLÁDOVOU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</si>
  <si>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</si>
  <si>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</si>
  <si>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</si>
  <si>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</si>
  <si>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</si>
  <si>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</si>
  <si>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</si>
  <si>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</si>
  <si>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5921</t>
  </si>
  <si>
    <t>ZA314</t>
  </si>
  <si>
    <t>Obinadlo idealast-haft 8 cm x   4 m 9311113</t>
  </si>
  <si>
    <t>ZA593</t>
  </si>
  <si>
    <t>Tampon stáčený sterilní 20 x 20 cm / 5 ks 28003</t>
  </si>
  <si>
    <t>ZC702</t>
  </si>
  <si>
    <t>Náplast tegaderm 6,0 cm x 7,0 cm bal. á 100 ks 1624W</t>
  </si>
  <si>
    <t>ZC854</t>
  </si>
  <si>
    <t xml:space="preserve">Kompresa NT 7,5 x 7,5 cm / 2 ks sterilní 26510 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</si>
  <si>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</si>
  <si>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</si>
  <si>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</si>
  <si>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</si>
  <si>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</si>
  <si>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</si>
  <si>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ZA727</t>
  </si>
  <si>
    <t>Kontejner 30 ml sterilní 331690251750</t>
  </si>
  <si>
    <t>ZA787</t>
  </si>
  <si>
    <t>Stříkačka injekční 2-dílná 10 ml L Inject Solo 4606108V</t>
  </si>
  <si>
    <t>ZA788</t>
  </si>
  <si>
    <t>Stříkačka injekční 2-dílná 20 ml L Inject Solo 4606205V</t>
  </si>
  <si>
    <t>ZC769</t>
  </si>
  <si>
    <t>Hadička spojovací HS 1,8 x 450LL 606301</t>
  </si>
  <si>
    <t>ZC863</t>
  </si>
  <si>
    <t>Hadička spojovací HS 1,8 x 1800LL 606304</t>
  </si>
  <si>
    <t>ZH168</t>
  </si>
  <si>
    <t>Stříkačka injekční 3-dílná 1 ml L tuberculin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</si>
  <si>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</si>
  <si>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</si>
  <si>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</si>
  <si>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</si>
  <si>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</si>
  <si>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</si>
  <si>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</si>
  <si>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</si>
  <si>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</si>
  <si>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</si>
  <si>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</si>
  <si>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</si>
  <si>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</si>
  <si>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</si>
  <si>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</si>
  <si>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</si>
  <si>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</si>
  <si>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</si>
  <si>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</si>
  <si>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</si>
  <si>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</si>
  <si>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</si>
  <si>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</si>
  <si>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</si>
  <si>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</si>
  <si>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</si>
  <si>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ZA418</t>
  </si>
  <si>
    <t>Náplast metaline pod TS 8 x 9 cm 23094</t>
  </si>
  <si>
    <t>ZA419</t>
  </si>
  <si>
    <t>Náplast betaplast bílá 10 cm x 5 m 510W</t>
  </si>
  <si>
    <t>ZA421</t>
  </si>
  <si>
    <t>Obinadlo elastické idealtex 10 cm x 5 m 931062</t>
  </si>
  <si>
    <t>ZA423</t>
  </si>
  <si>
    <t>Obinadlo elastické idealtex 12 cm x 5 m 9310633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</si>
  <si>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</si>
  <si>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</si>
  <si>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</si>
  <si>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</si>
  <si>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</si>
  <si>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</si>
  <si>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ZA454</t>
  </si>
  <si>
    <t>Kompresa AB 10 x 10 cm / 1 ks sterilní NT savá 1230114011</t>
  </si>
  <si>
    <t>ZA459</t>
  </si>
  <si>
    <t>Kompresa AB 10 x 20 cm / 1 ks sterilní NT savá 1230114021</t>
  </si>
  <si>
    <t>ZA466</t>
  </si>
  <si>
    <t>Tyčinka vatová sterilní 14 cm 9679501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</si>
  <si>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</si>
  <si>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</si>
  <si>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</si>
  <si>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</si>
  <si>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</si>
  <si>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</si>
  <si>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</si>
  <si>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7162212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</si>
  <si>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</si>
  <si>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</si>
  <si>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</si>
  <si>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</si>
  <si>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</si>
  <si>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</si>
  <si>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</si>
  <si>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</si>
  <si>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</si>
  <si>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</si>
  <si>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</si>
  <si>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</si>
  <si>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</si>
  <si>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</si>
  <si>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</si>
  <si>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</si>
  <si>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</si>
  <si>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</si>
  <si>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</si>
  <si>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</si>
  <si>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</si>
  <si>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</si>
  <si>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</si>
  <si>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</si>
  <si>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</si>
  <si>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</si>
  <si>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ZC845</t>
  </si>
  <si>
    <t>Kompresa NT 10 x 20 cm / 5 ks sterilní 26621</t>
  </si>
  <si>
    <t>ZC846</t>
  </si>
  <si>
    <t>Kompresa AB 15 x 25 cm /1 ks sterilní NT savá 1230114031</t>
  </si>
  <si>
    <t>ZC857</t>
  </si>
  <si>
    <t>Krytí mastný tyl grassolind 10 x 20 cm bal. á 30 ks 4993368</t>
  </si>
  <si>
    <t>ZC885</t>
  </si>
  <si>
    <t>Náplast omnifix E 10 cm x 10 m 900650</t>
  </si>
  <si>
    <t>ZD482</t>
  </si>
  <si>
    <t>Sprej Opsite 240 ml,á 12 ks 66004980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</si>
  <si>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</si>
  <si>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</si>
  <si>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</si>
  <si>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</si>
  <si>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</si>
  <si>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5,00 m 840W</t>
  </si>
  <si>
    <t>ZI600</t>
  </si>
  <si>
    <t>Náplast curapor 10 x 15 cm 22122 ( náhrada za cosmopor )</t>
  </si>
  <si>
    <t>ZI601</t>
  </si>
  <si>
    <t>Náplast curapor 10 x 20 cm 22123 ( náhrada za cosmopor )</t>
  </si>
  <si>
    <t>ZI974</t>
  </si>
  <si>
    <t>Pěna střední V.A.C M8275052</t>
  </si>
  <si>
    <t>ZA437</t>
  </si>
  <si>
    <t>Obinadlo pruban č.14 427314</t>
  </si>
  <si>
    <t>ZA442</t>
  </si>
  <si>
    <t>Steh náplasťový Steri-strip 6 x 75 mm bal. á 50 ks R1541</t>
  </si>
  <si>
    <t>ZA622</t>
  </si>
  <si>
    <t>Kompresa NT   5 x  5 cm nesterilní 06101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</si>
  <si>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</si>
  <si>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</si>
  <si>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</si>
  <si>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</si>
  <si>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</si>
  <si>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</si>
  <si>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</si>
  <si>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</si>
  <si>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ZK087</t>
  </si>
  <si>
    <t>Krém cavilon ochranný bariérový á 28 g bal. á 12 ks 3391E</t>
  </si>
  <si>
    <t>ZA472</t>
  </si>
  <si>
    <t>Krytí melgisorb alginátové 10 x 10 cm bal. á 10 ks 251100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</si>
  <si>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</si>
  <si>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</si>
  <si>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</si>
  <si>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</si>
  <si>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</si>
  <si>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</si>
  <si>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</si>
  <si>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</si>
  <si>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</si>
  <si>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</si>
  <si>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ZA005</t>
  </si>
  <si>
    <t>Obinadlo pruban č.  7 427307</t>
  </si>
  <si>
    <t>ZA639</t>
  </si>
  <si>
    <t>Krytí tenderwet 24 active 10 x 10 cm bal. á 20 ks 609822</t>
  </si>
  <si>
    <t>ZI975</t>
  </si>
  <si>
    <t>Pěna velká V.A.C M8275053</t>
  </si>
  <si>
    <t>ZD819</t>
  </si>
  <si>
    <t xml:space="preserve">Krytí debrisoft 10 x 10 cm bal. á 5 ks 31222   </t>
  </si>
  <si>
    <t>ZA473</t>
  </si>
  <si>
    <t>Krytí melgisorb pro dutiny 3 x 32 cm bal. á 5 ks 253000</t>
  </si>
  <si>
    <t>ZF745</t>
  </si>
  <si>
    <t>Krytí allevyn gentle soft gel adhesive 5 x 5 cm bal. á 10 ks 66800247</t>
  </si>
  <si>
    <t>ZA688</t>
  </si>
  <si>
    <t>Sáček močový curity s hod.diurézou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</si>
  <si>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</si>
  <si>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</si>
  <si>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</si>
  <si>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</si>
  <si>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</si>
  <si>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</si>
  <si>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</si>
  <si>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1320100655</t>
  </si>
  <si>
    <t>ZA738</t>
  </si>
  <si>
    <t>Filtr mini spike zelený 4550242</t>
  </si>
  <si>
    <t>ZA762</t>
  </si>
  <si>
    <t>Pohár na moč 100 ml UH 712252</t>
  </si>
  <si>
    <t>ZA763</t>
  </si>
  <si>
    <t>Pohár na moč 250 ml UH 712253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</si>
  <si>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</si>
  <si>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</si>
  <si>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</si>
  <si>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</si>
  <si>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</si>
  <si>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</si>
  <si>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</si>
  <si>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</si>
  <si>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</si>
  <si>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</si>
  <si>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</si>
  <si>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</si>
  <si>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</si>
  <si>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</si>
  <si>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</si>
  <si>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3-dílná 60 ml vyplachovací MRG564</t>
  </si>
  <si>
    <t>ZA967</t>
  </si>
  <si>
    <t>Flocare set 800 pump pro enter.vaky-569886  A4323102</t>
  </si>
  <si>
    <t>ZB103</t>
  </si>
  <si>
    <t>Láhev k odsávačce flovac 2l hadice 1,8 m 000-036-021</t>
  </si>
  <si>
    <t>ZB232</t>
  </si>
  <si>
    <t>Maska anesteziologická č.4 7194</t>
  </si>
  <si>
    <t>ZB249</t>
  </si>
  <si>
    <t>Sáček močový s křížovou výpustí sterilní 2000 ml ZAR-TNU201601</t>
  </si>
  <si>
    <t>ZB361</t>
  </si>
  <si>
    <t>Láhev respiflo 1000 ml 21000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</si>
  <si>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</si>
  <si>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</si>
  <si>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</si>
  <si>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</si>
  <si>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</si>
  <si>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</si>
  <si>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</si>
  <si>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</si>
  <si>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ZB598</t>
  </si>
  <si>
    <t>Spojka přímá symetrická 7 x 7 mm 120 430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</si>
  <si>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</si>
  <si>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</si>
  <si>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</si>
  <si>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</si>
  <si>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</si>
  <si>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</si>
  <si>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</si>
  <si>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</si>
  <si>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</si>
  <si>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</si>
  <si>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</si>
  <si>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</si>
  <si>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</si>
  <si>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</si>
  <si>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</si>
  <si>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</si>
  <si>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</si>
  <si>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</si>
  <si>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ZB767</t>
  </si>
  <si>
    <t>Jehla vakuová 226/38 mm černá 450075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</si>
  <si>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</si>
  <si>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</si>
  <si>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</si>
  <si>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</si>
  <si>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</si>
  <si>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</si>
  <si>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</si>
  <si>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</si>
  <si>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</si>
  <si>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</si>
  <si>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</si>
  <si>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</si>
  <si>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</si>
  <si>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</si>
  <si>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</si>
  <si>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</si>
  <si>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</si>
  <si>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</si>
  <si>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</si>
  <si>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</si>
  <si>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</si>
  <si>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</si>
  <si>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</si>
  <si>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</si>
  <si>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ZC366</t>
  </si>
  <si>
    <t>Převodník tlakový PX260 bal. 150 cm bal. á 20 ks T100209A</t>
  </si>
  <si>
    <t>ZC506</t>
  </si>
  <si>
    <t>Kompresa NT 10 x 10 cm / 5 ks sterilní 1325020275</t>
  </si>
  <si>
    <t>ZC648</t>
  </si>
  <si>
    <t>Elektroda EKG s gelem ovál 51 x 33 mm pro dospělé H-108006</t>
  </si>
  <si>
    <t>ZC738</t>
  </si>
  <si>
    <t>Husí krk Expandi-flex 22362</t>
  </si>
  <si>
    <t>ZC743</t>
  </si>
  <si>
    <t>Katetr močový tiemann CH14 s balonkem bal. á 12 ks K02-9814-02</t>
  </si>
  <si>
    <t>ZC755</t>
  </si>
  <si>
    <t>Čepelka skalpelová 22 BB522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</si>
  <si>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</si>
  <si>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</si>
  <si>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</si>
  <si>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</si>
  <si>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</si>
  <si>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</si>
  <si>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ZD979</t>
  </si>
  <si>
    <t>Kanyla vasofix 17G bílá safety 4269152S-01</t>
  </si>
  <si>
    <t>ZE159</t>
  </si>
  <si>
    <t>Nádoba na kontaminovaný odpad 2 l 15-0003</t>
  </si>
  <si>
    <t>ZF018</t>
  </si>
  <si>
    <t>Kanyla vasofix 16G šedá safety 4269179S-01</t>
  </si>
  <si>
    <t>ZF233</t>
  </si>
  <si>
    <t>Stříkačka injekční arteriální 3 ml line draw L/S bal. á 200 ks 4043E</t>
  </si>
  <si>
    <t>ZG515</t>
  </si>
  <si>
    <t>Zkumavka močová vacuette 10,5 ml bal. á 50 ks 331980455007</t>
  </si>
  <si>
    <t>ZG893</t>
  </si>
  <si>
    <t>Rouška prošívaná na popáleniny 40 x 60 cm karton á 30 ks 28510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</si>
  <si>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</si>
  <si>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</si>
  <si>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</si>
  <si>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</si>
  <si>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</si>
  <si>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</si>
  <si>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</si>
  <si>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</si>
  <si>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</si>
  <si>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</si>
  <si>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</si>
  <si>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</si>
  <si>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</si>
  <si>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</si>
  <si>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</si>
  <si>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</si>
  <si>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</si>
  <si>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</si>
  <si>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</si>
  <si>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</si>
  <si>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</si>
  <si>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</si>
  <si>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</si>
  <si>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</si>
  <si>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ZK435</t>
  </si>
  <si>
    <t>Rampa 5 kohouty discofix bal. á 50 ks 4085450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</si>
  <si>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</si>
  <si>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</si>
  <si>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</si>
  <si>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</si>
  <si>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</si>
  <si>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</si>
  <si>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</si>
  <si>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</si>
  <si>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</si>
  <si>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</si>
  <si>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</si>
  <si>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02-011-11</t>
  </si>
  <si>
    <t>ZA279</t>
  </si>
  <si>
    <t>Kanyla TS 7,0 s manžetou 100/800/070</t>
  </si>
  <si>
    <t>ZA799</t>
  </si>
  <si>
    <t>Trokar hrudní redax F20 s ostrým koncem bal. á 10 ks 11220</t>
  </si>
  <si>
    <t>ZA840</t>
  </si>
  <si>
    <t xml:space="preserve">Kanyla ET 9,5 s manžetou bal. á 10 ks 9495E 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</si>
  <si>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</si>
  <si>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</si>
  <si>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</si>
  <si>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</si>
  <si>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</si>
  <si>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</si>
  <si>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</si>
  <si>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 x 2 zuby 14,5 cm 397114080381</t>
  </si>
  <si>
    <t>ZB233</t>
  </si>
  <si>
    <t>Maska anesteziologická obličej.č.5 7095000</t>
  </si>
  <si>
    <t>ZB255</t>
  </si>
  <si>
    <t>Systém odsávací uzavřený Ty-care CH14 pro TK bal. á 10 ks 444SP01314</t>
  </si>
  <si>
    <t>ZB298</t>
  </si>
  <si>
    <t>Trokar hrudní Argyle Ch16/25 cm bal. á 10 ks 8888561035</t>
  </si>
  <si>
    <t>ZC351</t>
  </si>
  <si>
    <t>Systém odsávací uzavřený CH14 jednocestný 30 cm 72 hod. bal. á 20 ks Z115-14</t>
  </si>
  <si>
    <t>ZF512</t>
  </si>
  <si>
    <t>Páska bepa clip vario pro TS kanylu 30/V á 6 ks NKS:200602</t>
  </si>
  <si>
    <t>ZI344</t>
  </si>
  <si>
    <t>Sáček vypouštěcí natura pr. 70 mm ,á 10 ks, 416423</t>
  </si>
  <si>
    <t>ZI347</t>
  </si>
  <si>
    <t>Podložka natura flexibilní pr. 57 mm, á 5 ks, 125903</t>
  </si>
  <si>
    <t>ZK735</t>
  </si>
  <si>
    <t>Konektor bezjehlový caresite bal. á 200 ks 415122</t>
  </si>
  <si>
    <t>ZL671</t>
  </si>
  <si>
    <t>Sonda Freka CH/FR 12, 120cm LL 7981811</t>
  </si>
  <si>
    <t>ZA978</t>
  </si>
  <si>
    <t>Houbička odsávací s reg. vakua 2201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</si>
  <si>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</si>
  <si>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</si>
  <si>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</si>
  <si>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</si>
  <si>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</si>
  <si>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</si>
  <si>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ZL952</t>
  </si>
  <si>
    <t>Stříkačka injekční 3-dílná 50 ml LL light protected bal.á 60 ks 2022920A</t>
  </si>
  <si>
    <t>ZL953</t>
  </si>
  <si>
    <t>Rampa 3 cestná - 3 x konektor no PVC V696423</t>
  </si>
  <si>
    <t>ZB100</t>
  </si>
  <si>
    <t>Sáček draina S vision H28566U</t>
  </si>
  <si>
    <t>ZL951</t>
  </si>
  <si>
    <t xml:space="preserve">Hadička prodlužovací PVC 150 cm pro světlocitlivé léky NO DOP bal. á 20  ks V686423 </t>
  </si>
  <si>
    <t>ZL954</t>
  </si>
  <si>
    <t>Rampa 5 cestná - 5 x konektor no PVC V696425</t>
  </si>
  <si>
    <t>ZF751</t>
  </si>
  <si>
    <t>Maska anesteziologická č.6 7096</t>
  </si>
  <si>
    <t>ZB899</t>
  </si>
  <si>
    <t>Senzor spirologický bal. á 5 ks 8403735-03</t>
  </si>
  <si>
    <t>ZI346</t>
  </si>
  <si>
    <t>Podložka natura flexibilní pr. 70 mm, á 5 ks, 125904</t>
  </si>
  <si>
    <t>ZD534</t>
  </si>
  <si>
    <t>Okruh dýchací compact II 2,0 m 2151000/W</t>
  </si>
  <si>
    <t>ZA685</t>
  </si>
  <si>
    <t>Sonda pro tamponádu jícnu č.7 699021PHX</t>
  </si>
  <si>
    <t>ZB389</t>
  </si>
  <si>
    <t xml:space="preserve">Kanyla ET 9,0 s manžetou bal. á 10 ks 9590E </t>
  </si>
  <si>
    <t>ZJ672</t>
  </si>
  <si>
    <t>Pohár na moč 250 ml UH GAMA204809</t>
  </si>
  <si>
    <t>ZB054</t>
  </si>
  <si>
    <t>Láhev 2,00 l šroubový uzávěr 111-888-200</t>
  </si>
  <si>
    <t>ZD963</t>
  </si>
  <si>
    <t>Systém hrudní drenážní altitude 8888571371</t>
  </si>
  <si>
    <t>ZB507</t>
  </si>
  <si>
    <t>Páska fixační SOFT FIX, set-4druhy, 9 rolí NKS:30-05</t>
  </si>
  <si>
    <t>ZM314</t>
  </si>
  <si>
    <t>Vak jednorázový k odsávačce flovac 2l hadice 1,8 m 000-036-031</t>
  </si>
  <si>
    <t>ZF617</t>
  </si>
  <si>
    <t>Vak jednorázový k odsávačce flovac 2l bez hadice 000-036-011</t>
  </si>
  <si>
    <t>ZC081</t>
  </si>
  <si>
    <t>Močoměr bez teploměru 710363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</si>
  <si>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</si>
  <si>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</si>
  <si>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</si>
  <si>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</si>
  <si>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</si>
  <si>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</si>
  <si>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</si>
  <si>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</si>
  <si>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ZK434</t>
  </si>
  <si>
    <t>Katetr PICC bal. á 5 ks EU-05552-HP</t>
  </si>
  <si>
    <t>ZA206</t>
  </si>
  <si>
    <t>Set perkutální PEG-24-PULL-I-S</t>
  </si>
  <si>
    <t>Set infuzní intrafix primeline classic 150 cm 4062957</t>
  </si>
  <si>
    <t>ZB715</t>
  </si>
  <si>
    <t>Set kangaro univerzální bal. á 30 ks 777304</t>
  </si>
  <si>
    <t>ZE079</t>
  </si>
  <si>
    <t>Set transfúzní non PVC s odvzdušněním a bakteriálním filtrem ZAR-I-TS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</si>
  <si>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</si>
  <si>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</si>
  <si>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</si>
  <si>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</si>
  <si>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</si>
  <si>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</si>
  <si>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</si>
  <si>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</si>
  <si>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ZA836</t>
  </si>
  <si>
    <t>Jehla injekční 0,9 x   70 mm žlutá</t>
  </si>
  <si>
    <t>ZB481</t>
  </si>
  <si>
    <t>Jehla chirurgická B13</t>
  </si>
  <si>
    <t>ZB556</t>
  </si>
  <si>
    <t>Jehla injekční 1,2 x   40 mm růžová 4665120</t>
  </si>
  <si>
    <t>ZB768</t>
  </si>
  <si>
    <t>Jehla vakuová 216/38 mm zelená 450076</t>
  </si>
  <si>
    <t>ZB466</t>
  </si>
  <si>
    <t>Jehla chirurgická B14</t>
  </si>
  <si>
    <t>ZI493</t>
  </si>
  <si>
    <t>Rukavice vinyl bez p. XL 01260-XL</t>
  </si>
  <si>
    <t>ZI758</t>
  </si>
  <si>
    <t>Rukavice vinyl bez p. M á 100 ks EFEKTVR03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</si>
  <si>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</si>
  <si>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</si>
  <si>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</si>
  <si>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</si>
  <si>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</si>
  <si>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</si>
  <si>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</si>
  <si>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</si>
  <si>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</si>
  <si>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</si>
  <si>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</si>
  <si>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</si>
  <si>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</si>
  <si>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</si>
  <si>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</si>
  <si>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</si>
  <si>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</si>
  <si>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</si>
  <si>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</si>
  <si>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</si>
  <si>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</si>
  <si>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</si>
  <si>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</si>
  <si>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</si>
  <si>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</si>
  <si>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</si>
  <si>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</si>
  <si>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</si>
  <si>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DG424</t>
  </si>
  <si>
    <t>Autotrol plus B, level 2, 40 pcs</t>
  </si>
  <si>
    <t>DG423</t>
  </si>
  <si>
    <t>Autotrol plus B, level 1, 40 pcs</t>
  </si>
  <si>
    <t>DG419</t>
  </si>
  <si>
    <t>W Waste container, 2 Pcs</t>
  </si>
  <si>
    <t>Oddělení int. péče chirurg. oborů, Nutriční ambula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</si>
  <si>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</si>
  <si>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</si>
  <si>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</si>
  <si>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</si>
  <si>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</si>
  <si>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</si>
  <si>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</si>
  <si>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</si>
  <si>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</si>
  <si>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</si>
  <si>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</si>
  <si>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</si>
  <si>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</si>
  <si>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</si>
  <si>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</si>
  <si>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</si>
  <si>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50115020</t>
  </si>
  <si>
    <t>Diagnostika (132 03 001)</t>
  </si>
  <si>
    <t>Spotřeba zdravotnického materiálu - orientační přehled</t>
  </si>
  <si>
    <t>ON Data</t>
  </si>
  <si>
    <t>59 - Oddělení intenzivní péče chirurgických oborů</t>
  </si>
  <si>
    <t>501</t>
  </si>
  <si>
    <t>V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</si>
  <si>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</si>
  <si>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</si>
  <si>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</si>
  <si>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</si>
  <si>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</si>
  <si>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</si>
  <si>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</si>
  <si>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</si>
  <si>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</si>
  <si>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</si>
  <si>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</si>
  <si>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</si>
  <si>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</si>
  <si>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</si>
  <si>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</si>
  <si>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</si>
  <si>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</si>
  <si>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</si>
  <si>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</si>
  <si>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</si>
  <si>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</si>
  <si>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</si>
  <si>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</si>
  <si>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</si>
  <si>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</si>
  <si>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</si>
  <si>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</si>
  <si>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</si>
  <si>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</si>
  <si>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</si>
  <si>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</si>
  <si>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</si>
  <si>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57113</t>
  </si>
  <si>
    <t>TORAKOSKOPIE KLASICKÁ LÉČEBNÁ</t>
  </si>
  <si>
    <t>57239</t>
  </si>
  <si>
    <t>UZAVŘENÍ BRONCHOPLEURÁLNÍ PÍŠTĚLE</t>
  </si>
  <si>
    <t>57253</t>
  </si>
  <si>
    <t>PLEUREKTOMIE - ABRAZE</t>
  </si>
  <si>
    <t>61119</t>
  </si>
  <si>
    <t>SUTURA PERIFERNÍHO NERVU MIKROCHIRURGICKOU TECHNIK</t>
  </si>
  <si>
    <t>61129</t>
  </si>
  <si>
    <t>EXCIZE KOŽNÍ LÉZE, SUTURA OD 2 DO 10 CM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</si>
  <si>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</si>
  <si>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</si>
  <si>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</si>
  <si>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</si>
  <si>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</si>
  <si>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</si>
  <si>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</si>
  <si>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</si>
  <si>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</si>
  <si>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</si>
  <si>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</si>
  <si>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</si>
  <si>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</si>
  <si>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</si>
  <si>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07551</t>
  </si>
  <si>
    <t>(DRG) HYBRIDNÍ PŘÍSTUP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</si>
  <si>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</si>
  <si>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</si>
  <si>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</si>
  <si>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</si>
  <si>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</si>
  <si>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</si>
  <si>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07351</t>
  </si>
  <si>
    <t>(VZP) TROMBECTOMIE BŘIŠNÍ AORTY</t>
  </si>
  <si>
    <t>09567</t>
  </si>
  <si>
    <t>(VZP) ZÁKROK NA LEVÉ STRANĚ</t>
  </si>
  <si>
    <t>07420</t>
  </si>
  <si>
    <t>(VZP) ČÁSTEČNÉ ODSTRANĚNÍ PROTETICKÉHO MATERIÁLU V</t>
  </si>
  <si>
    <t>07486</t>
  </si>
  <si>
    <t>(VZP) REVIZE BÉRCOVÝCH TEPEN PRO INOPERABILNÍ NÁLE</t>
  </si>
  <si>
    <t>07320</t>
  </si>
  <si>
    <t>(VZP) BYPASS NEBO NÁHRADA TEPEN HORNÍCH KONČETIN A</t>
  </si>
  <si>
    <t>90890</t>
  </si>
  <si>
    <t>(VZP) PUNKCE TRACHEY SE ZAVEDENÍM KANYLY</t>
  </si>
  <si>
    <t>57229</t>
  </si>
  <si>
    <t>PLEUROSTOMIE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</si>
  <si>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</si>
  <si>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</si>
  <si>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</si>
  <si>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</si>
  <si>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</si>
  <si>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</si>
  <si>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</si>
  <si>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</si>
  <si>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</si>
  <si>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</si>
  <si>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</si>
  <si>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</si>
  <si>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</si>
  <si>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</si>
  <si>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</si>
  <si>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</si>
  <si>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51111</t>
  </si>
  <si>
    <t>OPERACE CYSTY NEBO HEMANGIOMU NEBO LIPOMU NEBO PIL</t>
  </si>
  <si>
    <t>51850</t>
  </si>
  <si>
    <t>PŘEVAZ RÁNY METODOU V. A. C. (VACUUM ASISTED CLOSU</t>
  </si>
  <si>
    <t>51386</t>
  </si>
  <si>
    <t>SUTURA EV. EXCIZE A SUTURA LÉZE STĚNY ŽALUDKU NEBO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</si>
  <si>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</si>
  <si>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</si>
  <si>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</si>
  <si>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</si>
  <si>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</si>
  <si>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</si>
  <si>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</si>
  <si>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</si>
  <si>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</si>
  <si>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</si>
  <si>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</si>
  <si>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</si>
  <si>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</si>
  <si>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</si>
  <si>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</si>
  <si>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</si>
  <si>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</si>
  <si>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</si>
  <si>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</si>
  <si>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</si>
  <si>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</si>
  <si>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</si>
  <si>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</si>
  <si>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</si>
  <si>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</si>
  <si>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51357</t>
  </si>
  <si>
    <t>JEJUNOSTOMIE, ILEOSTOMIE NEBO KOLOSTOMIE, ANTEPOZI</t>
  </si>
  <si>
    <t>61121</t>
  </si>
  <si>
    <t>CÉVNÍ ANASTOMOSA MIKROCHIRURGICKOU TECHNIKOU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</si>
  <si>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</si>
  <si>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</si>
  <si>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</si>
  <si>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</si>
  <si>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</si>
  <si>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</si>
  <si>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</si>
  <si>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</si>
  <si>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</si>
  <si>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</si>
  <si>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</si>
  <si>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</si>
  <si>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</si>
  <si>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</si>
  <si>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</si>
  <si>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</si>
  <si>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</si>
  <si>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</si>
  <si>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</si>
  <si>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</si>
  <si>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</si>
  <si>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</si>
  <si>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</si>
  <si>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</si>
  <si>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</si>
  <si>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</si>
  <si>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</si>
  <si>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</si>
  <si>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</si>
  <si>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</si>
  <si>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51381</t>
  </si>
  <si>
    <t>REKONSTRUKČNÍ VÝKON NA ŽLUČOVÝCH CESTÁCH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</si>
  <si>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</si>
  <si>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</si>
  <si>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</si>
  <si>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</si>
  <si>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</si>
  <si>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</si>
  <si>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07424</t>
  </si>
  <si>
    <t>(VZP) EMBOLECTOMIE A. FEMORALIS SUPERFICIALIS</t>
  </si>
  <si>
    <t>66915</t>
  </si>
  <si>
    <t>DEKOMPRESE FASCIÁLNÍHO LOŽE</t>
  </si>
  <si>
    <t>51361</t>
  </si>
  <si>
    <t>KOLEKTOMIE SUBTOTÁLNÍ S ILEOSTOMIÍ A UZÁVĚREM REKT</t>
  </si>
  <si>
    <t>51211</t>
  </si>
  <si>
    <t>MYOTOMIE JÍCNU, HRUDNÍ PŘÍSTUP</t>
  </si>
  <si>
    <t>07529</t>
  </si>
  <si>
    <t>(VZP) BYPASS CROSS-OVER FEMORO - FEMORÁLNÍ</t>
  </si>
  <si>
    <t>07309</t>
  </si>
  <si>
    <t>(VZP) JINÉ OPERACE VĚTVÍ OBLOUKU AORTY BEZ STERNOT</t>
  </si>
  <si>
    <t>51117</t>
  </si>
  <si>
    <t>KRČNÍ EZOFAGOSTOMIE</t>
  </si>
  <si>
    <t>07429</t>
  </si>
  <si>
    <t>(VZP) REVIZE TEPEN STEHNA PRO INOPERABILNÍ NÁLEZ</t>
  </si>
  <si>
    <t>07319</t>
  </si>
  <si>
    <t>(VZP) BYPASS NEBO NÁHRADA TEPEN HORNÍCH KONČETIN P</t>
  </si>
  <si>
    <t>5F3</t>
  </si>
  <si>
    <t>51877</t>
  </si>
  <si>
    <t>PŘILOŽENÍ LÉČEBNÉ POMŮCKY - ORTÉZY</t>
  </si>
  <si>
    <t>53119</t>
  </si>
  <si>
    <t>ZAVŘENÁ REPOZICE ZLOMENIN PŘEDLOKTÍ, LOKTE, PAŽE N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</si>
  <si>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</si>
  <si>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</si>
  <si>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</si>
  <si>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</si>
  <si>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</si>
  <si>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</si>
  <si>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</si>
  <si>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</si>
  <si>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</si>
  <si>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</si>
  <si>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66819</t>
  </si>
  <si>
    <t>APLIKACE ZEVNÍHO FIXATÉRU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</si>
  <si>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</si>
  <si>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</si>
  <si>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</si>
  <si>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</si>
  <si>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</si>
  <si>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</si>
  <si>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</si>
  <si>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</si>
  <si>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</si>
  <si>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</si>
  <si>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53517</t>
  </si>
  <si>
    <t>SUTURA NEBO REINSERCE ŠLACHY FLEXORU RUKY A ZÁPĚST</t>
  </si>
  <si>
    <t>62640</t>
  </si>
  <si>
    <t>ODBĚR DERMOEPIDERMÁLNÍHO ŠTĚPU: 1 - 5 % Z PLOCHY P</t>
  </si>
  <si>
    <t>66821</t>
  </si>
  <si>
    <t>PERKUTÁNNÍ FIXACE K-DRÁTEM</t>
  </si>
  <si>
    <t>62440</t>
  </si>
  <si>
    <t>ŠTĚP PŘI POPÁLENÍ (A OSTATNÍCH KOŽNÍCH ZTRÁTÁCH) D</t>
  </si>
  <si>
    <t>5F6</t>
  </si>
  <si>
    <t>56119</t>
  </si>
  <si>
    <t>DEKOMPRESIVNÍ KRANIEKTOMIE</t>
  </si>
  <si>
    <t>56419</t>
  </si>
  <si>
    <t>POUŽITÍ OPERAČNÍHO MIKROSKOPU Á 15 MINUT</t>
  </si>
  <si>
    <t>65513</t>
  </si>
  <si>
    <t>PŘÍPRAVA FASCIÁLNÍHO A PERIKRANIÁLNÍHO LALOKU K RE</t>
  </si>
  <si>
    <t>56151</t>
  </si>
  <si>
    <t>TREPANACE PRO EXTRACEREBRÁLNÍ HEMATOM NEBO KRANIOT</t>
  </si>
  <si>
    <t>66815</t>
  </si>
  <si>
    <t>AUTOGENNÍ ŠTĚP</t>
  </si>
  <si>
    <t>56145</t>
  </si>
  <si>
    <t>OŠETŘENÍ JEDNODUCHÉ - VPÁČENÉ ZLOMENINY LEBKY</t>
  </si>
  <si>
    <t>5T1</t>
  </si>
  <si>
    <t>1</t>
  </si>
  <si>
    <t>0003708</t>
  </si>
  <si>
    <t>ZYVOXID 2 MG/ML INFUZNÍ ROZTOK</t>
  </si>
  <si>
    <t>0003952</t>
  </si>
  <si>
    <t>AMIKIN 500 MG</t>
  </si>
  <si>
    <t>0004234</t>
  </si>
  <si>
    <t>0005113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</si>
  <si>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</si>
  <si>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</si>
  <si>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</si>
  <si>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</si>
  <si>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</si>
  <si>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</si>
  <si>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</si>
  <si>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</si>
  <si>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</si>
  <si>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0020605</t>
  </si>
  <si>
    <t>0026127</t>
  </si>
  <si>
    <t>0026902</t>
  </si>
  <si>
    <t>0053922</t>
  </si>
  <si>
    <t>0058092</t>
  </si>
  <si>
    <t>HAEMOCOMPLETTAN P</t>
  </si>
  <si>
    <t>0065989</t>
  </si>
  <si>
    <t>0066137</t>
  </si>
  <si>
    <t>0072972</t>
  </si>
  <si>
    <t>0076360</t>
  </si>
  <si>
    <t>0077044</t>
  </si>
  <si>
    <t>ZINACEF 750 MG</t>
  </si>
  <si>
    <t>0083050</t>
  </si>
  <si>
    <t>0083417</t>
  </si>
  <si>
    <t>MERONEM 1 G</t>
  </si>
  <si>
    <t>0083487</t>
  </si>
  <si>
    <t>MERONEM 500 MG</t>
  </si>
  <si>
    <t>0092289</t>
  </si>
  <si>
    <t>0092290</t>
  </si>
  <si>
    <t>0094155</t>
  </si>
  <si>
    <t>ABAKTAL 400 MG/5 ML</t>
  </si>
  <si>
    <t>0094176</t>
  </si>
  <si>
    <t>CEFOTAXIME LEK 1 G PRÁŠEK PRO INJEKČNÍ ROZTOK</t>
  </si>
  <si>
    <t>0096414</t>
  </si>
  <si>
    <t>0097910</t>
  </si>
  <si>
    <t>HUMAN ALBUMIN GRIFOLS 20%</t>
  </si>
  <si>
    <t>0112782</t>
  </si>
  <si>
    <t>GENTAMICIN B.BRAUN 3 MG/ML INFUZNÍ ROZTOK</t>
  </si>
  <si>
    <t>0129767</t>
  </si>
  <si>
    <t>0131654</t>
  </si>
  <si>
    <t>0131656</t>
  </si>
  <si>
    <t>0162187</t>
  </si>
  <si>
    <t>CIPROFLOXACIN KABI 400 MG/200 ML INFUZNÍ ROZTOK</t>
  </si>
  <si>
    <t>0164350</t>
  </si>
  <si>
    <t>TAZOCIN 4 G/0,5 G</t>
  </si>
  <si>
    <t>0500720</t>
  </si>
  <si>
    <t>0162496</t>
  </si>
  <si>
    <t>0027431</t>
  </si>
  <si>
    <t>0113453</t>
  </si>
  <si>
    <t>0149384</t>
  </si>
  <si>
    <t>2</t>
  </si>
  <si>
    <t>0007905</t>
  </si>
  <si>
    <t xml:space="preserve"> </t>
  </si>
  <si>
    <t>0007917</t>
  </si>
  <si>
    <t>0007955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</si>
  <si>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</si>
  <si>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</si>
  <si>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</si>
  <si>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</si>
  <si>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</si>
  <si>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</si>
  <si>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</si>
  <si>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</si>
  <si>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</si>
  <si>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0002264</t>
  </si>
  <si>
    <t>FIXÁTOR ZEVNÍ TRUBKOVÝ, SYNTHES</t>
  </si>
  <si>
    <t>0002425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</si>
  <si>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</si>
  <si>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</si>
  <si>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</si>
  <si>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</si>
  <si>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</si>
  <si>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</si>
  <si>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</si>
  <si>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</si>
  <si>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</si>
  <si>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</si>
  <si>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</si>
  <si>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</si>
  <si>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</si>
  <si>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</si>
  <si>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</si>
  <si>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</si>
  <si>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0017745</t>
  </si>
  <si>
    <t>0030617</t>
  </si>
  <si>
    <t>STAPLER KOŽNÍ ROYAL - 35W</t>
  </si>
  <si>
    <t>0037180</t>
  </si>
  <si>
    <t>PROTÉZA GORE-TEX CÉVNÍ - PRUŽNÁ TENK.S ODSTR.KROUŽ</t>
  </si>
  <si>
    <t>0046892</t>
  </si>
  <si>
    <t>PROTÉZA CÉVNÍ GELSOFT PLUS DÉLKA 40 CM</t>
  </si>
  <si>
    <t>0051607</t>
  </si>
  <si>
    <t>SADA GASTROSTOMICKÁ - PEG</t>
  </si>
  <si>
    <t>0053772</t>
  </si>
  <si>
    <t>STAPLER LINEÁRNÍ S BŘITEM  TCT10,TLC10</t>
  </si>
  <si>
    <t>0056289</t>
  </si>
  <si>
    <t>KATETR BALONKOVÝ FOGARTY 120803F</t>
  </si>
  <si>
    <t>0056291</t>
  </si>
  <si>
    <t>KATETR BALONKOVÝ FOGARTY 120804F</t>
  </si>
  <si>
    <t>0056292</t>
  </si>
  <si>
    <t>KATETR BALONKOVÝ FOGARTY 120805F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</si>
  <si>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</si>
  <si>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</si>
  <si>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</si>
  <si>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</si>
  <si>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</si>
  <si>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</si>
  <si>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</si>
  <si>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</si>
  <si>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</si>
  <si>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</si>
  <si>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</si>
  <si>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</si>
  <si>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</si>
  <si>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</si>
  <si>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</si>
  <si>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</si>
  <si>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</si>
  <si>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</si>
  <si>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</si>
  <si>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0008239</t>
  </si>
  <si>
    <t>FIXÁTOR ZEVNÍ ZÁPĚSTÍ TYP PENNIG    35001</t>
  </si>
  <si>
    <t>0056296</t>
  </si>
  <si>
    <t>KATETR BALONKOVÝ FOGARTY TRU-LUMEN 12TLW404F</t>
  </si>
  <si>
    <t>00651</t>
  </si>
  <si>
    <t>OD TYPU 51 - PRO NEMOCNICE TYPU 3, (KATEGORIE 6) -</t>
  </si>
  <si>
    <t>00655</t>
  </si>
  <si>
    <t>OD TYPU 55 - PRO NEMOCNICE TYPU 3, (KATEGORIE 6) -</t>
  </si>
  <si>
    <t>09227</t>
  </si>
  <si>
    <t>I. V. APLIKACE KRVE NEBO KREVNÍCH DERIVÁTŮ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</si>
  <si>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</si>
  <si>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</si>
  <si>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</si>
  <si>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</si>
  <si>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</si>
  <si>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</si>
  <si>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</si>
  <si>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</si>
  <si>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</si>
  <si>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</si>
  <si>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</si>
  <si>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</si>
  <si>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</si>
  <si>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</si>
  <si>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</si>
  <si>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</si>
  <si>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09225</t>
  </si>
  <si>
    <t>KANYLACE CENTRÁLNÍ ŽÍLY ZA KONTROLY CELKOVÉHO STAV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</si>
  <si>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</si>
  <si>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</si>
  <si>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</si>
  <si>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</si>
  <si>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</si>
  <si>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</si>
  <si>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</si>
  <si>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</si>
  <si>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</si>
  <si>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</si>
  <si>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</si>
  <si>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</si>
  <si>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</si>
  <si>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</si>
  <si>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</si>
  <si>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</si>
  <si>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</si>
  <si>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</si>
  <si>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</si>
  <si>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</si>
  <si>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</si>
  <si>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</si>
  <si>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71823</t>
  </si>
  <si>
    <t>POUŽITÍ MIKROSKOPU PŘI OPERAČNÍM VÝKONU Á 10 MINUT</t>
  </si>
  <si>
    <t>61165</t>
  </si>
  <si>
    <t>ROZPROSTŘENÍ NEBO MODELACE LALOKU</t>
  </si>
  <si>
    <t>6F3</t>
  </si>
  <si>
    <t>51711</t>
  </si>
  <si>
    <t>VÝKON LAPAROSKOPICKÝ A TORAKOSKOPICKÝ</t>
  </si>
  <si>
    <t>90782</t>
  </si>
  <si>
    <t>(DRG) LAVÁŽ A ODSÁTÍ DUTINY PERITONEÁLNÍ LAPAROSKO</t>
  </si>
  <si>
    <t>6F5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</si>
  <si>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</si>
  <si>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</si>
  <si>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</si>
  <si>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</si>
  <si>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</si>
  <si>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</si>
  <si>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65949</t>
  </si>
  <si>
    <t>OŠETŘENÍ KOLEMČELISTNÍHO ZÁNĚTU A DRENÁŽ</t>
  </si>
  <si>
    <t>71653</t>
  </si>
  <si>
    <t>ZAVŘENÁ REPOZICE FRAKTURY KŮSTEK NOSNÍCH</t>
  </si>
  <si>
    <t>71747</t>
  </si>
  <si>
    <t>ČÁSTEČNÁ EXSTIRPACE KRČNÍCH UZLIN</t>
  </si>
  <si>
    <t>61151</t>
  </si>
  <si>
    <t>UZAVŘENÍ DEFEKTU KOŽNÍM LALOKEM MÍSTNÍM NAD 20 CM^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</si>
  <si>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</si>
  <si>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</si>
  <si>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</si>
  <si>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</si>
  <si>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</si>
  <si>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</si>
  <si>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75381</t>
  </si>
  <si>
    <t>REKOSTRUKCE SPODINY OČNICE</t>
  </si>
  <si>
    <t>65611</t>
  </si>
  <si>
    <t>EXCIZE LÉZE V DUTINĚ ÚSTNÍ NAD 4 CM</t>
  </si>
  <si>
    <t>6F6</t>
  </si>
  <si>
    <t>66039</t>
  </si>
  <si>
    <t>SLOŽITÁ OPERAČNÍ ARTROSKOPIE</t>
  </si>
  <si>
    <t>66623</t>
  </si>
  <si>
    <t>PROSTÁ EXTRAKCE ENDOPROTÉZY - CEMENTOVANÉ</t>
  </si>
  <si>
    <t>66829</t>
  </si>
  <si>
    <t>ZAVEDENÍ PROPLACHOVÉ LAVÁŽE</t>
  </si>
  <si>
    <t>66817</t>
  </si>
  <si>
    <t>VÝPLŇ DUTINY</t>
  </si>
  <si>
    <t>706</t>
  </si>
  <si>
    <t>76121</t>
  </si>
  <si>
    <t>NEFROSTOMOGRAM (JEN KLINICKÝ VÝKON)</t>
  </si>
  <si>
    <t>7F1</t>
  </si>
  <si>
    <t>71213</t>
  </si>
  <si>
    <t>ENDOSKOPIE PARANASÁLNÍ DUTINY</t>
  </si>
  <si>
    <t>71311</t>
  </si>
  <si>
    <t>LARYNGOSKOPIE PŘÍMÁ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</si>
  <si>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</si>
  <si>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</si>
  <si>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</si>
  <si>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</si>
  <si>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</si>
  <si>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</si>
  <si>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71723</t>
  </si>
  <si>
    <t>UZAVŘENÍ PERZISTUJÍCÍHO TRACHEOTOMICKÉHO KANÁLU</t>
  </si>
  <si>
    <t>71639</t>
  </si>
  <si>
    <t>ENDOSKOPICKÁ OPERACE V NOSNÍ DUTINĚ</t>
  </si>
  <si>
    <t>71635</t>
  </si>
  <si>
    <t>MUKOTOMIE NEBO KONCHEKTOMIE</t>
  </si>
  <si>
    <t>7F6</t>
  </si>
  <si>
    <t>77129</t>
  </si>
  <si>
    <t>JEDNODOBÁ URETROPLASTIKA BEZ CHORDEKTOMIE NEBO II.</t>
  </si>
  <si>
    <t>76365</t>
  </si>
  <si>
    <t>PUNKČNÍ EPICYSTOSTOMIE</t>
  </si>
  <si>
    <t>76335</t>
  </si>
  <si>
    <t>OPERAČNÍ REVIZE PERIRENÁLNÍCH NEBO PERIURETERÁLNÍC</t>
  </si>
  <si>
    <t>7T8</t>
  </si>
  <si>
    <t>0011692</t>
  </si>
  <si>
    <t>0014583</t>
  </si>
  <si>
    <t>TIENAM 500 MG/500 MG I.V.</t>
  </si>
  <si>
    <t>0017041</t>
  </si>
  <si>
    <t>CEFOBID 1 G</t>
  </si>
  <si>
    <t>0017810</t>
  </si>
  <si>
    <t>0025746</t>
  </si>
  <si>
    <t>INVANZ 1 G</t>
  </si>
  <si>
    <t>0026041</t>
  </si>
  <si>
    <t>KIOVIG 100MG/ML</t>
  </si>
  <si>
    <t>0045119</t>
  </si>
  <si>
    <t>VISIPAQUE 270 MG I/ML</t>
  </si>
  <si>
    <t>0049193</t>
  </si>
  <si>
    <t>CEFTAX 1000</t>
  </si>
  <si>
    <t>0076353</t>
  </si>
  <si>
    <t>FORTUM 1 G</t>
  </si>
  <si>
    <t>0076354</t>
  </si>
  <si>
    <t>FORTUM 2 G</t>
  </si>
  <si>
    <t>0077018</t>
  </si>
  <si>
    <t>ULTRAVIST 370</t>
  </si>
  <si>
    <t>0085516</t>
  </si>
  <si>
    <t>FLEBOGAMMA 5%</t>
  </si>
  <si>
    <t>0087199</t>
  </si>
  <si>
    <t>MAXIPIME 1 G</t>
  </si>
  <si>
    <t>0093173</t>
  </si>
  <si>
    <t>ANTITHROMBIN III IMMUNO</t>
  </si>
  <si>
    <t>0098212</t>
  </si>
  <si>
    <t>0137484</t>
  </si>
  <si>
    <t>ANBINEX</t>
  </si>
  <si>
    <t>0137483</t>
  </si>
  <si>
    <t>0007957</t>
  </si>
  <si>
    <t>0007964</t>
  </si>
  <si>
    <t>0001052</t>
  </si>
  <si>
    <t>DLAHA LC-DCP ROVNÁ MALÉ FRAGMENT OCEL</t>
  </si>
  <si>
    <t>0005606</t>
  </si>
  <si>
    <t>NÁVLEK NA OPMI, TYP 71                      306071</t>
  </si>
  <si>
    <t>0012683</t>
  </si>
  <si>
    <t>IMPLANTÁT MAXILLOFACIÁLNÍ</t>
  </si>
  <si>
    <t>0012715</t>
  </si>
  <si>
    <t>0017735</t>
  </si>
  <si>
    <t>DRÁT CERKLÁŽNÍ OCEL</t>
  </si>
  <si>
    <t>0028370</t>
  </si>
  <si>
    <t>SET RENÁLNÍ A NEFROSTOMICKÝ RE 421112</t>
  </si>
  <si>
    <t>0029181</t>
  </si>
  <si>
    <t>SET NEFROSTOMICKÝ PUNKČNÍ, 340012,.13,.14;341200</t>
  </si>
  <si>
    <t>0030518</t>
  </si>
  <si>
    <t>ZÁSOBNÍK PRO LINEÁRNÍ STAPLER TA PREMIUM 90-4.8 DL</t>
  </si>
  <si>
    <t>0034333</t>
  </si>
  <si>
    <t>JEHLA PUNKČNÍ, MITTY-POLACKOVA,ECHOTIP</t>
  </si>
  <si>
    <t>0037145</t>
  </si>
  <si>
    <t>PROTÉZA GORE-TEX CÉVNÍ - PRUŽNÁ TENKOSTĚNNÁ</t>
  </si>
  <si>
    <t>0046898</t>
  </si>
  <si>
    <t>PROTÉZA CÉVNÍ BIF.GELSOFT PLUS DÉLKA 45CM</t>
  </si>
  <si>
    <t>0048989</t>
  </si>
  <si>
    <t>ELEKTRODA KOAGULAČNÍ JEDNORÁZOVÁ GN211</t>
  </si>
  <si>
    <t>0056290</t>
  </si>
  <si>
    <t>KATETR BALONKOVÝ FOGARTY 120404F</t>
  </si>
  <si>
    <t>0056293</t>
  </si>
  <si>
    <t>KATETR BALONKOVÝ FOGARTY 120806F</t>
  </si>
  <si>
    <t>0056344</t>
  </si>
  <si>
    <t>SADA PUNKČNÍ SUPRAPUBICKÁ - EASYCYST, 170718..1707</t>
  </si>
  <si>
    <t>0058624</t>
  </si>
  <si>
    <t>SET NEFROSTOMICKÝ PUNKČNÍ RENODRAIN TYP YELLOW</t>
  </si>
  <si>
    <t>0067160</t>
  </si>
  <si>
    <t>IMPLANTÁT ORBITÁLNÍ PDS ZX3,ZX4,ZX7 VSTŘEBATELNÝ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</si>
  <si>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</si>
  <si>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</si>
  <si>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</si>
  <si>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</si>
  <si>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</si>
  <si>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</si>
  <si>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0081997</t>
  </si>
  <si>
    <t>V.A.C. ATS SBĚRNÁ NÁDOBA S GELEM</t>
  </si>
  <si>
    <t>0082002</t>
  </si>
  <si>
    <t>V.A.C.GRANUFOAM(PU PĚNA) VELIKOST XL</t>
  </si>
  <si>
    <t>0082079</t>
  </si>
  <si>
    <t>KRYTÍ COM 30 OBVAZOVÁ TEXTÍLIE KOMBINOVANÁ</t>
  </si>
  <si>
    <t>0082509</t>
  </si>
  <si>
    <t>0082513</t>
  </si>
  <si>
    <t>0141868</t>
  </si>
  <si>
    <t>STENTGRAFT PERIFERNÍ,SAMOEXPANDIBILNÍ,NITINOL,POTA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</si>
  <si>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</si>
  <si>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</si>
  <si>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</si>
  <si>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</si>
  <si>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</si>
  <si>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</si>
  <si>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0058353</t>
  </si>
  <si>
    <t>LAVÁŽ A ODSÁTÍ DUTINY PERITONEÁLNÍ DRG 90782</t>
  </si>
  <si>
    <t>78022</t>
  </si>
  <si>
    <t>CÍLENÉ VYŠETŘENÍ ANESTEZIOLOGEM</t>
  </si>
  <si>
    <t>09547</t>
  </si>
  <si>
    <t>REGULAČNÍ POPLATEK -- POJIŠTĚNEC OD ÚHRADY POPLATK</t>
  </si>
  <si>
    <t>09544</t>
  </si>
  <si>
    <t>REGULAČNÍ POPLATEK ZA KAŽDÝ DEN LŮŽKOVÉ PÉČE -- PO</t>
  </si>
  <si>
    <t>78021</t>
  </si>
  <si>
    <t>KOMPLEXNÍ VYŠETŘENÍ ANESTEZIOLOGEM</t>
  </si>
  <si>
    <t>809</t>
  </si>
  <si>
    <t>89173</t>
  </si>
  <si>
    <t>ANTEGRÁDNÍ PYELOGRAFIE JEDNOSTRANNÁ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</si>
  <si>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</si>
  <si>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</si>
  <si>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</si>
  <si>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</si>
  <si>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</si>
  <si>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</si>
  <si>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</si>
  <si>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</si>
  <si>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</si>
  <si>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</si>
  <si>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</si>
  <si>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</si>
  <si>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</si>
  <si>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</si>
  <si>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</si>
  <si>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</si>
  <si>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</si>
  <si>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</si>
  <si>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</si>
  <si>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</si>
  <si>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</si>
  <si>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</si>
  <si>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</si>
  <si>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</si>
  <si>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</si>
  <si>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</si>
  <si>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</si>
  <si>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</si>
  <si>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</si>
  <si>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</si>
  <si>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</si>
  <si>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</si>
  <si>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</si>
  <si>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</si>
  <si>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</si>
  <si>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</si>
  <si>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</si>
  <si>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</si>
  <si>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</si>
  <si>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</si>
  <si>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</si>
  <si>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</si>
  <si>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</si>
  <si>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</si>
  <si>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</si>
  <si>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</si>
  <si>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</si>
  <si>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</si>
  <si>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05482</t>
  </si>
  <si>
    <t xml:space="preserve">ZAVEDENÍ STENTU DO PERIFERNÍHO CÉVNÍHO ŘEČIŠTĚ S CC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</si>
  <si>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</si>
  <si>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</si>
  <si>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</si>
  <si>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</si>
  <si>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</si>
  <si>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</si>
  <si>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</si>
  <si>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</si>
  <si>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</si>
  <si>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</si>
  <si>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</si>
  <si>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</si>
  <si>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</si>
  <si>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</si>
  <si>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07052</t>
  </si>
  <si>
    <t xml:space="preserve">JINÉ VÝKONY PŘI PORUCHÁCH A ONEMOCNĚNÍCH HEPATOBILIÁRNÍHO SYSTÉMU A PANKREATU S CC                  </t>
  </si>
  <si>
    <t>07333</t>
  </si>
  <si>
    <t xml:space="preserve">PORUCHY JATER. KROMĚ MALIGNÍ CIRHÓZY A ALKOHOLICKÉ HEPATITIDY S MCC                                 </t>
  </si>
  <si>
    <t>08081</t>
  </si>
  <si>
    <t xml:space="preserve">VÝKONY NA KYČLÍCH A STEHENNÍ KOSTI. KROMĚ REPLANTACE VELKÝCH KLOUBŮ BEZ CC                          </t>
  </si>
  <si>
    <t>08302</t>
  </si>
  <si>
    <t xml:space="preserve">ZLOMENINY KOSTI STEHENNÍ S CC                                                                       </t>
  </si>
  <si>
    <t>08323</t>
  </si>
  <si>
    <t xml:space="preserve">ZLOMENINA NEBO DISLOKACE. KROMĚ STEHENNÍ KOSTI A PÁNVE S MCC                                        </t>
  </si>
  <si>
    <t>10333</t>
  </si>
  <si>
    <t xml:space="preserve">JINÉ ENDOKRINNÍ PORUCHY S MCC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</si>
  <si>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</si>
  <si>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</si>
  <si>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</si>
  <si>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</si>
  <si>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11082</t>
  </si>
  <si>
    <t xml:space="preserve">JINÉ VÝKONY PŘI PORUCHÁCH A ONEMOCNĚNÍCH LEDVIN A MOČOVÝCH CEST S CC                                </t>
  </si>
  <si>
    <t>13302</t>
  </si>
  <si>
    <t xml:space="preserve">MALIGNÍ ONEMOCNĚNÍ ŽENSKÉHO REPRODUKČNÍHO SYSTÉMU S CC                                              </t>
  </si>
  <si>
    <t>16331</t>
  </si>
  <si>
    <t xml:space="preserve">PORUCHY ČERVENÝCH KRVINEK. KROMĚ SRPKOVITÉ CHUDOKREVNOSTI BEZ CC                                    </t>
  </si>
  <si>
    <t>18013</t>
  </si>
  <si>
    <t xml:space="preserve">VÝKONY PRO INFEKČNÍ A PARAZITÁRNÍ NEMOCI S MCC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</si>
  <si>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</si>
  <si>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</si>
  <si>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</si>
  <si>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</si>
  <si>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</si>
  <si>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</si>
  <si>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25021</t>
  </si>
  <si>
    <t xml:space="preserve">JINÉ VÝKONY PŘI MNOHOČETNÉM ZÁVAŽNÉM TRAUMATU BEZ CC                                                </t>
  </si>
  <si>
    <t>25051</t>
  </si>
  <si>
    <t>DLOUHODOBÁ MECHANICKÁ VENTILACE PŘI POLYTRAUMATU &gt; 240 HODIN (11-21 DNÍ) S EKONOMICKY NÁROČNÝM VÝKON</t>
  </si>
  <si>
    <t>25053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</si>
  <si>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</si>
  <si>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</si>
  <si>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</si>
  <si>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</si>
  <si>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</si>
  <si>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</si>
  <si>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</si>
  <si>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VÝKONY. KTERÉ SE NETÝKAJÍ HLAVNÍ DIAGNÓZY S MCC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</si>
  <si>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</si>
  <si>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</si>
  <si>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</si>
  <si>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</si>
  <si>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</si>
  <si>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40 - Ústav mikrobiologie</t>
  </si>
  <si>
    <t>41 - Ústav imunologie</t>
  </si>
  <si>
    <t>44 - LEM</t>
  </si>
  <si>
    <t>37 - Ústav klinické a molekulární patologie</t>
  </si>
  <si>
    <t>35 - Transfuzní oddělení</t>
  </si>
  <si>
    <t>34 - Radiologická klinika</t>
  </si>
  <si>
    <t>12</t>
  </si>
  <si>
    <t>89169</t>
  </si>
  <si>
    <t>CYSTOURETROGRAFIE</t>
  </si>
  <si>
    <t>89143</t>
  </si>
  <si>
    <t>RTG BŘICHA</t>
  </si>
  <si>
    <t>22</t>
  </si>
  <si>
    <t>0093626</t>
  </si>
  <si>
    <t>0002018</t>
  </si>
  <si>
    <t>0002067</t>
  </si>
  <si>
    <t>0002087</t>
  </si>
  <si>
    <t>0002095</t>
  </si>
  <si>
    <t>47259</t>
  </si>
  <si>
    <t>SCINTIGRAFIE PLIC VENTILAČNÍ STATICKÁ</t>
  </si>
  <si>
    <t>47275</t>
  </si>
  <si>
    <t>SCINTIGRAFIE SENTINELOVÉ UZLINY</t>
  </si>
  <si>
    <t>47355</t>
  </si>
  <si>
    <t>HYBRIDNÍ VÝPOČETNÍ A POZITRONOVÁ EMISNÍ TOMOGRAFIE</t>
  </si>
  <si>
    <t>47257</t>
  </si>
  <si>
    <t>SCINTIGRAFIE PLIC PERFÚZNÍ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</si>
  <si>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</si>
  <si>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</si>
  <si>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</si>
  <si>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</si>
  <si>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</si>
  <si>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</si>
  <si>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</si>
  <si>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</si>
  <si>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</si>
  <si>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</si>
  <si>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</si>
  <si>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</si>
  <si>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</si>
  <si>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</si>
  <si>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</si>
  <si>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</si>
  <si>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</si>
  <si>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</si>
  <si>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</si>
  <si>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</si>
  <si>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</si>
  <si>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</si>
  <si>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</si>
  <si>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</si>
  <si>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</si>
  <si>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</si>
  <si>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</si>
  <si>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</si>
  <si>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</si>
  <si>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</si>
  <si>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</si>
  <si>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</si>
  <si>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</si>
  <si>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</si>
  <si>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</si>
  <si>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</si>
  <si>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</si>
  <si>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</si>
  <si>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</si>
  <si>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</si>
  <si>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</si>
  <si>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</si>
  <si>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</si>
  <si>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</si>
  <si>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</si>
  <si>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</si>
  <si>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</si>
  <si>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</si>
  <si>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</si>
  <si>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</si>
  <si>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</si>
  <si>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</si>
  <si>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</si>
  <si>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</si>
  <si>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</si>
  <si>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</si>
  <si>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</si>
  <si>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</si>
  <si>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</si>
  <si>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</si>
  <si>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</si>
  <si>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</si>
  <si>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</si>
  <si>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</si>
  <si>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</si>
  <si>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</si>
  <si>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</si>
  <si>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</si>
  <si>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</si>
  <si>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</si>
  <si>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</si>
  <si>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</si>
  <si>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</si>
  <si>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</si>
  <si>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</si>
  <si>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</si>
  <si>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</si>
  <si>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</si>
  <si>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</si>
  <si>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</si>
  <si>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</si>
  <si>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</si>
  <si>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</si>
  <si>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</si>
  <si>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</si>
  <si>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</si>
  <si>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</si>
  <si>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</si>
  <si>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</si>
  <si>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</si>
  <si>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93187</t>
  </si>
  <si>
    <t>TYROXIN CELKOVÝ (TT4)</t>
  </si>
  <si>
    <t>93217</t>
  </si>
  <si>
    <t>AUTOPROTILÁTKY PROTI MIKROSOMÁLNÍMU ANTIGENU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</si>
  <si>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</si>
  <si>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</si>
  <si>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</si>
  <si>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</si>
  <si>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</si>
  <si>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</si>
  <si>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</si>
  <si>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</si>
  <si>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</si>
  <si>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</si>
  <si>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</si>
  <si>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</si>
  <si>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</si>
  <si>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</si>
  <si>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</si>
  <si>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</si>
  <si>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</si>
  <si>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</si>
  <si>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</si>
  <si>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</si>
  <si>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</si>
  <si>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</si>
  <si>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</si>
  <si>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</si>
  <si>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</si>
  <si>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</si>
  <si>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</si>
  <si>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</si>
  <si>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</si>
  <si>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</si>
  <si>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</si>
  <si>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</si>
  <si>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</si>
  <si>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</si>
  <si>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</si>
  <si>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</si>
  <si>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</si>
  <si>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</si>
  <si>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</si>
  <si>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</si>
  <si>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</si>
  <si>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</si>
  <si>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</si>
  <si>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</si>
  <si>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</si>
  <si>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</si>
  <si>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</si>
  <si>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</si>
  <si>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</si>
  <si>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</si>
  <si>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</si>
  <si>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</si>
  <si>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</si>
  <si>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</si>
  <si>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</si>
  <si>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</si>
  <si>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</si>
  <si>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</si>
  <si>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</si>
  <si>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</si>
  <si>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93133</t>
  </si>
  <si>
    <t>LUTROPIN (LH)</t>
  </si>
  <si>
    <t>91133</t>
  </si>
  <si>
    <t>STANOVENÍ IgM</t>
  </si>
  <si>
    <t>81533</t>
  </si>
  <si>
    <t>LIPÁZA</t>
  </si>
  <si>
    <t>93263</t>
  </si>
  <si>
    <t>KARBOHYDRÁT-DEFICIENTNÍ TRANSFERIN (CDT)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</si>
  <si>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</si>
  <si>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</si>
  <si>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</si>
  <si>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</si>
  <si>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</si>
  <si>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</si>
  <si>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</si>
  <si>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</si>
  <si>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</si>
  <si>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</si>
  <si>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</si>
  <si>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</si>
  <si>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</si>
  <si>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</si>
  <si>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</si>
  <si>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</si>
  <si>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</si>
  <si>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</si>
  <si>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</si>
  <si>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</si>
  <si>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</si>
  <si>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</si>
  <si>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</si>
  <si>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</si>
  <si>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</si>
  <si>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</si>
  <si>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813</t>
  </si>
  <si>
    <t>91197</t>
  </si>
  <si>
    <t>STANOVENÍ CYTOKINU ELISA</t>
  </si>
  <si>
    <t>94119</t>
  </si>
  <si>
    <t>IZOLACE A UCHOVÁNÍ LIDSKÉ DNA (RNA)</t>
  </si>
  <si>
    <t>34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</si>
  <si>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</si>
  <si>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</si>
  <si>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</si>
  <si>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</si>
  <si>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</si>
  <si>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</si>
  <si>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</si>
  <si>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0045123</t>
  </si>
  <si>
    <t>0059494</t>
  </si>
  <si>
    <t>LIPIODOL ULTRA-FLUIDE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</si>
  <si>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</si>
  <si>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</si>
  <si>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</si>
  <si>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</si>
  <si>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</si>
  <si>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</si>
  <si>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</si>
  <si>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</si>
  <si>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</si>
  <si>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</si>
  <si>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</si>
  <si>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</si>
  <si>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</si>
  <si>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</si>
  <si>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</si>
  <si>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</si>
  <si>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</si>
  <si>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</si>
  <si>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</si>
  <si>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</si>
  <si>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0046273</t>
  </si>
  <si>
    <t>STENT JÍCNOVÝ,DUODENÁLNÍ,REKTÁLNÍ,BILIÁRNÍ BRONCHI</t>
  </si>
  <si>
    <t>0048307</t>
  </si>
  <si>
    <t>STENTGRAFT VASKULÁRNÍ FLUENCY,SAMOEXPANDIBILNÍ,NIT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</si>
  <si>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</si>
  <si>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</si>
  <si>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</si>
  <si>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</si>
  <si>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</si>
  <si>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</si>
  <si>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0049857</t>
  </si>
  <si>
    <t>KATETR INTRACEREBRÁLNÍ SONIC</t>
  </si>
  <si>
    <t>0052140</t>
  </si>
  <si>
    <t>KATETR DILATAČNÍ PTA WANDA,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</si>
  <si>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</si>
  <si>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</si>
  <si>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</si>
  <si>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</si>
  <si>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</si>
  <si>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</si>
  <si>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0053397</t>
  </si>
  <si>
    <t>DRÁT VODÍCÍ MICRO SORCERER/STEEL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</si>
  <si>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</si>
  <si>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</si>
  <si>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</si>
  <si>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</si>
  <si>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</si>
  <si>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</si>
  <si>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0053925</t>
  </si>
  <si>
    <t>KATETR BALÓNKOVÝ PTA SYMMETRY,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</si>
  <si>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</si>
  <si>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</si>
  <si>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</si>
  <si>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</si>
  <si>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</si>
  <si>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</si>
  <si>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</si>
  <si>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</si>
  <si>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</si>
  <si>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</si>
  <si>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</si>
  <si>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</si>
  <si>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</si>
  <si>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</si>
  <si>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</si>
  <si>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</si>
  <si>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</si>
  <si>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</si>
  <si>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</si>
  <si>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</si>
  <si>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</si>
  <si>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</si>
  <si>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</si>
  <si>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</si>
  <si>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</si>
  <si>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0058692</t>
  </si>
  <si>
    <t>STENTGRAFT AORTÁLNÍ ZENITH FLEX,SAMOEXPANDIBILNÍ,O</t>
  </si>
  <si>
    <t>0058736</t>
  </si>
  <si>
    <t>TĚLÍSKO EMBOLIZAČNÍ NESTER</t>
  </si>
  <si>
    <t>0058751</t>
  </si>
  <si>
    <t>KATETR BALÓNKOVÝ OKLUZNÍ PRO ZENITH AAA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</si>
  <si>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</si>
  <si>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</si>
  <si>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</si>
  <si>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</si>
  <si>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</si>
  <si>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</si>
  <si>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0059982</t>
  </si>
  <si>
    <t>DRÁT ZAVÁDĚCÍ MIRAGE 103-0608-200</t>
  </si>
  <si>
    <t>0059987</t>
  </si>
  <si>
    <t>SYSTÉM EMBOLIC ONYX 105-7000, ONYX HD 500,500+</t>
  </si>
  <si>
    <t>0092125</t>
  </si>
  <si>
    <t>MIKROKATETR PROGREAT PC2411-2813, PP27111-27131</t>
  </si>
  <si>
    <t>0092127</t>
  </si>
  <si>
    <t>ČÁSTICE EMBOLIZAČNÍ - EMBOSFÉRY EB2S103-912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</si>
  <si>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</si>
  <si>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</si>
  <si>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</si>
  <si>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</si>
  <si>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</si>
  <si>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</si>
  <si>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</si>
  <si>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</si>
  <si>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0094736</t>
  </si>
  <si>
    <t>STENT PERIFERNÍ EPIC,SAMOEXPANDIBILNÍ,NITINOL</t>
  </si>
  <si>
    <t>0141907</t>
  </si>
  <si>
    <t>STENT JÍC.BILIÁRNÍ,KOLOREK.DUODEN.TRACH.BRONCH.SX-</t>
  </si>
  <si>
    <t>0051244</t>
  </si>
  <si>
    <t>KATETR VODÍCÍ GUIDER</t>
  </si>
  <si>
    <t>0111638</t>
  </si>
  <si>
    <t>STENT PERIFERNÍ ISTHMUS LOGIC,BALONEXPANDIBILNÍ,CO</t>
  </si>
  <si>
    <t>0046127</t>
  </si>
  <si>
    <t>KATETR BALONKOVÝ PTA - ŘEZACÍ - CUTTING</t>
  </si>
  <si>
    <t>0054478</t>
  </si>
  <si>
    <t>STENTGRAFT AORTÁLNÍ ZENITH FLEX AAA,SAMOEXPANDIBIL</t>
  </si>
  <si>
    <t>0048349</t>
  </si>
  <si>
    <t>KATETR INFUZNÍ VODIČ PROSTREAM 41271..41278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</si>
  <si>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</si>
  <si>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</si>
  <si>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</si>
  <si>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</si>
  <si>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</si>
  <si>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</si>
  <si>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</si>
  <si>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</si>
  <si>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</si>
  <si>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</si>
  <si>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</si>
  <si>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</si>
  <si>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89198</t>
  </si>
  <si>
    <t>SKIASKOPIE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</si>
  <si>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</si>
  <si>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</si>
  <si>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</si>
  <si>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</si>
  <si>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</si>
  <si>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</si>
  <si>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</si>
  <si>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</si>
  <si>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</si>
  <si>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</si>
  <si>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</si>
  <si>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</si>
  <si>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</si>
  <si>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</si>
  <si>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</si>
  <si>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</si>
  <si>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</si>
  <si>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</si>
  <si>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</si>
  <si>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</si>
  <si>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</si>
  <si>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</si>
  <si>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</si>
  <si>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</si>
  <si>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</si>
  <si>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</si>
  <si>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</si>
  <si>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</si>
  <si>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</si>
  <si>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</si>
  <si>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</si>
  <si>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</si>
  <si>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</si>
  <si>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</si>
  <si>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</si>
  <si>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</si>
  <si>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</si>
  <si>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</si>
  <si>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</si>
  <si>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</si>
  <si>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</si>
  <si>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</si>
  <si>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</si>
  <si>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</si>
  <si>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</si>
  <si>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</si>
  <si>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</si>
  <si>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</si>
  <si>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</si>
  <si>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</si>
  <si>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</si>
  <si>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</si>
  <si>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</si>
  <si>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</si>
  <si>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</si>
  <si>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</si>
  <si>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</si>
  <si>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</si>
  <si>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</si>
  <si>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</si>
  <si>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</si>
  <si>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</si>
  <si>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</si>
  <si>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</si>
  <si>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</si>
  <si>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</si>
  <si>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</si>
  <si>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</si>
  <si>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</si>
  <si>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</si>
  <si>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</si>
  <si>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</si>
  <si>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</si>
  <si>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</si>
  <si>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</si>
  <si>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</si>
  <si>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</si>
  <si>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</si>
  <si>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</si>
  <si>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</si>
  <si>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</si>
  <si>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</si>
  <si>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</si>
  <si>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</si>
  <si>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</si>
  <si>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</si>
  <si>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</si>
  <si>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</si>
  <si>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</si>
  <si>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</si>
  <si>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</si>
  <si>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</si>
  <si>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</si>
  <si>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</si>
  <si>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</si>
  <si>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</si>
  <si>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</si>
  <si>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</si>
  <si>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</si>
  <si>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</si>
  <si>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</si>
  <si>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</si>
  <si>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</si>
  <si>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</si>
  <si>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</si>
  <si>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</si>
  <si>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</si>
  <si>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</si>
  <si>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</si>
  <si>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</si>
  <si>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</si>
  <si>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</si>
  <si>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</si>
  <si>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</si>
  <si>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</si>
  <si>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</si>
  <si>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</si>
  <si>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</si>
  <si>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</si>
  <si>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</si>
  <si>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</si>
  <si>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</si>
  <si>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</si>
  <si>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</si>
  <si>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</si>
  <si>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</si>
  <si>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</si>
  <si>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</si>
  <si>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</si>
  <si>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</si>
  <si>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</si>
  <si>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</si>
  <si>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</si>
  <si>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</si>
  <si>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</si>
  <si>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</si>
  <si>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</si>
  <si>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</si>
  <si>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</si>
  <si>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</si>
  <si>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</si>
  <si>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</si>
  <si>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</si>
  <si>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</si>
  <si>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</si>
  <si>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</si>
  <si>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</si>
  <si>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</si>
  <si>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</si>
  <si>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</si>
  <si>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</si>
  <si>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</si>
  <si>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</si>
  <si>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</si>
  <si>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</si>
  <si>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</si>
  <si>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</si>
  <si>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</si>
  <si>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</si>
  <si>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</si>
  <si>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</si>
  <si>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</si>
  <si>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</si>
  <si>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</si>
  <si>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</si>
  <si>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</si>
  <si>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</si>
  <si>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</si>
  <si>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</si>
  <si>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</si>
  <si>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</si>
  <si>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</si>
  <si>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</si>
  <si>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</si>
  <si>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</si>
  <si>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</si>
  <si>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</si>
  <si>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</si>
  <si>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</si>
  <si>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</si>
  <si>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</si>
  <si>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</si>
  <si>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</si>
  <si>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</si>
  <si>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</si>
  <si>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</si>
  <si>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</si>
  <si>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</si>
  <si>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</si>
  <si>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</si>
  <si>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</si>
  <si>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</si>
  <si>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</si>
  <si>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</si>
  <si>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</si>
  <si>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</si>
  <si>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</si>
  <si>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</si>
  <si>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</si>
  <si>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</si>
  <si>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</si>
  <si>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</si>
  <si>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</si>
  <si>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</si>
  <si>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</si>
  <si>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</si>
  <si>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</si>
  <si>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</si>
  <si>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</si>
  <si>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</si>
  <si>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</si>
  <si>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</si>
  <si>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</si>
  <si>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</si>
  <si>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</si>
  <si>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</si>
  <si>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</si>
  <si>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</si>
  <si>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</si>
  <si>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</si>
  <si>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86413</t>
  </si>
  <si>
    <t>SCREENING PROTILÁTEK NA PANELU 30TI DÁRCŮ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</si>
  <si>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</si>
  <si>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</si>
  <si>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</si>
  <si>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</si>
  <si>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</si>
  <si>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</si>
  <si>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</si>
  <si>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</si>
  <si>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</si>
  <si>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</si>
  <si>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</si>
  <si>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</si>
  <si>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</si>
  <si>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</si>
  <si>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</si>
  <si>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</si>
  <si>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94195</t>
  </si>
  <si>
    <t>SYNTÉZA cDNA REVERZNÍ TRANSKRIPCÍ</t>
  </si>
  <si>
    <t>Zdravotní výkony (vybraných odborností) vyžádané pro pacienty hospitalizované na vlastním pracovišti - orientační přehled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</si>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</sst>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00">
    <xf numFmtId="0" fontId="0" fillId="0" borderId="0" xfId="0"/>
    <xf numFmtId="0" fontId="30" fillId="2" borderId="19" xfId="80" applyFont="1" applyFill="1" applyBorder="1"/>
    <xf numFmtId="0" fontId="31" fillId="2" borderId="20" xfId="80" applyFont="1" applyFill="1" applyBorder="1"/>
    <xf numFmtId="3" fontId="31" fillId="2" borderId="21" xfId="80" applyNumberFormat="1" applyFont="1" applyFill="1" applyBorder="1"/>
    <xf numFmtId="0" fontId="31" fillId="4" borderId="20" xfId="80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0" applyNumberFormat="1" applyFont="1" applyFill="1" applyBorder="1"/>
    <xf numFmtId="172" fontId="31" fillId="3" borderId="21" xfId="80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0" applyNumberFormat="1" applyFont="1" applyFill="1" applyBorder="1"/>
    <xf numFmtId="3" fontId="30" fillId="5" borderId="10" xfId="80" applyNumberFormat="1" applyFont="1" applyFill="1" applyBorder="1"/>
    <xf numFmtId="3" fontId="30" fillId="5" borderId="14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0" applyNumberFormat="1" applyFont="1" applyFill="1" applyBorder="1"/>
    <xf numFmtId="3" fontId="30" fillId="5" borderId="31" xfId="80" applyNumberFormat="1" applyFont="1" applyFill="1" applyBorder="1"/>
    <xf numFmtId="3" fontId="30" fillId="5" borderId="27" xfId="80" applyNumberFormat="1" applyFont="1" applyFill="1" applyBorder="1"/>
    <xf numFmtId="3" fontId="30" fillId="5" borderId="11" xfId="80" applyNumberFormat="1" applyFont="1" applyFill="1" applyBorder="1"/>
    <xf numFmtId="3" fontId="30" fillId="5" borderId="12" xfId="80" applyNumberFormat="1" applyFont="1" applyFill="1" applyBorder="1"/>
    <xf numFmtId="3" fontId="30" fillId="5" borderId="15" xfId="80" applyNumberFormat="1" applyFont="1" applyFill="1" applyBorder="1"/>
    <xf numFmtId="3" fontId="30" fillId="5" borderId="16" xfId="80" applyNumberFormat="1" applyFont="1" applyFill="1" applyBorder="1"/>
    <xf numFmtId="3" fontId="31" fillId="2" borderId="29" xfId="80" applyNumberFormat="1" applyFont="1" applyFill="1" applyBorder="1"/>
    <xf numFmtId="3" fontId="31" fillId="2" borderId="22" xfId="80" applyNumberFormat="1" applyFont="1" applyFill="1" applyBorder="1"/>
    <xf numFmtId="3" fontId="31" fillId="4" borderId="29" xfId="80" applyNumberFormat="1" applyFont="1" applyFill="1" applyBorder="1"/>
    <xf numFmtId="3" fontId="31" fillId="4" borderId="22" xfId="80" applyNumberFormat="1" applyFont="1" applyFill="1" applyBorder="1"/>
    <xf numFmtId="172" fontId="31" fillId="3" borderId="29" xfId="80" applyNumberFormat="1" applyFont="1" applyFill="1" applyBorder="1"/>
    <xf numFmtId="172" fontId="31" fillId="3" borderId="22" xfId="80" applyNumberFormat="1" applyFont="1" applyFill="1" applyBorder="1"/>
    <xf numFmtId="0" fontId="34" fillId="2" borderId="27" xfId="80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9" fillId="0" borderId="39" xfId="81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2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5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5" applyNumberFormat="1" applyFont="1" applyFill="1" applyBorder="1"/>
    <xf numFmtId="168" fontId="34" fillId="7" borderId="12" xfId="85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5" applyNumberFormat="1" applyFont="1" applyFill="1" applyBorder="1"/>
    <xf numFmtId="168" fontId="34" fillId="2" borderId="22" xfId="85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5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5" applyNumberFormat="1" applyFont="1" applyFill="1" applyBorder="1" applyAlignment="1">
      <alignment horizontal="right"/>
    </xf>
    <xf numFmtId="168" fontId="34" fillId="3" borderId="22" xfId="85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5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5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1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5" fontId="34" fillId="0" borderId="64" xfId="53" applyNumberFormat="1" applyFont="1" applyFill="1" applyBorder="1"/>
    <xf numFmtId="165" fontId="34" fillId="0" borderId="65" xfId="53" applyNumberFormat="1" applyFont="1" applyFill="1" applyBorder="1"/>
    <xf numFmtId="9" fontId="34" fillId="0" borderId="66" xfId="82" applyNumberFormat="1" applyFont="1" applyFill="1" applyBorder="1"/>
    <xf numFmtId="170" fontId="34" fillId="0" borderId="64" xfId="53" applyNumberFormat="1" applyFont="1" applyFill="1" applyBorder="1"/>
    <xf numFmtId="170" fontId="34" fillId="0" borderId="65" xfId="53" applyNumberFormat="1" applyFont="1" applyFill="1" applyBorder="1"/>
    <xf numFmtId="3" fontId="34" fillId="0" borderId="66" xfId="82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1" fontId="32" fillId="0" borderId="41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0" applyFont="1" applyFill="1" applyBorder="1"/>
    <xf numFmtId="0" fontId="34" fillId="2" borderId="25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0" applyNumberFormat="1" applyFont="1" applyFill="1" applyBorder="1"/>
    <xf numFmtId="9" fontId="31" fillId="4" borderId="22" xfId="80" applyNumberFormat="1" applyFont="1" applyFill="1" applyBorder="1"/>
    <xf numFmtId="9" fontId="31" fillId="3" borderId="22" xfId="80" applyNumberFormat="1" applyFont="1" applyFill="1" applyBorder="1"/>
    <xf numFmtId="0" fontId="34" fillId="2" borderId="23" xfId="80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8" fontId="34" fillId="7" borderId="58" xfId="85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8" fontId="34" fillId="7" borderId="58" xfId="85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0" applyFont="1" applyFill="1"/>
    <xf numFmtId="0" fontId="54" fillId="0" borderId="39" xfId="80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7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9" fontId="3" fillId="0" borderId="39" xfId="26" applyNumberFormat="1" applyFont="1" applyFill="1" applyBorder="1" applyAlignment="1">
      <alignment vertical="center"/>
    </xf>
    <xf numFmtId="167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4" fontId="42" fillId="4" borderId="83" xfId="0" applyNumberFormat="1" applyFont="1" applyFill="1" applyBorder="1" applyAlignment="1"/>
    <xf numFmtId="174" fontId="42" fillId="4" borderId="76" xfId="0" applyNumberFormat="1" applyFont="1" applyFill="1" applyBorder="1" applyAlignment="1"/>
    <xf numFmtId="174" fontId="42" fillId="4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9" xfId="0" applyNumberFormat="1" applyFont="1" applyBorder="1"/>
    <xf numFmtId="174" fontId="35" fillId="0" borderId="87" xfId="0" applyNumberFormat="1" applyFont="1" applyBorder="1"/>
    <xf numFmtId="174" fontId="42" fillId="0" borderId="96" xfId="0" applyNumberFormat="1" applyFont="1" applyBorder="1"/>
    <xf numFmtId="174" fontId="35" fillId="0" borderId="97" xfId="0" applyNumberFormat="1" applyFont="1" applyBorder="1"/>
    <xf numFmtId="174" fontId="35" fillId="0" borderId="80" xfId="0" applyNumberFormat="1" applyFont="1" applyBorder="1"/>
    <xf numFmtId="174" fontId="42" fillId="2" borderId="98" xfId="0" applyNumberFormat="1" applyFont="1" applyFill="1" applyBorder="1" applyAlignment="1"/>
    <xf numFmtId="174" fontId="42" fillId="2" borderId="76" xfId="0" applyNumberFormat="1" applyFont="1" applyFill="1" applyBorder="1" applyAlignment="1"/>
    <xf numFmtId="174" fontId="42" fillId="2" borderId="77" xfId="0" applyNumberFormat="1" applyFont="1" applyFill="1" applyBorder="1" applyAlignment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42" fillId="0" borderId="83" xfId="0" applyNumberFormat="1" applyFont="1" applyBorder="1"/>
    <xf numFmtId="174" fontId="35" fillId="0" borderId="99" xfId="0" applyNumberFormat="1" applyFont="1" applyBorder="1"/>
    <xf numFmtId="174" fontId="35" fillId="0" borderId="77" xfId="0" applyNumberFormat="1" applyFont="1" applyBorder="1"/>
    <xf numFmtId="175" fontId="42" fillId="2" borderId="83" xfId="0" applyNumberFormat="1" applyFont="1" applyFill="1" applyBorder="1" applyAlignment="1"/>
    <xf numFmtId="175" fontId="35" fillId="2" borderId="76" xfId="0" applyNumberFormat="1" applyFont="1" applyFill="1" applyBorder="1" applyAlignment="1"/>
    <xf numFmtId="175" fontId="35" fillId="2" borderId="77" xfId="0" applyNumberFormat="1" applyFont="1" applyFill="1" applyBorder="1" applyAlignment="1"/>
    <xf numFmtId="175" fontId="42" fillId="0" borderId="85" xfId="0" applyNumberFormat="1" applyFont="1" applyBorder="1"/>
    <xf numFmtId="175" fontId="35" fillId="0" borderId="86" xfId="0" applyNumberFormat="1" applyFont="1" applyBorder="1"/>
    <xf numFmtId="175" fontId="35" fillId="0" borderId="87" xfId="0" applyNumberFormat="1" applyFont="1" applyBorder="1"/>
    <xf numFmtId="175" fontId="35" fillId="0" borderId="89" xfId="0" applyNumberFormat="1" applyFont="1" applyBorder="1"/>
    <xf numFmtId="175" fontId="42" fillId="0" borderId="91" xfId="0" applyNumberFormat="1" applyFont="1" applyBorder="1"/>
    <xf numFmtId="175" fontId="35" fillId="0" borderId="92" xfId="0" applyNumberFormat="1" applyFont="1" applyBorder="1"/>
    <xf numFmtId="175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83" xfId="0" applyNumberFormat="1" applyFont="1" applyFill="1" applyBorder="1" applyAlignment="1">
      <alignment horizontal="center"/>
    </xf>
    <xf numFmtId="176" fontId="42" fillId="0" borderId="91" xfId="0" applyNumberFormat="1" applyFont="1" applyBorder="1"/>
    <xf numFmtId="0" fontId="34" fillId="2" borderId="107" xfId="74" applyFont="1" applyFill="1" applyBorder="1" applyAlignment="1">
      <alignment horizontal="center"/>
    </xf>
    <xf numFmtId="0" fontId="34" fillId="2" borderId="78" xfId="80" applyFont="1" applyFill="1" applyBorder="1" applyAlignment="1">
      <alignment horizontal="center"/>
    </xf>
    <xf numFmtId="0" fontId="34" fillId="2" borderId="79" xfId="80" applyFont="1" applyFill="1" applyBorder="1" applyAlignment="1">
      <alignment horizontal="center"/>
    </xf>
    <xf numFmtId="0" fontId="34" fillId="2" borderId="80" xfId="80" applyFont="1" applyFill="1" applyBorder="1" applyAlignment="1">
      <alignment horizontal="center"/>
    </xf>
    <xf numFmtId="0" fontId="34" fillId="2" borderId="81" xfId="80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0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0" applyFont="1" applyFill="1" applyBorder="1" applyAlignment="1">
      <alignment horizontal="center"/>
    </xf>
    <xf numFmtId="0" fontId="34" fillId="2" borderId="44" xfId="80" applyFont="1" applyFill="1" applyBorder="1" applyAlignment="1">
      <alignment horizontal="center"/>
    </xf>
    <xf numFmtId="0" fontId="34" fillId="2" borderId="41" xfId="80" applyFont="1" applyFill="1" applyBorder="1" applyAlignment="1">
      <alignment horizontal="center"/>
    </xf>
    <xf numFmtId="0" fontId="34" fillId="2" borderId="69" xfId="80" applyFont="1" applyFill="1" applyBorder="1" applyAlignment="1">
      <alignment horizontal="center"/>
    </xf>
    <xf numFmtId="0" fontId="34" fillId="2" borderId="42" xfId="8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7" xfId="80" applyFont="1" applyFill="1" applyBorder="1" applyAlignment="1">
      <alignment horizontal="center"/>
    </xf>
    <xf numFmtId="0" fontId="34" fillId="2" borderId="104" xfId="80" applyFont="1" applyFill="1" applyBorder="1" applyAlignment="1">
      <alignment horizontal="center"/>
    </xf>
    <xf numFmtId="0" fontId="34" fillId="2" borderId="83" xfId="80" applyFont="1" applyFill="1" applyBorder="1" applyAlignment="1">
      <alignment horizontal="center"/>
    </xf>
    <xf numFmtId="0" fontId="34" fillId="2" borderId="106" xfId="80" applyFont="1" applyFill="1" applyBorder="1" applyAlignment="1">
      <alignment horizontal="center"/>
    </xf>
    <xf numFmtId="0" fontId="34" fillId="2" borderId="96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7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4" fillId="0" borderId="45" xfId="26" applyNumberFormat="1" applyFont="1" applyFill="1" applyBorder="1" applyAlignment="1">
      <alignment horizontal="right" vertical="top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0" fontId="35" fillId="0" borderId="45" xfId="0" applyFont="1" applyFill="1" applyBorder="1" applyAlignment="1">
      <alignment horizontal="right" vertical="top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09" xfId="0" applyNumberFormat="1" applyFont="1" applyFill="1" applyBorder="1" applyAlignment="1">
      <alignment horizontal="right" vertical="top"/>
    </xf>
    <xf numFmtId="3" fontId="36" fillId="10" borderId="110" xfId="0" applyNumberFormat="1" applyFont="1" applyFill="1" applyBorder="1" applyAlignment="1">
      <alignment horizontal="right" vertical="top"/>
    </xf>
    <xf numFmtId="177" fontId="36" fillId="10" borderId="111" xfId="0" applyNumberFormat="1" applyFont="1" applyFill="1" applyBorder="1" applyAlignment="1">
      <alignment horizontal="right" vertical="top"/>
    </xf>
    <xf numFmtId="3" fontId="36" fillId="0" borderId="109" xfId="0" applyNumberFormat="1" applyFont="1" applyBorder="1" applyAlignment="1">
      <alignment horizontal="right" vertical="top"/>
    </xf>
    <xf numFmtId="177" fontId="36" fillId="10" borderId="112" xfId="0" applyNumberFormat="1" applyFont="1" applyFill="1" applyBorder="1" applyAlignment="1">
      <alignment horizontal="right" vertical="top"/>
    </xf>
    <xf numFmtId="3" fontId="38" fillId="10" borderId="114" xfId="0" applyNumberFormat="1" applyFont="1" applyFill="1" applyBorder="1" applyAlignment="1">
      <alignment horizontal="right" vertical="top"/>
    </xf>
    <xf numFmtId="3" fontId="38" fillId="10" borderId="115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horizontal="right" vertical="top"/>
    </xf>
    <xf numFmtId="3" fontId="38" fillId="0" borderId="114" xfId="0" applyNumberFormat="1" applyFont="1" applyBorder="1" applyAlignment="1">
      <alignment horizontal="right" vertical="top"/>
    </xf>
    <xf numFmtId="0" fontId="38" fillId="10" borderId="117" xfId="0" applyFont="1" applyFill="1" applyBorder="1" applyAlignment="1">
      <alignment horizontal="right" vertical="top"/>
    </xf>
    <xf numFmtId="0" fontId="36" fillId="10" borderId="111" xfId="0" applyFont="1" applyFill="1" applyBorder="1" applyAlignment="1">
      <alignment horizontal="right" vertical="top"/>
    </xf>
    <xf numFmtId="0" fontId="36" fillId="10" borderId="112" xfId="0" applyFont="1" applyFill="1" applyBorder="1" applyAlignment="1">
      <alignment horizontal="right" vertical="top"/>
    </xf>
    <xf numFmtId="177" fontId="38" fillId="10" borderId="116" xfId="0" applyNumberFormat="1" applyFont="1" applyFill="1" applyBorder="1" applyAlignment="1">
      <alignment horizontal="right" vertical="top"/>
    </xf>
    <xf numFmtId="177" fontId="38" fillId="10" borderId="117" xfId="0" applyNumberFormat="1" applyFont="1" applyFill="1" applyBorder="1" applyAlignment="1">
      <alignment horizontal="right" vertical="top"/>
    </xf>
    <xf numFmtId="3" fontId="38" fillId="0" borderId="118" xfId="0" applyNumberFormat="1" applyFont="1" applyBorder="1" applyAlignment="1">
      <alignment horizontal="right" vertical="top"/>
    </xf>
    <xf numFmtId="3" fontId="38" fillId="0" borderId="119" xfId="0" applyNumberFormat="1" applyFont="1" applyBorder="1" applyAlignment="1">
      <alignment horizontal="right" vertical="top"/>
    </xf>
    <xf numFmtId="3" fontId="38" fillId="0" borderId="120" xfId="0" applyNumberFormat="1" applyFont="1" applyBorder="1" applyAlignment="1">
      <alignment horizontal="right" vertical="top"/>
    </xf>
    <xf numFmtId="177" fontId="38" fillId="10" borderId="121" xfId="0" applyNumberFormat="1" applyFont="1" applyFill="1" applyBorder="1" applyAlignment="1">
      <alignment horizontal="right" vertical="top"/>
    </xf>
    <xf numFmtId="0" fontId="40" fillId="11" borderId="108" xfId="0" applyFont="1" applyFill="1" applyBorder="1" applyAlignment="1">
      <alignment vertical="top"/>
    </xf>
    <xf numFmtId="0" fontId="40" fillId="11" borderId="108" xfId="0" applyFont="1" applyFill="1" applyBorder="1" applyAlignment="1">
      <alignment vertical="top" indent="2"/>
    </xf>
    <xf numFmtId="0" fontId="40" fillId="11" borderId="108" xfId="0" applyFont="1" applyFill="1" applyBorder="1" applyAlignment="1">
      <alignment vertical="top" indent="4"/>
    </xf>
    <xf numFmtId="0" fontId="41" fillId="11" borderId="113" xfId="0" applyFont="1" applyFill="1" applyBorder="1" applyAlignment="1">
      <alignment vertical="top" indent="6"/>
    </xf>
    <xf numFmtId="0" fontId="40" fillId="11" borderId="108" xfId="0" applyFont="1" applyFill="1" applyBorder="1" applyAlignment="1">
      <alignment vertical="top" indent="8"/>
    </xf>
    <xf numFmtId="0" fontId="41" fillId="11" borderId="113" xfId="0" applyFont="1" applyFill="1" applyBorder="1" applyAlignment="1">
      <alignment vertical="top" indent="2"/>
    </xf>
    <xf numFmtId="0" fontId="40" fillId="11" borderId="108" xfId="0" applyFont="1" applyFill="1" applyBorder="1" applyAlignment="1">
      <alignment vertical="top" indent="6"/>
    </xf>
    <xf numFmtId="0" fontId="41" fillId="11" borderId="113" xfId="0" applyFont="1" applyFill="1" applyBorder="1" applyAlignment="1">
      <alignment vertical="top" indent="4"/>
    </xf>
    <xf numFmtId="0" fontId="35" fillId="11" borderId="108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22" xfId="53" applyNumberFormat="1" applyFont="1" applyFill="1" applyBorder="1" applyAlignment="1">
      <alignment horizontal="left"/>
    </xf>
    <xf numFmtId="165" fontId="34" fillId="2" borderId="123" xfId="53" applyNumberFormat="1" applyFont="1" applyFill="1" applyBorder="1" applyAlignment="1">
      <alignment horizontal="left"/>
    </xf>
    <xf numFmtId="165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3" fontId="35" fillId="0" borderId="123" xfId="0" applyNumberFormat="1" applyFont="1" applyFill="1" applyBorder="1"/>
    <xf numFmtId="3" fontId="35" fillId="0" borderId="125" xfId="0" applyNumberFormat="1" applyFont="1" applyFill="1" applyBorder="1"/>
    <xf numFmtId="0" fontId="35" fillId="0" borderId="76" xfId="0" applyFont="1" applyFill="1" applyBorder="1"/>
    <xf numFmtId="0" fontId="35" fillId="0" borderId="77" xfId="0" applyFont="1" applyFill="1" applyBorder="1"/>
    <xf numFmtId="165" fontId="35" fillId="0" borderId="77" xfId="0" applyNumberFormat="1" applyFont="1" applyFill="1" applyBorder="1"/>
    <xf numFmtId="165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5" fontId="35" fillId="0" borderId="87" xfId="0" applyNumberFormat="1" applyFont="1" applyFill="1" applyBorder="1"/>
    <xf numFmtId="165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5" fontId="35" fillId="0" borderId="80" xfId="0" applyNumberFormat="1" applyFont="1" applyFill="1" applyBorder="1"/>
    <xf numFmtId="165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2" xfId="0" applyFont="1" applyFill="1" applyBorder="1"/>
    <xf numFmtId="3" fontId="42" fillId="2" borderId="124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123" xfId="0" applyNumberFormat="1" applyFont="1" applyFill="1" applyBorder="1"/>
    <xf numFmtId="9" fontId="35" fillId="0" borderId="77" xfId="0" applyNumberFormat="1" applyFont="1" applyFill="1" applyBorder="1"/>
    <xf numFmtId="9" fontId="35" fillId="0" borderId="80" xfId="0" applyNumberFormat="1" applyFont="1" applyFill="1" applyBorder="1"/>
    <xf numFmtId="9" fontId="35" fillId="0" borderId="29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2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7" xfId="0" applyFont="1" applyFill="1" applyBorder="1"/>
    <xf numFmtId="0" fontId="42" fillId="2" borderId="123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174" fontId="42" fillId="4" borderId="128" xfId="0" applyNumberFormat="1" applyFont="1" applyFill="1" applyBorder="1" applyAlignment="1">
      <alignment horizontal="center"/>
    </xf>
    <xf numFmtId="174" fontId="42" fillId="4" borderId="129" xfId="0" applyNumberFormat="1" applyFont="1" applyFill="1" applyBorder="1" applyAlignment="1">
      <alignment horizontal="center"/>
    </xf>
    <xf numFmtId="174" fontId="35" fillId="0" borderId="130" xfId="0" applyNumberFormat="1" applyFont="1" applyBorder="1" applyAlignment="1">
      <alignment horizontal="right"/>
    </xf>
    <xf numFmtId="174" fontId="35" fillId="0" borderId="131" xfId="0" applyNumberFormat="1" applyFont="1" applyBorder="1" applyAlignment="1">
      <alignment horizontal="right"/>
    </xf>
    <xf numFmtId="174" fontId="35" fillId="0" borderId="131" xfId="0" applyNumberFormat="1" applyFont="1" applyBorder="1" applyAlignment="1">
      <alignment horizontal="right" wrapText="1"/>
    </xf>
    <xf numFmtId="176" fontId="35" fillId="0" borderId="130" xfId="0" applyNumberFormat="1" applyFont="1" applyBorder="1" applyAlignment="1">
      <alignment horizontal="right"/>
    </xf>
    <xf numFmtId="176" fontId="35" fillId="0" borderId="131" xfId="0" applyNumberFormat="1" applyFont="1" applyBorder="1" applyAlignment="1">
      <alignment horizontal="right"/>
    </xf>
    <xf numFmtId="174" fontId="35" fillId="0" borderId="132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5" fontId="35" fillId="2" borderId="103" xfId="0" applyNumberFormat="1" applyFont="1" applyFill="1" applyBorder="1" applyAlignment="1"/>
    <xf numFmtId="175" fontId="35" fillId="0" borderId="101" xfId="0" applyNumberFormat="1" applyFont="1" applyBorder="1"/>
    <xf numFmtId="175" fontId="35" fillId="0" borderId="134" xfId="0" applyNumberFormat="1" applyFont="1" applyBorder="1"/>
    <xf numFmtId="174" fontId="42" fillId="4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2" borderId="103" xfId="0" applyNumberFormat="1" applyFont="1" applyFill="1" applyBorder="1" applyAlignment="1"/>
    <xf numFmtId="174" fontId="35" fillId="0" borderId="134" xfId="0" applyNumberFormat="1" applyFont="1" applyBorder="1"/>
    <xf numFmtId="174" fontId="35" fillId="0" borderId="103" xfId="0" applyNumberFormat="1" applyFont="1" applyBorder="1"/>
    <xf numFmtId="174" fontId="42" fillId="4" borderId="135" xfId="0" applyNumberFormat="1" applyFont="1" applyFill="1" applyBorder="1" applyAlignment="1">
      <alignment horizontal="center"/>
    </xf>
    <xf numFmtId="174" fontId="35" fillId="0" borderId="136" xfId="0" applyNumberFormat="1" applyFont="1" applyBorder="1" applyAlignment="1">
      <alignment horizontal="right"/>
    </xf>
    <xf numFmtId="176" fontId="35" fillId="0" borderId="136" xfId="0" applyNumberFormat="1" applyFont="1" applyBorder="1" applyAlignment="1">
      <alignment horizontal="right"/>
    </xf>
    <xf numFmtId="174" fontId="35" fillId="0" borderId="137" xfId="0" applyNumberFormat="1" applyFont="1" applyBorder="1" applyAlignment="1">
      <alignment horizontal="right"/>
    </xf>
    <xf numFmtId="0" fontId="0" fillId="0" borderId="17" xfId="0" applyBorder="1"/>
    <xf numFmtId="174" fontId="42" fillId="4" borderId="82" xfId="0" applyNumberFormat="1" applyFont="1" applyFill="1" applyBorder="1" applyAlignment="1">
      <alignment horizontal="center"/>
    </xf>
    <xf numFmtId="174" fontId="35" fillId="0" borderId="84" xfId="0" applyNumberFormat="1" applyFont="1" applyBorder="1" applyAlignment="1">
      <alignment horizontal="right"/>
    </xf>
    <xf numFmtId="176" fontId="35" fillId="0" borderId="84" xfId="0" applyNumberFormat="1" applyFont="1" applyBorder="1" applyAlignment="1">
      <alignment horizontal="right"/>
    </xf>
    <xf numFmtId="174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29" xfId="0" applyNumberFormat="1" applyFont="1" applyFill="1" applyBorder="1"/>
    <xf numFmtId="0" fontId="35" fillId="0" borderId="29" xfId="0" applyFont="1" applyFill="1" applyBorder="1"/>
    <xf numFmtId="9" fontId="35" fillId="0" borderId="22" xfId="0" applyNumberFormat="1" applyFont="1" applyFill="1" applyBorder="1"/>
    <xf numFmtId="0" fontId="42" fillId="0" borderId="21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7" fontId="5" fillId="0" borderId="126" xfId="0" applyNumberFormat="1" applyFont="1" applyBorder="1" applyAlignment="1">
      <alignment horizontal="right"/>
    </xf>
    <xf numFmtId="167" fontId="5" fillId="0" borderId="91" xfId="0" applyNumberFormat="1" applyFont="1" applyBorder="1" applyAlignment="1">
      <alignment horizontal="right"/>
    </xf>
    <xf numFmtId="3" fontId="12" fillId="0" borderId="126" xfId="0" applyNumberFormat="1" applyFont="1" applyBorder="1" applyAlignment="1">
      <alignment horizontal="right"/>
    </xf>
    <xf numFmtId="167" fontId="12" fillId="0" borderId="126" xfId="0" applyNumberFormat="1" applyFont="1" applyBorder="1" applyAlignment="1">
      <alignment horizontal="right"/>
    </xf>
    <xf numFmtId="167" fontId="11" fillId="0" borderId="91" xfId="0" applyNumberFormat="1" applyFont="1" applyBorder="1" applyAlignment="1">
      <alignment horizontal="right"/>
    </xf>
    <xf numFmtId="178" fontId="5" fillId="0" borderId="126" xfId="0" applyNumberFormat="1" applyFont="1" applyBorder="1" applyAlignment="1">
      <alignment horizontal="right"/>
    </xf>
    <xf numFmtId="3" fontId="5" fillId="0" borderId="126" xfId="0" applyNumberFormat="1" applyFont="1" applyBorder="1" applyAlignment="1">
      <alignment horizontal="right"/>
    </xf>
    <xf numFmtId="4" fontId="5" fillId="0" borderId="126" xfId="0" applyNumberFormat="1" applyFont="1" applyBorder="1" applyAlignment="1">
      <alignment horizontal="right"/>
    </xf>
    <xf numFmtId="3" fontId="5" fillId="0" borderId="126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2" fillId="0" borderId="126" xfId="0" applyNumberFormat="1" applyFont="1" applyBorder="1"/>
    <xf numFmtId="167" fontId="12" fillId="0" borderId="126" xfId="0" applyNumberFormat="1" applyFont="1" applyBorder="1"/>
    <xf numFmtId="167" fontId="12" fillId="0" borderId="91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91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35" fillId="0" borderId="126" xfId="0" applyNumberFormat="1" applyFont="1" applyBorder="1"/>
    <xf numFmtId="167" fontId="35" fillId="0" borderId="126" xfId="0" applyNumberFormat="1" applyFont="1" applyBorder="1"/>
    <xf numFmtId="167" fontId="35" fillId="0" borderId="91" xfId="0" applyNumberFormat="1" applyFont="1" applyBorder="1"/>
    <xf numFmtId="3" fontId="35" fillId="0" borderId="126" xfId="0" applyNumberFormat="1" applyFont="1" applyBorder="1" applyAlignment="1">
      <alignment horizontal="right"/>
    </xf>
    <xf numFmtId="0" fontId="5" fillId="0" borderId="126" xfId="0" applyFont="1" applyBorder="1"/>
    <xf numFmtId="9" fontId="35" fillId="0" borderId="126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00" xfId="0" applyNumberFormat="1" applyFont="1" applyBorder="1"/>
    <xf numFmtId="167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7" fontId="5" fillId="0" borderId="100" xfId="0" applyNumberFormat="1" applyFont="1" applyBorder="1" applyAlignment="1">
      <alignment horizontal="right"/>
    </xf>
    <xf numFmtId="167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7" fontId="12" fillId="0" borderId="100" xfId="0" applyNumberFormat="1" applyFont="1" applyBorder="1" applyAlignment="1">
      <alignment horizontal="right"/>
    </xf>
    <xf numFmtId="167" fontId="11" fillId="0" borderId="75" xfId="0" applyNumberFormat="1" applyFont="1" applyBorder="1" applyAlignment="1">
      <alignment horizontal="right"/>
    </xf>
    <xf numFmtId="178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35" fillId="0" borderId="105" xfId="0" applyNumberFormat="1" applyFont="1" applyBorder="1"/>
    <xf numFmtId="167" fontId="35" fillId="0" borderId="105" xfId="0" applyNumberFormat="1" applyFont="1" applyBorder="1"/>
    <xf numFmtId="167" fontId="35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167" fontId="5" fillId="0" borderId="96" xfId="0" applyNumberFormat="1" applyFont="1" applyBorder="1" applyAlignment="1">
      <alignment horizontal="right"/>
    </xf>
    <xf numFmtId="3" fontId="12" fillId="0" borderId="105" xfId="0" applyNumberFormat="1" applyFont="1" applyBorder="1" applyAlignment="1">
      <alignment horizontal="right"/>
    </xf>
    <xf numFmtId="167" fontId="12" fillId="0" borderId="105" xfId="0" applyNumberFormat="1" applyFont="1" applyBorder="1" applyAlignment="1">
      <alignment horizontal="right"/>
    </xf>
    <xf numFmtId="167" fontId="11" fillId="0" borderId="96" xfId="0" applyNumberFormat="1" applyFont="1" applyBorder="1" applyAlignment="1">
      <alignment horizontal="right"/>
    </xf>
    <xf numFmtId="178" fontId="5" fillId="0" borderId="105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70" fontId="35" fillId="0" borderId="77" xfId="0" applyNumberFormat="1" applyFont="1" applyFill="1" applyBorder="1"/>
    <xf numFmtId="9" fontId="35" fillId="0" borderId="78" xfId="0" applyNumberFormat="1" applyFont="1" applyFill="1" applyBorder="1"/>
    <xf numFmtId="170" fontId="35" fillId="0" borderId="87" xfId="0" applyNumberFormat="1" applyFont="1" applyFill="1" applyBorder="1"/>
    <xf numFmtId="9" fontId="35" fillId="0" borderId="88" xfId="0" applyNumberFormat="1" applyFont="1" applyFill="1" applyBorder="1"/>
    <xf numFmtId="170" fontId="35" fillId="0" borderId="80" xfId="0" applyNumberFormat="1" applyFont="1" applyFill="1" applyBorder="1"/>
    <xf numFmtId="9" fontId="35" fillId="0" borderId="81" xfId="0" applyNumberFormat="1" applyFont="1" applyFill="1" applyBorder="1"/>
    <xf numFmtId="0" fontId="42" fillId="0" borderId="79" xfId="0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38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170" fontId="32" fillId="0" borderId="76" xfId="76" applyNumberFormat="1" applyFont="1" applyFill="1" applyBorder="1"/>
    <xf numFmtId="170" fontId="32" fillId="0" borderId="77" xfId="76" applyNumberFormat="1" applyFont="1" applyFill="1" applyBorder="1"/>
    <xf numFmtId="170" fontId="32" fillId="0" borderId="86" xfId="76" applyNumberFormat="1" applyFont="1" applyFill="1" applyBorder="1"/>
    <xf numFmtId="170" fontId="32" fillId="0" borderId="87" xfId="76" applyNumberFormat="1" applyFont="1" applyFill="1" applyBorder="1"/>
    <xf numFmtId="170" fontId="32" fillId="0" borderId="79" xfId="76" applyNumberFormat="1" applyFont="1" applyFill="1" applyBorder="1"/>
    <xf numFmtId="170" fontId="32" fillId="0" borderId="80" xfId="76" applyNumberFormat="1" applyFont="1" applyFill="1" applyBorder="1"/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" xfId="82" builtinId="5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0.25730970504447176</c:v>
                </c:pt>
                <c:pt idx="1">
                  <c:v>0.20040636504966536</c:v>
                </c:pt>
                <c:pt idx="2">
                  <c:v>0.41854975024589908</c:v>
                </c:pt>
                <c:pt idx="3">
                  <c:v>0.34595022587594154</c:v>
                </c:pt>
                <c:pt idx="4">
                  <c:v>0.44582608359351622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652288"/>
        <c:axId val="991955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0.24783881302496494</c:v>
                </c:pt>
                <c:pt idx="1">
                  <c:v>0.24783881302496494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444032"/>
        <c:axId val="994445952"/>
      </c:scatterChart>
      <c:catAx>
        <c:axId val="99065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19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955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0652288"/>
        <c:crosses val="autoZero"/>
        <c:crossBetween val="between"/>
      </c:valAx>
      <c:valAx>
        <c:axId val="994444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4445952"/>
        <c:crosses val="max"/>
        <c:crossBetween val="midCat"/>
      </c:valAx>
      <c:valAx>
        <c:axId val="994445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44440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0.49019607843137253</c:v>
                </c:pt>
                <c:pt idx="1">
                  <c:v>0.39523608768971336</c:v>
                </c:pt>
                <c:pt idx="2">
                  <c:v>0.56323472419584031</c:v>
                </c:pt>
                <c:pt idx="3">
                  <c:v>0.5538857878917991</c:v>
                </c:pt>
                <c:pt idx="4">
                  <c:v>1.0492765514303297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587008"/>
        <c:axId val="11918515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502208"/>
        <c:axId val="1260927232"/>
      </c:scatterChart>
      <c:catAx>
        <c:axId val="118858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918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18515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88587008"/>
        <c:crosses val="autoZero"/>
        <c:crossBetween val="between"/>
      </c:valAx>
      <c:valAx>
        <c:axId val="12595022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0927232"/>
        <c:crosses val="max"/>
        <c:crossBetween val="midCat"/>
      </c:valAx>
      <c:valAx>
        <c:axId val="12609272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595022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1" bestFit="1" customWidth="1"/>
    <col min="2" max="2" width="102.21875" style="241" bestFit="1" customWidth="1"/>
    <col min="3" max="3" width="16.109375" style="51" hidden="1" customWidth="1"/>
    <col min="4" max="16384" width="8.88671875" style="241"/>
  </cols>
  <sheetData>
    <row r="1" spans="1:3" ht="18.600000000000001" customHeight="1" thickBot="1" x14ac:dyDescent="0.4">
      <c r="A1" s="436" t="s">
        <v>119</v>
      </c>
      <c r="B1" s="436"/>
    </row>
    <row r="2" spans="1:3" ht="14.4" customHeight="1" thickBot="1" x14ac:dyDescent="0.35">
      <c r="A2" s="364" t="s">
        <v>294</v>
      </c>
      <c r="B2" s="50"/>
    </row>
    <row r="3" spans="1:3" ht="14.4" customHeight="1" thickBot="1" x14ac:dyDescent="0.35">
      <c r="A3" s="432" t="s">
        <v>163</v>
      </c>
      <c r="B3" s="433"/>
    </row>
    <row r="4" spans="1:3" ht="14.4" customHeight="1" x14ac:dyDescent="0.3">
      <c r="A4" s="256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7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8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8" t="str">
        <f t="shared" si="0"/>
        <v>Man Tab</v>
      </c>
      <c r="B7" s="169" t="s">
        <v>296</v>
      </c>
      <c r="C7" s="51" t="s">
        <v>125</v>
      </c>
    </row>
    <row r="8" spans="1:3" ht="14.4" customHeight="1" thickBot="1" x14ac:dyDescent="0.35">
      <c r="A8" s="259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34" t="s">
        <v>120</v>
      </c>
      <c r="B10" s="433"/>
    </row>
    <row r="11" spans="1:3" ht="14.4" customHeight="1" x14ac:dyDescent="0.3">
      <c r="A11" s="260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8" t="str">
        <f t="shared" ref="A12:A17" si="2">HYPERLINK("#'"&amp;C12&amp;"'!A1",C12)</f>
        <v>LŽ Detail</v>
      </c>
      <c r="B12" s="169" t="s">
        <v>182</v>
      </c>
      <c r="C12" s="51" t="s">
        <v>127</v>
      </c>
    </row>
    <row r="13" spans="1:3" ht="28.8" customHeight="1" x14ac:dyDescent="0.3">
      <c r="A13" s="258" t="str">
        <f t="shared" si="2"/>
        <v>LŽ PL</v>
      </c>
      <c r="B13" s="615" t="s">
        <v>183</v>
      </c>
      <c r="C13" s="51" t="s">
        <v>167</v>
      </c>
    </row>
    <row r="14" spans="1:3" ht="14.4" customHeight="1" x14ac:dyDescent="0.3">
      <c r="A14" s="258" t="str">
        <f t="shared" si="2"/>
        <v>LŽ PL Detail</v>
      </c>
      <c r="B14" s="169" t="s">
        <v>1789</v>
      </c>
      <c r="C14" s="51" t="s">
        <v>168</v>
      </c>
    </row>
    <row r="15" spans="1:3" ht="14.4" customHeight="1" x14ac:dyDescent="0.3">
      <c r="A15" s="260" t="str">
        <f t="shared" ref="A15" si="3">HYPERLINK("#'"&amp;C15&amp;"'!A1",C15)</f>
        <v>Materiál Žádanky</v>
      </c>
      <c r="B15" s="169" t="s">
        <v>159</v>
      </c>
      <c r="C15" s="51" t="s">
        <v>128</v>
      </c>
    </row>
    <row r="16" spans="1:3" ht="14.4" customHeight="1" x14ac:dyDescent="0.3">
      <c r="A16" s="258" t="str">
        <f t="shared" si="2"/>
        <v>MŽ Detail</v>
      </c>
      <c r="B16" s="169" t="s">
        <v>2291</v>
      </c>
      <c r="C16" s="51" t="s">
        <v>129</v>
      </c>
    </row>
    <row r="17" spans="1:3" ht="14.4" customHeight="1" thickBot="1" x14ac:dyDescent="0.35">
      <c r="A17" s="260" t="str">
        <f t="shared" si="2"/>
        <v>Osobní náklady</v>
      </c>
      <c r="B17" s="169" t="s">
        <v>117</v>
      </c>
      <c r="C17" s="51" t="s">
        <v>130</v>
      </c>
    </row>
    <row r="18" spans="1:3" ht="14.4" customHeight="1" thickBot="1" x14ac:dyDescent="0.35">
      <c r="A18" s="172"/>
      <c r="B18" s="172"/>
    </row>
    <row r="19" spans="1:3" ht="14.4" customHeight="1" thickBot="1" x14ac:dyDescent="0.35">
      <c r="A19" s="435" t="s">
        <v>121</v>
      </c>
      <c r="B19" s="433"/>
    </row>
    <row r="20" spans="1:3" ht="14.4" customHeight="1" x14ac:dyDescent="0.3">
      <c r="A20" s="258" t="str">
        <f t="shared" ref="A20:A27" si="4">HYPERLINK("#'"&amp;C20&amp;"'!A1",C20)</f>
        <v>ZV Vykáz.-H</v>
      </c>
      <c r="B20" s="169" t="s">
        <v>140</v>
      </c>
      <c r="C20" s="51" t="s">
        <v>138</v>
      </c>
    </row>
    <row r="21" spans="1:3" ht="14.4" customHeight="1" x14ac:dyDescent="0.3">
      <c r="A21" s="258" t="str">
        <f t="shared" si="4"/>
        <v>ZV Vykáz.-H Detail</v>
      </c>
      <c r="B21" s="169" t="s">
        <v>2882</v>
      </c>
      <c r="C21" s="51" t="s">
        <v>139</v>
      </c>
    </row>
    <row r="22" spans="1:3" ht="14.4" customHeight="1" x14ac:dyDescent="0.3">
      <c r="A22" s="261" t="str">
        <f t="shared" si="4"/>
        <v>CaseMix</v>
      </c>
      <c r="B22" s="169" t="s">
        <v>122</v>
      </c>
      <c r="C22" s="51" t="s">
        <v>131</v>
      </c>
    </row>
    <row r="23" spans="1:3" ht="14.4" customHeight="1" x14ac:dyDescent="0.3">
      <c r="A23" s="258" t="str">
        <f t="shared" si="4"/>
        <v>ALOS</v>
      </c>
      <c r="B23" s="169" t="s">
        <v>102</v>
      </c>
      <c r="C23" s="51" t="s">
        <v>73</v>
      </c>
    </row>
    <row r="24" spans="1:3" ht="14.4" customHeight="1" x14ac:dyDescent="0.3">
      <c r="A24" s="258" t="str">
        <f t="shared" si="4"/>
        <v>Total</v>
      </c>
      <c r="B24" s="169" t="s">
        <v>2983</v>
      </c>
      <c r="C24" s="51" t="s">
        <v>132</v>
      </c>
    </row>
    <row r="25" spans="1:3" ht="14.4" customHeight="1" x14ac:dyDescent="0.3">
      <c r="A25" s="258" t="str">
        <f t="shared" si="4"/>
        <v>ZV Vyžád.</v>
      </c>
      <c r="B25" s="169" t="s">
        <v>141</v>
      </c>
      <c r="C25" s="51" t="s">
        <v>135</v>
      </c>
    </row>
    <row r="26" spans="1:3" ht="14.4" customHeight="1" x14ac:dyDescent="0.3">
      <c r="A26" s="258" t="str">
        <f t="shared" si="4"/>
        <v>ZV Vyžád. Detail</v>
      </c>
      <c r="B26" s="169" t="s">
        <v>3588</v>
      </c>
      <c r="C26" s="51" t="s">
        <v>134</v>
      </c>
    </row>
    <row r="27" spans="1:3" ht="14.4" customHeight="1" thickBot="1" x14ac:dyDescent="0.35">
      <c r="A27" s="259" t="str">
        <f t="shared" si="4"/>
        <v>OD TISS</v>
      </c>
      <c r="B27" s="170" t="s">
        <v>162</v>
      </c>
      <c r="C27" s="51" t="s">
        <v>133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1" bestFit="1" customWidth="1"/>
    <col min="2" max="2" width="8.88671875" style="241" bestFit="1" customWidth="1"/>
    <col min="3" max="3" width="7" style="241" bestFit="1" customWidth="1"/>
    <col min="4" max="4" width="53.44140625" style="241" bestFit="1" customWidth="1"/>
    <col min="5" max="5" width="28.44140625" style="241" bestFit="1" customWidth="1"/>
    <col min="6" max="6" width="6.6640625" style="322" customWidth="1"/>
    <col min="7" max="7" width="10" style="322" customWidth="1"/>
    <col min="8" max="8" width="6.77734375" style="325" bestFit="1" customWidth="1"/>
    <col min="9" max="9" width="6.6640625" style="322" customWidth="1"/>
    <col min="10" max="10" width="10" style="322" customWidth="1"/>
    <col min="11" max="11" width="6.77734375" style="325" bestFit="1" customWidth="1"/>
    <col min="12" max="12" width="6.6640625" style="322" customWidth="1"/>
    <col min="13" max="13" width="10" style="322" customWidth="1"/>
    <col min="14" max="16384" width="8.88671875" style="241"/>
  </cols>
  <sheetData>
    <row r="1" spans="1:13" ht="18.600000000000001" customHeight="1" thickBot="1" x14ac:dyDescent="0.4">
      <c r="A1" s="474" t="s">
        <v>1789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36"/>
      <c r="M1" s="436"/>
    </row>
    <row r="2" spans="1:13" ht="14.4" customHeight="1" thickBot="1" x14ac:dyDescent="0.35">
      <c r="A2" s="364" t="s">
        <v>294</v>
      </c>
      <c r="B2" s="321"/>
      <c r="C2" s="321"/>
      <c r="D2" s="321"/>
      <c r="E2" s="321"/>
      <c r="F2" s="329"/>
      <c r="G2" s="329"/>
      <c r="H2" s="330"/>
      <c r="I2" s="329"/>
      <c r="J2" s="329"/>
      <c r="K2" s="330"/>
      <c r="L2" s="329"/>
    </row>
    <row r="3" spans="1:13" ht="14.4" customHeight="1" thickBot="1" x14ac:dyDescent="0.35">
      <c r="E3" s="95" t="s">
        <v>142</v>
      </c>
      <c r="F3" s="47">
        <f>SUBTOTAL(9,F6:F1048576)</f>
        <v>109</v>
      </c>
      <c r="G3" s="47">
        <f>SUBTOTAL(9,G6:G1048576)</f>
        <v>37715.427454544712</v>
      </c>
      <c r="H3" s="48">
        <f>IF(M3=0,0,G3/M3)</f>
        <v>4.3576928474414411E-2</v>
      </c>
      <c r="I3" s="47">
        <f>SUBTOTAL(9,I6:I1048576)</f>
        <v>3868.3</v>
      </c>
      <c r="J3" s="47">
        <f>SUBTOTAL(9,J6:J1048576)</f>
        <v>827775.29837044759</v>
      </c>
      <c r="K3" s="48">
        <f>IF(M3=0,0,J3/M3)</f>
        <v>0.95642307152558537</v>
      </c>
      <c r="L3" s="47">
        <f>SUBTOTAL(9,L6:L1048576)</f>
        <v>3977.3</v>
      </c>
      <c r="M3" s="49">
        <f>SUBTOTAL(9,M6:M1048576)</f>
        <v>865490.72582499252</v>
      </c>
    </row>
    <row r="4" spans="1:13" ht="14.4" customHeight="1" thickBot="1" x14ac:dyDescent="0.35">
      <c r="A4" s="45"/>
      <c r="B4" s="45"/>
      <c r="C4" s="45"/>
      <c r="D4" s="45"/>
      <c r="E4" s="46"/>
      <c r="F4" s="478" t="s">
        <v>144</v>
      </c>
      <c r="G4" s="479"/>
      <c r="H4" s="480"/>
      <c r="I4" s="481" t="s">
        <v>143</v>
      </c>
      <c r="J4" s="479"/>
      <c r="K4" s="480"/>
      <c r="L4" s="482" t="s">
        <v>3</v>
      </c>
      <c r="M4" s="483"/>
    </row>
    <row r="5" spans="1:13" ht="14.4" customHeight="1" thickBot="1" x14ac:dyDescent="0.35">
      <c r="A5" s="602" t="s">
        <v>145</v>
      </c>
      <c r="B5" s="623" t="s">
        <v>146</v>
      </c>
      <c r="C5" s="623" t="s">
        <v>77</v>
      </c>
      <c r="D5" s="623" t="s">
        <v>147</v>
      </c>
      <c r="E5" s="623" t="s">
        <v>148</v>
      </c>
      <c r="F5" s="624" t="s">
        <v>15</v>
      </c>
      <c r="G5" s="624" t="s">
        <v>14</v>
      </c>
      <c r="H5" s="604" t="s">
        <v>149</v>
      </c>
      <c r="I5" s="603" t="s">
        <v>15</v>
      </c>
      <c r="J5" s="624" t="s">
        <v>14</v>
      </c>
      <c r="K5" s="604" t="s">
        <v>149</v>
      </c>
      <c r="L5" s="603" t="s">
        <v>15</v>
      </c>
      <c r="M5" s="625" t="s">
        <v>14</v>
      </c>
    </row>
    <row r="6" spans="1:13" ht="14.4" customHeight="1" x14ac:dyDescent="0.3">
      <c r="A6" s="584" t="s">
        <v>490</v>
      </c>
      <c r="B6" s="585" t="s">
        <v>1689</v>
      </c>
      <c r="C6" s="585" t="s">
        <v>1275</v>
      </c>
      <c r="D6" s="585" t="s">
        <v>1276</v>
      </c>
      <c r="E6" s="585" t="s">
        <v>1277</v>
      </c>
      <c r="F6" s="588"/>
      <c r="G6" s="588"/>
      <c r="H6" s="607">
        <v>0</v>
      </c>
      <c r="I6" s="588">
        <v>1120</v>
      </c>
      <c r="J6" s="588">
        <v>79452.177525301391</v>
      </c>
      <c r="K6" s="607">
        <v>1</v>
      </c>
      <c r="L6" s="588">
        <v>1120</v>
      </c>
      <c r="M6" s="589">
        <v>79452.177525301391</v>
      </c>
    </row>
    <row r="7" spans="1:13" ht="14.4" customHeight="1" x14ac:dyDescent="0.3">
      <c r="A7" s="590" t="s">
        <v>490</v>
      </c>
      <c r="B7" s="591" t="s">
        <v>1690</v>
      </c>
      <c r="C7" s="591" t="s">
        <v>1297</v>
      </c>
      <c r="D7" s="591" t="s">
        <v>1298</v>
      </c>
      <c r="E7" s="591" t="s">
        <v>1299</v>
      </c>
      <c r="F7" s="594"/>
      <c r="G7" s="594"/>
      <c r="H7" s="616">
        <v>0</v>
      </c>
      <c r="I7" s="594">
        <v>1</v>
      </c>
      <c r="J7" s="594">
        <v>380.52000000000004</v>
      </c>
      <c r="K7" s="616">
        <v>1</v>
      </c>
      <c r="L7" s="594">
        <v>1</v>
      </c>
      <c r="M7" s="595">
        <v>380.52000000000004</v>
      </c>
    </row>
    <row r="8" spans="1:13" ht="14.4" customHeight="1" x14ac:dyDescent="0.3">
      <c r="A8" s="590" t="s">
        <v>490</v>
      </c>
      <c r="B8" s="591" t="s">
        <v>1691</v>
      </c>
      <c r="C8" s="591" t="s">
        <v>1272</v>
      </c>
      <c r="D8" s="591" t="s">
        <v>1235</v>
      </c>
      <c r="E8" s="591" t="s">
        <v>1273</v>
      </c>
      <c r="F8" s="594"/>
      <c r="G8" s="594"/>
      <c r="H8" s="616">
        <v>0</v>
      </c>
      <c r="I8" s="594">
        <v>10</v>
      </c>
      <c r="J8" s="594">
        <v>747.42992892396069</v>
      </c>
      <c r="K8" s="616">
        <v>1</v>
      </c>
      <c r="L8" s="594">
        <v>10</v>
      </c>
      <c r="M8" s="595">
        <v>747.42992892396069</v>
      </c>
    </row>
    <row r="9" spans="1:13" ht="14.4" customHeight="1" x14ac:dyDescent="0.3">
      <c r="A9" s="590" t="s">
        <v>490</v>
      </c>
      <c r="B9" s="591" t="s">
        <v>1691</v>
      </c>
      <c r="C9" s="591" t="s">
        <v>1234</v>
      </c>
      <c r="D9" s="591" t="s">
        <v>1235</v>
      </c>
      <c r="E9" s="591" t="s">
        <v>1236</v>
      </c>
      <c r="F9" s="594"/>
      <c r="G9" s="594"/>
      <c r="H9" s="616">
        <v>0</v>
      </c>
      <c r="I9" s="594">
        <v>2</v>
      </c>
      <c r="J9" s="594">
        <v>235.47000000000003</v>
      </c>
      <c r="K9" s="616">
        <v>1</v>
      </c>
      <c r="L9" s="594">
        <v>2</v>
      </c>
      <c r="M9" s="595">
        <v>235.47000000000003</v>
      </c>
    </row>
    <row r="10" spans="1:13" ht="14.4" customHeight="1" x14ac:dyDescent="0.3">
      <c r="A10" s="590" t="s">
        <v>490</v>
      </c>
      <c r="B10" s="591" t="s">
        <v>1692</v>
      </c>
      <c r="C10" s="591" t="s">
        <v>1269</v>
      </c>
      <c r="D10" s="591" t="s">
        <v>1270</v>
      </c>
      <c r="E10" s="591" t="s">
        <v>1122</v>
      </c>
      <c r="F10" s="594"/>
      <c r="G10" s="594"/>
      <c r="H10" s="616">
        <v>0</v>
      </c>
      <c r="I10" s="594">
        <v>38</v>
      </c>
      <c r="J10" s="594">
        <v>17968.005423581086</v>
      </c>
      <c r="K10" s="616">
        <v>1</v>
      </c>
      <c r="L10" s="594">
        <v>38</v>
      </c>
      <c r="M10" s="595">
        <v>17968.005423581086</v>
      </c>
    </row>
    <row r="11" spans="1:13" ht="14.4" customHeight="1" x14ac:dyDescent="0.3">
      <c r="A11" s="590" t="s">
        <v>490</v>
      </c>
      <c r="B11" s="591" t="s">
        <v>1693</v>
      </c>
      <c r="C11" s="591" t="s">
        <v>928</v>
      </c>
      <c r="D11" s="591" t="s">
        <v>1694</v>
      </c>
      <c r="E11" s="591" t="s">
        <v>1695</v>
      </c>
      <c r="F11" s="594"/>
      <c r="G11" s="594"/>
      <c r="H11" s="616">
        <v>0</v>
      </c>
      <c r="I11" s="594">
        <v>10</v>
      </c>
      <c r="J11" s="594">
        <v>3892.9013778723047</v>
      </c>
      <c r="K11" s="616">
        <v>1</v>
      </c>
      <c r="L11" s="594">
        <v>10</v>
      </c>
      <c r="M11" s="595">
        <v>3892.9013778723047</v>
      </c>
    </row>
    <row r="12" spans="1:13" ht="14.4" customHeight="1" x14ac:dyDescent="0.3">
      <c r="A12" s="590" t="s">
        <v>490</v>
      </c>
      <c r="B12" s="591" t="s">
        <v>1696</v>
      </c>
      <c r="C12" s="591" t="s">
        <v>1246</v>
      </c>
      <c r="D12" s="591" t="s">
        <v>1247</v>
      </c>
      <c r="E12" s="591" t="s">
        <v>1697</v>
      </c>
      <c r="F12" s="594"/>
      <c r="G12" s="594"/>
      <c r="H12" s="616">
        <v>0</v>
      </c>
      <c r="I12" s="594">
        <v>16</v>
      </c>
      <c r="J12" s="594">
        <v>55200.004362875188</v>
      </c>
      <c r="K12" s="616">
        <v>1</v>
      </c>
      <c r="L12" s="594">
        <v>16</v>
      </c>
      <c r="M12" s="595">
        <v>55200.004362875188</v>
      </c>
    </row>
    <row r="13" spans="1:13" ht="14.4" customHeight="1" x14ac:dyDescent="0.3">
      <c r="A13" s="590" t="s">
        <v>490</v>
      </c>
      <c r="B13" s="591" t="s">
        <v>1698</v>
      </c>
      <c r="C13" s="591" t="s">
        <v>1286</v>
      </c>
      <c r="D13" s="591" t="s">
        <v>1699</v>
      </c>
      <c r="E13" s="591" t="s">
        <v>1700</v>
      </c>
      <c r="F13" s="594"/>
      <c r="G13" s="594"/>
      <c r="H13" s="616">
        <v>0</v>
      </c>
      <c r="I13" s="594">
        <v>2</v>
      </c>
      <c r="J13" s="594">
        <v>3207.86</v>
      </c>
      <c r="K13" s="616">
        <v>1</v>
      </c>
      <c r="L13" s="594">
        <v>2</v>
      </c>
      <c r="M13" s="595">
        <v>3207.86</v>
      </c>
    </row>
    <row r="14" spans="1:13" ht="14.4" customHeight="1" x14ac:dyDescent="0.3">
      <c r="A14" s="590" t="s">
        <v>490</v>
      </c>
      <c r="B14" s="591" t="s">
        <v>1701</v>
      </c>
      <c r="C14" s="591" t="s">
        <v>1266</v>
      </c>
      <c r="D14" s="591" t="s">
        <v>1220</v>
      </c>
      <c r="E14" s="591" t="s">
        <v>1267</v>
      </c>
      <c r="F14" s="594"/>
      <c r="G14" s="594"/>
      <c r="H14" s="616">
        <v>0</v>
      </c>
      <c r="I14" s="594">
        <v>63</v>
      </c>
      <c r="J14" s="594">
        <v>8526.2855344825166</v>
      </c>
      <c r="K14" s="616">
        <v>1</v>
      </c>
      <c r="L14" s="594">
        <v>63</v>
      </c>
      <c r="M14" s="595">
        <v>8526.2855344825166</v>
      </c>
    </row>
    <row r="15" spans="1:13" ht="14.4" customHeight="1" x14ac:dyDescent="0.3">
      <c r="A15" s="590" t="s">
        <v>490</v>
      </c>
      <c r="B15" s="591" t="s">
        <v>1701</v>
      </c>
      <c r="C15" s="591" t="s">
        <v>1219</v>
      </c>
      <c r="D15" s="591" t="s">
        <v>1220</v>
      </c>
      <c r="E15" s="591" t="s">
        <v>1702</v>
      </c>
      <c r="F15" s="594"/>
      <c r="G15" s="594"/>
      <c r="H15" s="616">
        <v>0</v>
      </c>
      <c r="I15" s="594">
        <v>1</v>
      </c>
      <c r="J15" s="594">
        <v>47.33</v>
      </c>
      <c r="K15" s="616">
        <v>1</v>
      </c>
      <c r="L15" s="594">
        <v>1</v>
      </c>
      <c r="M15" s="595">
        <v>47.33</v>
      </c>
    </row>
    <row r="16" spans="1:13" ht="14.4" customHeight="1" x14ac:dyDescent="0.3">
      <c r="A16" s="590" t="s">
        <v>490</v>
      </c>
      <c r="B16" s="591" t="s">
        <v>1701</v>
      </c>
      <c r="C16" s="591" t="s">
        <v>1223</v>
      </c>
      <c r="D16" s="591" t="s">
        <v>1220</v>
      </c>
      <c r="E16" s="591" t="s">
        <v>1703</v>
      </c>
      <c r="F16" s="594"/>
      <c r="G16" s="594"/>
      <c r="H16" s="616">
        <v>0</v>
      </c>
      <c r="I16" s="594">
        <v>1</v>
      </c>
      <c r="J16" s="594">
        <v>94.67</v>
      </c>
      <c r="K16" s="616">
        <v>1</v>
      </c>
      <c r="L16" s="594">
        <v>1</v>
      </c>
      <c r="M16" s="595">
        <v>94.67</v>
      </c>
    </row>
    <row r="17" spans="1:13" ht="14.4" customHeight="1" x14ac:dyDescent="0.3">
      <c r="A17" s="590" t="s">
        <v>490</v>
      </c>
      <c r="B17" s="591" t="s">
        <v>1704</v>
      </c>
      <c r="C17" s="591" t="s">
        <v>1242</v>
      </c>
      <c r="D17" s="591" t="s">
        <v>1243</v>
      </c>
      <c r="E17" s="591" t="s">
        <v>1244</v>
      </c>
      <c r="F17" s="594"/>
      <c r="G17" s="594"/>
      <c r="H17" s="616">
        <v>0</v>
      </c>
      <c r="I17" s="594">
        <v>2</v>
      </c>
      <c r="J17" s="594">
        <v>159.66</v>
      </c>
      <c r="K17" s="616">
        <v>1</v>
      </c>
      <c r="L17" s="594">
        <v>2</v>
      </c>
      <c r="M17" s="595">
        <v>159.66</v>
      </c>
    </row>
    <row r="18" spans="1:13" ht="14.4" customHeight="1" x14ac:dyDescent="0.3">
      <c r="A18" s="590" t="s">
        <v>490</v>
      </c>
      <c r="B18" s="591" t="s">
        <v>1705</v>
      </c>
      <c r="C18" s="591" t="s">
        <v>792</v>
      </c>
      <c r="D18" s="591" t="s">
        <v>793</v>
      </c>
      <c r="E18" s="591" t="s">
        <v>794</v>
      </c>
      <c r="F18" s="594"/>
      <c r="G18" s="594"/>
      <c r="H18" s="616">
        <v>0</v>
      </c>
      <c r="I18" s="594">
        <v>1</v>
      </c>
      <c r="J18" s="594">
        <v>64.540000000000006</v>
      </c>
      <c r="K18" s="616">
        <v>1</v>
      </c>
      <c r="L18" s="594">
        <v>1</v>
      </c>
      <c r="M18" s="595">
        <v>64.540000000000006</v>
      </c>
    </row>
    <row r="19" spans="1:13" ht="14.4" customHeight="1" x14ac:dyDescent="0.3">
      <c r="A19" s="590" t="s">
        <v>490</v>
      </c>
      <c r="B19" s="591" t="s">
        <v>1705</v>
      </c>
      <c r="C19" s="591" t="s">
        <v>788</v>
      </c>
      <c r="D19" s="591" t="s">
        <v>789</v>
      </c>
      <c r="E19" s="591" t="s">
        <v>790</v>
      </c>
      <c r="F19" s="594"/>
      <c r="G19" s="594"/>
      <c r="H19" s="616">
        <v>0</v>
      </c>
      <c r="I19" s="594">
        <v>1</v>
      </c>
      <c r="J19" s="594">
        <v>151.12</v>
      </c>
      <c r="K19" s="616">
        <v>1</v>
      </c>
      <c r="L19" s="594">
        <v>1</v>
      </c>
      <c r="M19" s="595">
        <v>151.12</v>
      </c>
    </row>
    <row r="20" spans="1:13" ht="14.4" customHeight="1" x14ac:dyDescent="0.3">
      <c r="A20" s="590" t="s">
        <v>490</v>
      </c>
      <c r="B20" s="591" t="s">
        <v>1706</v>
      </c>
      <c r="C20" s="591" t="s">
        <v>1279</v>
      </c>
      <c r="D20" s="591" t="s">
        <v>1280</v>
      </c>
      <c r="E20" s="591" t="s">
        <v>983</v>
      </c>
      <c r="F20" s="594"/>
      <c r="G20" s="594"/>
      <c r="H20" s="616">
        <v>0</v>
      </c>
      <c r="I20" s="594">
        <v>1</v>
      </c>
      <c r="J20" s="594">
        <v>41.519999999999989</v>
      </c>
      <c r="K20" s="616">
        <v>1</v>
      </c>
      <c r="L20" s="594">
        <v>1</v>
      </c>
      <c r="M20" s="595">
        <v>41.519999999999989</v>
      </c>
    </row>
    <row r="21" spans="1:13" ht="14.4" customHeight="1" x14ac:dyDescent="0.3">
      <c r="A21" s="590" t="s">
        <v>490</v>
      </c>
      <c r="B21" s="591" t="s">
        <v>1707</v>
      </c>
      <c r="C21" s="591" t="s">
        <v>940</v>
      </c>
      <c r="D21" s="591" t="s">
        <v>941</v>
      </c>
      <c r="E21" s="591" t="s">
        <v>1708</v>
      </c>
      <c r="F21" s="594"/>
      <c r="G21" s="594"/>
      <c r="H21" s="616">
        <v>0</v>
      </c>
      <c r="I21" s="594">
        <v>2</v>
      </c>
      <c r="J21" s="594">
        <v>159.87965826345686</v>
      </c>
      <c r="K21" s="616">
        <v>1</v>
      </c>
      <c r="L21" s="594">
        <v>2</v>
      </c>
      <c r="M21" s="595">
        <v>159.87965826345686</v>
      </c>
    </row>
    <row r="22" spans="1:13" ht="14.4" customHeight="1" x14ac:dyDescent="0.3">
      <c r="A22" s="590" t="s">
        <v>490</v>
      </c>
      <c r="B22" s="591" t="s">
        <v>1709</v>
      </c>
      <c r="C22" s="591" t="s">
        <v>1250</v>
      </c>
      <c r="D22" s="591" t="s">
        <v>1251</v>
      </c>
      <c r="E22" s="591" t="s">
        <v>1710</v>
      </c>
      <c r="F22" s="594"/>
      <c r="G22" s="594"/>
      <c r="H22" s="616">
        <v>0</v>
      </c>
      <c r="I22" s="594">
        <v>1</v>
      </c>
      <c r="J22" s="594">
        <v>140.94</v>
      </c>
      <c r="K22" s="616">
        <v>1</v>
      </c>
      <c r="L22" s="594">
        <v>1</v>
      </c>
      <c r="M22" s="595">
        <v>140.94</v>
      </c>
    </row>
    <row r="23" spans="1:13" ht="14.4" customHeight="1" x14ac:dyDescent="0.3">
      <c r="A23" s="590" t="s">
        <v>490</v>
      </c>
      <c r="B23" s="591" t="s">
        <v>1711</v>
      </c>
      <c r="C23" s="591" t="s">
        <v>1320</v>
      </c>
      <c r="D23" s="591" t="s">
        <v>1712</v>
      </c>
      <c r="E23" s="591" t="s">
        <v>1713</v>
      </c>
      <c r="F23" s="594"/>
      <c r="G23" s="594"/>
      <c r="H23" s="616">
        <v>0</v>
      </c>
      <c r="I23" s="594">
        <v>26</v>
      </c>
      <c r="J23" s="594">
        <v>38220.320070025497</v>
      </c>
      <c r="K23" s="616">
        <v>1</v>
      </c>
      <c r="L23" s="594">
        <v>26</v>
      </c>
      <c r="M23" s="595">
        <v>38220.320070025497</v>
      </c>
    </row>
    <row r="24" spans="1:13" ht="14.4" customHeight="1" x14ac:dyDescent="0.3">
      <c r="A24" s="590" t="s">
        <v>490</v>
      </c>
      <c r="B24" s="591" t="s">
        <v>1714</v>
      </c>
      <c r="C24" s="591" t="s">
        <v>1230</v>
      </c>
      <c r="D24" s="591" t="s">
        <v>1231</v>
      </c>
      <c r="E24" s="591" t="s">
        <v>1715</v>
      </c>
      <c r="F24" s="594"/>
      <c r="G24" s="594"/>
      <c r="H24" s="616">
        <v>0</v>
      </c>
      <c r="I24" s="594">
        <v>1</v>
      </c>
      <c r="J24" s="594">
        <v>218.1</v>
      </c>
      <c r="K24" s="616">
        <v>1</v>
      </c>
      <c r="L24" s="594">
        <v>1</v>
      </c>
      <c r="M24" s="595">
        <v>218.1</v>
      </c>
    </row>
    <row r="25" spans="1:13" ht="14.4" customHeight="1" x14ac:dyDescent="0.3">
      <c r="A25" s="590" t="s">
        <v>490</v>
      </c>
      <c r="B25" s="591" t="s">
        <v>1714</v>
      </c>
      <c r="C25" s="591" t="s">
        <v>1215</v>
      </c>
      <c r="D25" s="591" t="s">
        <v>1716</v>
      </c>
      <c r="E25" s="591" t="s">
        <v>1717</v>
      </c>
      <c r="F25" s="594"/>
      <c r="G25" s="594"/>
      <c r="H25" s="616">
        <v>0</v>
      </c>
      <c r="I25" s="594">
        <v>10</v>
      </c>
      <c r="J25" s="594">
        <v>363.3</v>
      </c>
      <c r="K25" s="616">
        <v>1</v>
      </c>
      <c r="L25" s="594">
        <v>10</v>
      </c>
      <c r="M25" s="595">
        <v>363.3</v>
      </c>
    </row>
    <row r="26" spans="1:13" ht="14.4" customHeight="1" x14ac:dyDescent="0.3">
      <c r="A26" s="590" t="s">
        <v>490</v>
      </c>
      <c r="B26" s="591" t="s">
        <v>1718</v>
      </c>
      <c r="C26" s="591" t="s">
        <v>510</v>
      </c>
      <c r="D26" s="591" t="s">
        <v>511</v>
      </c>
      <c r="E26" s="591" t="s">
        <v>512</v>
      </c>
      <c r="F26" s="594">
        <v>1</v>
      </c>
      <c r="G26" s="594">
        <v>49.8</v>
      </c>
      <c r="H26" s="616">
        <v>1</v>
      </c>
      <c r="I26" s="594"/>
      <c r="J26" s="594"/>
      <c r="K26" s="616">
        <v>0</v>
      </c>
      <c r="L26" s="594">
        <v>1</v>
      </c>
      <c r="M26" s="595">
        <v>49.8</v>
      </c>
    </row>
    <row r="27" spans="1:13" ht="14.4" customHeight="1" x14ac:dyDescent="0.3">
      <c r="A27" s="590" t="s">
        <v>490</v>
      </c>
      <c r="B27" s="591" t="s">
        <v>1718</v>
      </c>
      <c r="C27" s="591" t="s">
        <v>1293</v>
      </c>
      <c r="D27" s="591" t="s">
        <v>1294</v>
      </c>
      <c r="E27" s="591" t="s">
        <v>1719</v>
      </c>
      <c r="F27" s="594"/>
      <c r="G27" s="594"/>
      <c r="H27" s="616">
        <v>0</v>
      </c>
      <c r="I27" s="594">
        <v>1</v>
      </c>
      <c r="J27" s="594">
        <v>97.57</v>
      </c>
      <c r="K27" s="616">
        <v>1</v>
      </c>
      <c r="L27" s="594">
        <v>1</v>
      </c>
      <c r="M27" s="595">
        <v>97.57</v>
      </c>
    </row>
    <row r="28" spans="1:13" ht="14.4" customHeight="1" x14ac:dyDescent="0.3">
      <c r="A28" s="590" t="s">
        <v>490</v>
      </c>
      <c r="B28" s="591" t="s">
        <v>1718</v>
      </c>
      <c r="C28" s="591" t="s">
        <v>1238</v>
      </c>
      <c r="D28" s="591" t="s">
        <v>1239</v>
      </c>
      <c r="E28" s="591" t="s">
        <v>1720</v>
      </c>
      <c r="F28" s="594"/>
      <c r="G28" s="594"/>
      <c r="H28" s="616">
        <v>0</v>
      </c>
      <c r="I28" s="594">
        <v>3</v>
      </c>
      <c r="J28" s="594">
        <v>186.15</v>
      </c>
      <c r="K28" s="616">
        <v>1</v>
      </c>
      <c r="L28" s="594">
        <v>3</v>
      </c>
      <c r="M28" s="595">
        <v>186.15</v>
      </c>
    </row>
    <row r="29" spans="1:13" ht="14.4" customHeight="1" x14ac:dyDescent="0.3">
      <c r="A29" s="590" t="s">
        <v>490</v>
      </c>
      <c r="B29" s="591" t="s">
        <v>1721</v>
      </c>
      <c r="C29" s="591" t="s">
        <v>1580</v>
      </c>
      <c r="D29" s="591" t="s">
        <v>1581</v>
      </c>
      <c r="E29" s="591" t="s">
        <v>1582</v>
      </c>
      <c r="F29" s="594"/>
      <c r="G29" s="594"/>
      <c r="H29" s="616">
        <v>0</v>
      </c>
      <c r="I29" s="594">
        <v>10.6</v>
      </c>
      <c r="J29" s="594">
        <v>133260.144</v>
      </c>
      <c r="K29" s="616">
        <v>1</v>
      </c>
      <c r="L29" s="594">
        <v>10.6</v>
      </c>
      <c r="M29" s="595">
        <v>133260.144</v>
      </c>
    </row>
    <row r="30" spans="1:13" ht="14.4" customHeight="1" x14ac:dyDescent="0.3">
      <c r="A30" s="590" t="s">
        <v>490</v>
      </c>
      <c r="B30" s="591" t="s">
        <v>1722</v>
      </c>
      <c r="C30" s="591" t="s">
        <v>1543</v>
      </c>
      <c r="D30" s="591" t="s">
        <v>1544</v>
      </c>
      <c r="E30" s="591" t="s">
        <v>1545</v>
      </c>
      <c r="F30" s="594"/>
      <c r="G30" s="594"/>
      <c r="H30" s="616">
        <v>0</v>
      </c>
      <c r="I30" s="594">
        <v>340</v>
      </c>
      <c r="J30" s="594">
        <v>15587.40683456734</v>
      </c>
      <c r="K30" s="616">
        <v>1</v>
      </c>
      <c r="L30" s="594">
        <v>340</v>
      </c>
      <c r="M30" s="595">
        <v>15587.40683456734</v>
      </c>
    </row>
    <row r="31" spans="1:13" ht="14.4" customHeight="1" x14ac:dyDescent="0.3">
      <c r="A31" s="590" t="s">
        <v>490</v>
      </c>
      <c r="B31" s="591" t="s">
        <v>1723</v>
      </c>
      <c r="C31" s="591" t="s">
        <v>1558</v>
      </c>
      <c r="D31" s="591" t="s">
        <v>1724</v>
      </c>
      <c r="E31" s="591" t="s">
        <v>1725</v>
      </c>
      <c r="F31" s="594"/>
      <c r="G31" s="594"/>
      <c r="H31" s="616">
        <v>0</v>
      </c>
      <c r="I31" s="594">
        <v>190.2</v>
      </c>
      <c r="J31" s="594">
        <v>17905.170218711206</v>
      </c>
      <c r="K31" s="616">
        <v>1</v>
      </c>
      <c r="L31" s="594">
        <v>190.2</v>
      </c>
      <c r="M31" s="595">
        <v>17905.170218711206</v>
      </c>
    </row>
    <row r="32" spans="1:13" ht="14.4" customHeight="1" x14ac:dyDescent="0.3">
      <c r="A32" s="590" t="s">
        <v>490</v>
      </c>
      <c r="B32" s="591" t="s">
        <v>1723</v>
      </c>
      <c r="C32" s="591" t="s">
        <v>1566</v>
      </c>
      <c r="D32" s="591" t="s">
        <v>1726</v>
      </c>
      <c r="E32" s="591" t="s">
        <v>1727</v>
      </c>
      <c r="F32" s="594"/>
      <c r="G32" s="594"/>
      <c r="H32" s="616">
        <v>0</v>
      </c>
      <c r="I32" s="594">
        <v>1</v>
      </c>
      <c r="J32" s="594">
        <v>252.54120453477299</v>
      </c>
      <c r="K32" s="616">
        <v>1</v>
      </c>
      <c r="L32" s="594">
        <v>1</v>
      </c>
      <c r="M32" s="595">
        <v>252.54120453477299</v>
      </c>
    </row>
    <row r="33" spans="1:13" ht="14.4" customHeight="1" x14ac:dyDescent="0.3">
      <c r="A33" s="590" t="s">
        <v>490</v>
      </c>
      <c r="B33" s="591" t="s">
        <v>1728</v>
      </c>
      <c r="C33" s="591" t="s">
        <v>1555</v>
      </c>
      <c r="D33" s="591" t="s">
        <v>1556</v>
      </c>
      <c r="E33" s="591" t="s">
        <v>1477</v>
      </c>
      <c r="F33" s="594"/>
      <c r="G33" s="594"/>
      <c r="H33" s="616">
        <v>0</v>
      </c>
      <c r="I33" s="594">
        <v>15.5</v>
      </c>
      <c r="J33" s="594">
        <v>3208.5023474581531</v>
      </c>
      <c r="K33" s="616">
        <v>1</v>
      </c>
      <c r="L33" s="594">
        <v>15.5</v>
      </c>
      <c r="M33" s="595">
        <v>3208.5023474581531</v>
      </c>
    </row>
    <row r="34" spans="1:13" ht="14.4" customHeight="1" x14ac:dyDescent="0.3">
      <c r="A34" s="590" t="s">
        <v>490</v>
      </c>
      <c r="B34" s="591" t="s">
        <v>1729</v>
      </c>
      <c r="C34" s="591" t="s">
        <v>1562</v>
      </c>
      <c r="D34" s="591" t="s">
        <v>1730</v>
      </c>
      <c r="E34" s="591" t="s">
        <v>1545</v>
      </c>
      <c r="F34" s="594"/>
      <c r="G34" s="594"/>
      <c r="H34" s="616">
        <v>0</v>
      </c>
      <c r="I34" s="594">
        <v>83</v>
      </c>
      <c r="J34" s="594">
        <v>6243.2758884466739</v>
      </c>
      <c r="K34" s="616">
        <v>1</v>
      </c>
      <c r="L34" s="594">
        <v>83</v>
      </c>
      <c r="M34" s="595">
        <v>6243.2758884466739</v>
      </c>
    </row>
    <row r="35" spans="1:13" ht="14.4" customHeight="1" x14ac:dyDescent="0.3">
      <c r="A35" s="590" t="s">
        <v>490</v>
      </c>
      <c r="B35" s="591" t="s">
        <v>1731</v>
      </c>
      <c r="C35" s="591" t="s">
        <v>1442</v>
      </c>
      <c r="D35" s="591" t="s">
        <v>1443</v>
      </c>
      <c r="E35" s="591" t="s">
        <v>1444</v>
      </c>
      <c r="F35" s="594">
        <v>20</v>
      </c>
      <c r="G35" s="594">
        <v>705.19999999999993</v>
      </c>
      <c r="H35" s="616">
        <v>1</v>
      </c>
      <c r="I35" s="594"/>
      <c r="J35" s="594"/>
      <c r="K35" s="616">
        <v>0</v>
      </c>
      <c r="L35" s="594">
        <v>20</v>
      </c>
      <c r="M35" s="595">
        <v>705.19999999999993</v>
      </c>
    </row>
    <row r="36" spans="1:13" ht="14.4" customHeight="1" x14ac:dyDescent="0.3">
      <c r="A36" s="590" t="s">
        <v>490</v>
      </c>
      <c r="B36" s="591" t="s">
        <v>1732</v>
      </c>
      <c r="C36" s="591" t="s">
        <v>1583</v>
      </c>
      <c r="D36" s="591" t="s">
        <v>1584</v>
      </c>
      <c r="E36" s="591" t="s">
        <v>1585</v>
      </c>
      <c r="F36" s="594"/>
      <c r="G36" s="594"/>
      <c r="H36" s="616">
        <v>0</v>
      </c>
      <c r="I36" s="594">
        <v>8</v>
      </c>
      <c r="J36" s="594">
        <v>13655.979039499343</v>
      </c>
      <c r="K36" s="616">
        <v>1</v>
      </c>
      <c r="L36" s="594">
        <v>8</v>
      </c>
      <c r="M36" s="595">
        <v>13655.979039499343</v>
      </c>
    </row>
    <row r="37" spans="1:13" ht="14.4" customHeight="1" x14ac:dyDescent="0.3">
      <c r="A37" s="590" t="s">
        <v>490</v>
      </c>
      <c r="B37" s="591" t="s">
        <v>1733</v>
      </c>
      <c r="C37" s="591" t="s">
        <v>1551</v>
      </c>
      <c r="D37" s="591" t="s">
        <v>1552</v>
      </c>
      <c r="E37" s="591" t="s">
        <v>1734</v>
      </c>
      <c r="F37" s="594"/>
      <c r="G37" s="594"/>
      <c r="H37" s="616">
        <v>0</v>
      </c>
      <c r="I37" s="594">
        <v>40</v>
      </c>
      <c r="J37" s="594">
        <v>10477.800000000001</v>
      </c>
      <c r="K37" s="616">
        <v>1</v>
      </c>
      <c r="L37" s="594">
        <v>40</v>
      </c>
      <c r="M37" s="595">
        <v>10477.800000000001</v>
      </c>
    </row>
    <row r="38" spans="1:13" ht="14.4" customHeight="1" x14ac:dyDescent="0.3">
      <c r="A38" s="590" t="s">
        <v>490</v>
      </c>
      <c r="B38" s="591" t="s">
        <v>1735</v>
      </c>
      <c r="C38" s="591" t="s">
        <v>1573</v>
      </c>
      <c r="D38" s="591" t="s">
        <v>1577</v>
      </c>
      <c r="E38" s="591" t="s">
        <v>1736</v>
      </c>
      <c r="F38" s="594"/>
      <c r="G38" s="594"/>
      <c r="H38" s="616">
        <v>0</v>
      </c>
      <c r="I38" s="594">
        <v>2</v>
      </c>
      <c r="J38" s="594">
        <v>148</v>
      </c>
      <c r="K38" s="616">
        <v>1</v>
      </c>
      <c r="L38" s="594">
        <v>2</v>
      </c>
      <c r="M38" s="595">
        <v>148</v>
      </c>
    </row>
    <row r="39" spans="1:13" ht="14.4" customHeight="1" x14ac:dyDescent="0.3">
      <c r="A39" s="590" t="s">
        <v>490</v>
      </c>
      <c r="B39" s="591" t="s">
        <v>1735</v>
      </c>
      <c r="C39" s="591" t="s">
        <v>1539</v>
      </c>
      <c r="D39" s="591" t="s">
        <v>1577</v>
      </c>
      <c r="E39" s="591" t="s">
        <v>1737</v>
      </c>
      <c r="F39" s="594"/>
      <c r="G39" s="594"/>
      <c r="H39" s="616">
        <v>0</v>
      </c>
      <c r="I39" s="594">
        <v>145</v>
      </c>
      <c r="J39" s="594">
        <v>12847.022943210006</v>
      </c>
      <c r="K39" s="616">
        <v>1</v>
      </c>
      <c r="L39" s="594">
        <v>145</v>
      </c>
      <c r="M39" s="595">
        <v>12847.022943210006</v>
      </c>
    </row>
    <row r="40" spans="1:13" ht="14.4" customHeight="1" x14ac:dyDescent="0.3">
      <c r="A40" s="590" t="s">
        <v>490</v>
      </c>
      <c r="B40" s="591" t="s">
        <v>1735</v>
      </c>
      <c r="C40" s="591" t="s">
        <v>1576</v>
      </c>
      <c r="D40" s="591" t="s">
        <v>1577</v>
      </c>
      <c r="E40" s="591" t="s">
        <v>1578</v>
      </c>
      <c r="F40" s="594"/>
      <c r="G40" s="594"/>
      <c r="H40" s="616">
        <v>0</v>
      </c>
      <c r="I40" s="594">
        <v>16</v>
      </c>
      <c r="J40" s="594">
        <v>956.63216325638996</v>
      </c>
      <c r="K40" s="616">
        <v>1</v>
      </c>
      <c r="L40" s="594">
        <v>16</v>
      </c>
      <c r="M40" s="595">
        <v>956.63216325638996</v>
      </c>
    </row>
    <row r="41" spans="1:13" ht="14.4" customHeight="1" x14ac:dyDescent="0.3">
      <c r="A41" s="590" t="s">
        <v>490</v>
      </c>
      <c r="B41" s="591" t="s">
        <v>1738</v>
      </c>
      <c r="C41" s="591" t="s">
        <v>1570</v>
      </c>
      <c r="D41" s="591" t="s">
        <v>1571</v>
      </c>
      <c r="E41" s="591" t="s">
        <v>1739</v>
      </c>
      <c r="F41" s="594"/>
      <c r="G41" s="594"/>
      <c r="H41" s="616">
        <v>0</v>
      </c>
      <c r="I41" s="594">
        <v>8</v>
      </c>
      <c r="J41" s="594">
        <v>435.43771414572677</v>
      </c>
      <c r="K41" s="616">
        <v>1</v>
      </c>
      <c r="L41" s="594">
        <v>8</v>
      </c>
      <c r="M41" s="595">
        <v>435.43771414572677</v>
      </c>
    </row>
    <row r="42" spans="1:13" ht="14.4" customHeight="1" x14ac:dyDescent="0.3">
      <c r="A42" s="590" t="s">
        <v>490</v>
      </c>
      <c r="B42" s="591" t="s">
        <v>1740</v>
      </c>
      <c r="C42" s="591" t="s">
        <v>1547</v>
      </c>
      <c r="D42" s="591" t="s">
        <v>1741</v>
      </c>
      <c r="E42" s="591" t="s">
        <v>1739</v>
      </c>
      <c r="F42" s="594"/>
      <c r="G42" s="594"/>
      <c r="H42" s="616">
        <v>0</v>
      </c>
      <c r="I42" s="594">
        <v>290</v>
      </c>
      <c r="J42" s="594">
        <v>21663.006460355857</v>
      </c>
      <c r="K42" s="616">
        <v>1</v>
      </c>
      <c r="L42" s="594">
        <v>290</v>
      </c>
      <c r="M42" s="595">
        <v>21663.006460355857</v>
      </c>
    </row>
    <row r="43" spans="1:13" ht="14.4" customHeight="1" x14ac:dyDescent="0.3">
      <c r="A43" s="590" t="s">
        <v>490</v>
      </c>
      <c r="B43" s="591" t="s">
        <v>1742</v>
      </c>
      <c r="C43" s="591" t="s">
        <v>1491</v>
      </c>
      <c r="D43" s="591" t="s">
        <v>1743</v>
      </c>
      <c r="E43" s="591" t="s">
        <v>1744</v>
      </c>
      <c r="F43" s="594"/>
      <c r="G43" s="594"/>
      <c r="H43" s="616">
        <v>0</v>
      </c>
      <c r="I43" s="594">
        <v>40</v>
      </c>
      <c r="J43" s="594">
        <v>4227.3999999999996</v>
      </c>
      <c r="K43" s="616">
        <v>1</v>
      </c>
      <c r="L43" s="594">
        <v>40</v>
      </c>
      <c r="M43" s="595">
        <v>4227.3999999999996</v>
      </c>
    </row>
    <row r="44" spans="1:13" ht="14.4" customHeight="1" x14ac:dyDescent="0.3">
      <c r="A44" s="590" t="s">
        <v>490</v>
      </c>
      <c r="B44" s="591" t="s">
        <v>1742</v>
      </c>
      <c r="C44" s="591" t="s">
        <v>1495</v>
      </c>
      <c r="D44" s="591" t="s">
        <v>1745</v>
      </c>
      <c r="E44" s="591" t="s">
        <v>1444</v>
      </c>
      <c r="F44" s="594"/>
      <c r="G44" s="594"/>
      <c r="H44" s="616">
        <v>0</v>
      </c>
      <c r="I44" s="594">
        <v>20</v>
      </c>
      <c r="J44" s="594">
        <v>5263.4000000000005</v>
      </c>
      <c r="K44" s="616">
        <v>1</v>
      </c>
      <c r="L44" s="594">
        <v>20</v>
      </c>
      <c r="M44" s="595">
        <v>5263.4000000000005</v>
      </c>
    </row>
    <row r="45" spans="1:13" ht="14.4" customHeight="1" x14ac:dyDescent="0.3">
      <c r="A45" s="590" t="s">
        <v>490</v>
      </c>
      <c r="B45" s="591" t="s">
        <v>1746</v>
      </c>
      <c r="C45" s="591" t="s">
        <v>1587</v>
      </c>
      <c r="D45" s="591" t="s">
        <v>1747</v>
      </c>
      <c r="E45" s="591" t="s">
        <v>1748</v>
      </c>
      <c r="F45" s="594"/>
      <c r="G45" s="594"/>
      <c r="H45" s="616">
        <v>0</v>
      </c>
      <c r="I45" s="594">
        <v>5</v>
      </c>
      <c r="J45" s="594">
        <v>4440.7500000000009</v>
      </c>
      <c r="K45" s="616">
        <v>1</v>
      </c>
      <c r="L45" s="594">
        <v>5</v>
      </c>
      <c r="M45" s="595">
        <v>4440.7500000000009</v>
      </c>
    </row>
    <row r="46" spans="1:13" ht="14.4" customHeight="1" x14ac:dyDescent="0.3">
      <c r="A46" s="590" t="s">
        <v>490</v>
      </c>
      <c r="B46" s="591" t="s">
        <v>1749</v>
      </c>
      <c r="C46" s="591" t="s">
        <v>1611</v>
      </c>
      <c r="D46" s="591" t="s">
        <v>1750</v>
      </c>
      <c r="E46" s="591" t="s">
        <v>1751</v>
      </c>
      <c r="F46" s="594"/>
      <c r="G46" s="594"/>
      <c r="H46" s="616">
        <v>0</v>
      </c>
      <c r="I46" s="594">
        <v>456</v>
      </c>
      <c r="J46" s="594">
        <v>19815.871896066845</v>
      </c>
      <c r="K46" s="616">
        <v>1</v>
      </c>
      <c r="L46" s="594">
        <v>456</v>
      </c>
      <c r="M46" s="595">
        <v>19815.871896066845</v>
      </c>
    </row>
    <row r="47" spans="1:13" ht="14.4" customHeight="1" x14ac:dyDescent="0.3">
      <c r="A47" s="590" t="s">
        <v>490</v>
      </c>
      <c r="B47" s="591" t="s">
        <v>1752</v>
      </c>
      <c r="C47" s="591" t="s">
        <v>1622</v>
      </c>
      <c r="D47" s="591" t="s">
        <v>1615</v>
      </c>
      <c r="E47" s="591" t="s">
        <v>1753</v>
      </c>
      <c r="F47" s="594"/>
      <c r="G47" s="594"/>
      <c r="H47" s="616">
        <v>0</v>
      </c>
      <c r="I47" s="594">
        <v>1</v>
      </c>
      <c r="J47" s="594">
        <v>15921.14</v>
      </c>
      <c r="K47" s="616">
        <v>1</v>
      </c>
      <c r="L47" s="594">
        <v>1</v>
      </c>
      <c r="M47" s="595">
        <v>15921.14</v>
      </c>
    </row>
    <row r="48" spans="1:13" ht="14.4" customHeight="1" x14ac:dyDescent="0.3">
      <c r="A48" s="590" t="s">
        <v>490</v>
      </c>
      <c r="B48" s="591" t="s">
        <v>1752</v>
      </c>
      <c r="C48" s="591" t="s">
        <v>1614</v>
      </c>
      <c r="D48" s="591" t="s">
        <v>1615</v>
      </c>
      <c r="E48" s="591" t="s">
        <v>1616</v>
      </c>
      <c r="F48" s="594"/>
      <c r="G48" s="594"/>
      <c r="H48" s="616">
        <v>0</v>
      </c>
      <c r="I48" s="594">
        <v>68</v>
      </c>
      <c r="J48" s="594">
        <v>202575.00592990342</v>
      </c>
      <c r="K48" s="616">
        <v>1</v>
      </c>
      <c r="L48" s="594">
        <v>68</v>
      </c>
      <c r="M48" s="595">
        <v>202575.00592990342</v>
      </c>
    </row>
    <row r="49" spans="1:13" ht="14.4" customHeight="1" x14ac:dyDescent="0.3">
      <c r="A49" s="590" t="s">
        <v>490</v>
      </c>
      <c r="B49" s="591" t="s">
        <v>1754</v>
      </c>
      <c r="C49" s="591" t="s">
        <v>1618</v>
      </c>
      <c r="D49" s="591" t="s">
        <v>1619</v>
      </c>
      <c r="E49" s="591" t="s">
        <v>1620</v>
      </c>
      <c r="F49" s="594"/>
      <c r="G49" s="594"/>
      <c r="H49" s="616">
        <v>0</v>
      </c>
      <c r="I49" s="594">
        <v>4</v>
      </c>
      <c r="J49" s="594">
        <v>31363.640000000003</v>
      </c>
      <c r="K49" s="616">
        <v>1</v>
      </c>
      <c r="L49" s="594">
        <v>4</v>
      </c>
      <c r="M49" s="595">
        <v>31363.640000000003</v>
      </c>
    </row>
    <row r="50" spans="1:13" ht="14.4" customHeight="1" x14ac:dyDescent="0.3">
      <c r="A50" s="590" t="s">
        <v>490</v>
      </c>
      <c r="B50" s="591" t="s">
        <v>1755</v>
      </c>
      <c r="C50" s="591" t="s">
        <v>501</v>
      </c>
      <c r="D50" s="591" t="s">
        <v>502</v>
      </c>
      <c r="E50" s="591" t="s">
        <v>1756</v>
      </c>
      <c r="F50" s="594">
        <v>1</v>
      </c>
      <c r="G50" s="594">
        <v>3096.0999999999967</v>
      </c>
      <c r="H50" s="616">
        <v>1</v>
      </c>
      <c r="I50" s="594"/>
      <c r="J50" s="594"/>
      <c r="K50" s="616">
        <v>0</v>
      </c>
      <c r="L50" s="594">
        <v>1</v>
      </c>
      <c r="M50" s="595">
        <v>3096.0999999999967</v>
      </c>
    </row>
    <row r="51" spans="1:13" ht="14.4" customHeight="1" x14ac:dyDescent="0.3">
      <c r="A51" s="590" t="s">
        <v>490</v>
      </c>
      <c r="B51" s="591" t="s">
        <v>1757</v>
      </c>
      <c r="C51" s="591" t="s">
        <v>497</v>
      </c>
      <c r="D51" s="591" t="s">
        <v>1758</v>
      </c>
      <c r="E51" s="591" t="s">
        <v>1759</v>
      </c>
      <c r="F51" s="594">
        <v>40</v>
      </c>
      <c r="G51" s="594">
        <v>10429.180752506811</v>
      </c>
      <c r="H51" s="616">
        <v>1</v>
      </c>
      <c r="I51" s="594"/>
      <c r="J51" s="594"/>
      <c r="K51" s="616">
        <v>0</v>
      </c>
      <c r="L51" s="594">
        <v>40</v>
      </c>
      <c r="M51" s="595">
        <v>10429.180752506811</v>
      </c>
    </row>
    <row r="52" spans="1:13" ht="14.4" customHeight="1" x14ac:dyDescent="0.3">
      <c r="A52" s="590" t="s">
        <v>490</v>
      </c>
      <c r="B52" s="591" t="s">
        <v>1760</v>
      </c>
      <c r="C52" s="591" t="s">
        <v>507</v>
      </c>
      <c r="D52" s="591" t="s">
        <v>508</v>
      </c>
      <c r="E52" s="591" t="s">
        <v>509</v>
      </c>
      <c r="F52" s="594">
        <v>1</v>
      </c>
      <c r="G52" s="594">
        <v>900.00070203790347</v>
      </c>
      <c r="H52" s="616">
        <v>1</v>
      </c>
      <c r="I52" s="594"/>
      <c r="J52" s="594"/>
      <c r="K52" s="616">
        <v>0</v>
      </c>
      <c r="L52" s="594">
        <v>1</v>
      </c>
      <c r="M52" s="595">
        <v>900.00070203790347</v>
      </c>
    </row>
    <row r="53" spans="1:13" ht="14.4" customHeight="1" x14ac:dyDescent="0.3">
      <c r="A53" s="590" t="s">
        <v>490</v>
      </c>
      <c r="B53" s="591" t="s">
        <v>1760</v>
      </c>
      <c r="C53" s="591" t="s">
        <v>1282</v>
      </c>
      <c r="D53" s="591" t="s">
        <v>1283</v>
      </c>
      <c r="E53" s="591" t="s">
        <v>1284</v>
      </c>
      <c r="F53" s="594"/>
      <c r="G53" s="594"/>
      <c r="H53" s="616">
        <v>0</v>
      </c>
      <c r="I53" s="594">
        <v>29</v>
      </c>
      <c r="J53" s="594">
        <v>25812.899246467594</v>
      </c>
      <c r="K53" s="616">
        <v>1</v>
      </c>
      <c r="L53" s="594">
        <v>29</v>
      </c>
      <c r="M53" s="595">
        <v>25812.899246467594</v>
      </c>
    </row>
    <row r="54" spans="1:13" ht="14.4" customHeight="1" x14ac:dyDescent="0.3">
      <c r="A54" s="590" t="s">
        <v>490</v>
      </c>
      <c r="B54" s="591" t="s">
        <v>1761</v>
      </c>
      <c r="C54" s="591" t="s">
        <v>1309</v>
      </c>
      <c r="D54" s="591" t="s">
        <v>1762</v>
      </c>
      <c r="E54" s="591" t="s">
        <v>1763</v>
      </c>
      <c r="F54" s="594"/>
      <c r="G54" s="594"/>
      <c r="H54" s="616">
        <v>0</v>
      </c>
      <c r="I54" s="594">
        <v>1</v>
      </c>
      <c r="J54" s="594">
        <v>84.180106113386984</v>
      </c>
      <c r="K54" s="616">
        <v>1</v>
      </c>
      <c r="L54" s="594">
        <v>1</v>
      </c>
      <c r="M54" s="595">
        <v>84.180106113386984</v>
      </c>
    </row>
    <row r="55" spans="1:13" ht="14.4" customHeight="1" x14ac:dyDescent="0.3">
      <c r="A55" s="590" t="s">
        <v>490</v>
      </c>
      <c r="B55" s="591" t="s">
        <v>1761</v>
      </c>
      <c r="C55" s="591" t="s">
        <v>1258</v>
      </c>
      <c r="D55" s="591" t="s">
        <v>1764</v>
      </c>
      <c r="E55" s="591" t="s">
        <v>1765</v>
      </c>
      <c r="F55" s="594"/>
      <c r="G55" s="594"/>
      <c r="H55" s="616">
        <v>0</v>
      </c>
      <c r="I55" s="594">
        <v>1</v>
      </c>
      <c r="J55" s="594">
        <v>337.15</v>
      </c>
      <c r="K55" s="616">
        <v>1</v>
      </c>
      <c r="L55" s="594">
        <v>1</v>
      </c>
      <c r="M55" s="595">
        <v>337.15</v>
      </c>
    </row>
    <row r="56" spans="1:13" ht="14.4" customHeight="1" x14ac:dyDescent="0.3">
      <c r="A56" s="590" t="s">
        <v>490</v>
      </c>
      <c r="B56" s="591" t="s">
        <v>1766</v>
      </c>
      <c r="C56" s="591" t="s">
        <v>1289</v>
      </c>
      <c r="D56" s="591" t="s">
        <v>1290</v>
      </c>
      <c r="E56" s="591" t="s">
        <v>1291</v>
      </c>
      <c r="F56" s="594"/>
      <c r="G56" s="594"/>
      <c r="H56" s="616">
        <v>0</v>
      </c>
      <c r="I56" s="594">
        <v>1</v>
      </c>
      <c r="J56" s="594">
        <v>28.98</v>
      </c>
      <c r="K56" s="616">
        <v>1</v>
      </c>
      <c r="L56" s="594">
        <v>1</v>
      </c>
      <c r="M56" s="595">
        <v>28.98</v>
      </c>
    </row>
    <row r="57" spans="1:13" ht="14.4" customHeight="1" x14ac:dyDescent="0.3">
      <c r="A57" s="590" t="s">
        <v>490</v>
      </c>
      <c r="B57" s="591" t="s">
        <v>1767</v>
      </c>
      <c r="C57" s="591" t="s">
        <v>513</v>
      </c>
      <c r="D57" s="591" t="s">
        <v>514</v>
      </c>
      <c r="E57" s="591" t="s">
        <v>515</v>
      </c>
      <c r="F57" s="594">
        <v>44</v>
      </c>
      <c r="G57" s="594">
        <v>22091.766000000003</v>
      </c>
      <c r="H57" s="616">
        <v>1</v>
      </c>
      <c r="I57" s="594"/>
      <c r="J57" s="594"/>
      <c r="K57" s="616">
        <v>0</v>
      </c>
      <c r="L57" s="594">
        <v>44</v>
      </c>
      <c r="M57" s="595">
        <v>22091.766000000003</v>
      </c>
    </row>
    <row r="58" spans="1:13" ht="14.4" customHeight="1" x14ac:dyDescent="0.3">
      <c r="A58" s="590" t="s">
        <v>490</v>
      </c>
      <c r="B58" s="591" t="s">
        <v>1767</v>
      </c>
      <c r="C58" s="591" t="s">
        <v>1316</v>
      </c>
      <c r="D58" s="591" t="s">
        <v>1768</v>
      </c>
      <c r="E58" s="591" t="s">
        <v>1769</v>
      </c>
      <c r="F58" s="594"/>
      <c r="G58" s="594"/>
      <c r="H58" s="616">
        <v>0</v>
      </c>
      <c r="I58" s="594">
        <v>3</v>
      </c>
      <c r="J58" s="594">
        <v>533.90997776095401</v>
      </c>
      <c r="K58" s="616">
        <v>1</v>
      </c>
      <c r="L58" s="594">
        <v>3</v>
      </c>
      <c r="M58" s="595">
        <v>533.90997776095401</v>
      </c>
    </row>
    <row r="59" spans="1:13" ht="14.4" customHeight="1" x14ac:dyDescent="0.3">
      <c r="A59" s="590" t="s">
        <v>490</v>
      </c>
      <c r="B59" s="591" t="s">
        <v>1770</v>
      </c>
      <c r="C59" s="591" t="s">
        <v>1301</v>
      </c>
      <c r="D59" s="591" t="s">
        <v>1302</v>
      </c>
      <c r="E59" s="591" t="s">
        <v>1771</v>
      </c>
      <c r="F59" s="594"/>
      <c r="G59" s="594"/>
      <c r="H59" s="616">
        <v>0</v>
      </c>
      <c r="I59" s="594">
        <v>2</v>
      </c>
      <c r="J59" s="594">
        <v>324.72000000000003</v>
      </c>
      <c r="K59" s="616">
        <v>1</v>
      </c>
      <c r="L59" s="594">
        <v>2</v>
      </c>
      <c r="M59" s="595">
        <v>324.72000000000003</v>
      </c>
    </row>
    <row r="60" spans="1:13" ht="14.4" customHeight="1" x14ac:dyDescent="0.3">
      <c r="A60" s="590" t="s">
        <v>490</v>
      </c>
      <c r="B60" s="591" t="s">
        <v>1772</v>
      </c>
      <c r="C60" s="591" t="s">
        <v>1324</v>
      </c>
      <c r="D60" s="591" t="s">
        <v>1325</v>
      </c>
      <c r="E60" s="591" t="s">
        <v>767</v>
      </c>
      <c r="F60" s="594"/>
      <c r="G60" s="594"/>
      <c r="H60" s="616">
        <v>0</v>
      </c>
      <c r="I60" s="594">
        <v>2</v>
      </c>
      <c r="J60" s="594">
        <v>514.10000000000014</v>
      </c>
      <c r="K60" s="616">
        <v>1</v>
      </c>
      <c r="L60" s="594">
        <v>2</v>
      </c>
      <c r="M60" s="595">
        <v>514.10000000000014</v>
      </c>
    </row>
    <row r="61" spans="1:13" ht="14.4" customHeight="1" x14ac:dyDescent="0.3">
      <c r="A61" s="590" t="s">
        <v>490</v>
      </c>
      <c r="B61" s="591" t="s">
        <v>1773</v>
      </c>
      <c r="C61" s="591" t="s">
        <v>1305</v>
      </c>
      <c r="D61" s="591" t="s">
        <v>1774</v>
      </c>
      <c r="E61" s="591" t="s">
        <v>1775</v>
      </c>
      <c r="F61" s="594"/>
      <c r="G61" s="594"/>
      <c r="H61" s="616">
        <v>0</v>
      </c>
      <c r="I61" s="594">
        <v>2</v>
      </c>
      <c r="J61" s="594">
        <v>224.95999999999995</v>
      </c>
      <c r="K61" s="616">
        <v>1</v>
      </c>
      <c r="L61" s="594">
        <v>2</v>
      </c>
      <c r="M61" s="595">
        <v>224.95999999999995</v>
      </c>
    </row>
    <row r="62" spans="1:13" ht="14.4" customHeight="1" x14ac:dyDescent="0.3">
      <c r="A62" s="590" t="s">
        <v>490</v>
      </c>
      <c r="B62" s="591" t="s">
        <v>1776</v>
      </c>
      <c r="C62" s="591" t="s">
        <v>1254</v>
      </c>
      <c r="D62" s="591" t="s">
        <v>1255</v>
      </c>
      <c r="E62" s="591" t="s">
        <v>1256</v>
      </c>
      <c r="F62" s="594"/>
      <c r="G62" s="594"/>
      <c r="H62" s="616">
        <v>0</v>
      </c>
      <c r="I62" s="594">
        <v>19</v>
      </c>
      <c r="J62" s="594">
        <v>1625.3104044964514</v>
      </c>
      <c r="K62" s="616">
        <v>1</v>
      </c>
      <c r="L62" s="594">
        <v>19</v>
      </c>
      <c r="M62" s="595">
        <v>1625.3104044964514</v>
      </c>
    </row>
    <row r="63" spans="1:13" ht="14.4" customHeight="1" x14ac:dyDescent="0.3">
      <c r="A63" s="590" t="s">
        <v>490</v>
      </c>
      <c r="B63" s="591" t="s">
        <v>1777</v>
      </c>
      <c r="C63" s="591" t="s">
        <v>1312</v>
      </c>
      <c r="D63" s="591" t="s">
        <v>1313</v>
      </c>
      <c r="E63" s="591" t="s">
        <v>1314</v>
      </c>
      <c r="F63" s="594"/>
      <c r="G63" s="594"/>
      <c r="H63" s="616">
        <v>0</v>
      </c>
      <c r="I63" s="594">
        <v>1</v>
      </c>
      <c r="J63" s="594">
        <v>411.0200000000001</v>
      </c>
      <c r="K63" s="616">
        <v>1</v>
      </c>
      <c r="L63" s="594">
        <v>1</v>
      </c>
      <c r="M63" s="595">
        <v>411.0200000000001</v>
      </c>
    </row>
    <row r="64" spans="1:13" ht="14.4" customHeight="1" x14ac:dyDescent="0.3">
      <c r="A64" s="590" t="s">
        <v>490</v>
      </c>
      <c r="B64" s="591" t="s">
        <v>1778</v>
      </c>
      <c r="C64" s="591" t="s">
        <v>1262</v>
      </c>
      <c r="D64" s="591" t="s">
        <v>1263</v>
      </c>
      <c r="E64" s="591" t="s">
        <v>1264</v>
      </c>
      <c r="F64" s="594"/>
      <c r="G64" s="594"/>
      <c r="H64" s="616">
        <v>0</v>
      </c>
      <c r="I64" s="594">
        <v>1</v>
      </c>
      <c r="J64" s="594">
        <v>89.25</v>
      </c>
      <c r="K64" s="616">
        <v>1</v>
      </c>
      <c r="L64" s="594">
        <v>1</v>
      </c>
      <c r="M64" s="595">
        <v>89.25</v>
      </c>
    </row>
    <row r="65" spans="1:13" ht="14.4" customHeight="1" x14ac:dyDescent="0.3">
      <c r="A65" s="590" t="s">
        <v>490</v>
      </c>
      <c r="B65" s="591" t="s">
        <v>1779</v>
      </c>
      <c r="C65" s="591" t="s">
        <v>1403</v>
      </c>
      <c r="D65" s="591" t="s">
        <v>1780</v>
      </c>
      <c r="E65" s="591" t="s">
        <v>506</v>
      </c>
      <c r="F65" s="594"/>
      <c r="G65" s="594"/>
      <c r="H65" s="616">
        <v>0</v>
      </c>
      <c r="I65" s="594">
        <v>8</v>
      </c>
      <c r="J65" s="594">
        <v>1729.7558557429672</v>
      </c>
      <c r="K65" s="616">
        <v>1</v>
      </c>
      <c r="L65" s="594">
        <v>8</v>
      </c>
      <c r="M65" s="595">
        <v>1729.7558557429672</v>
      </c>
    </row>
    <row r="66" spans="1:13" ht="14.4" customHeight="1" x14ac:dyDescent="0.3">
      <c r="A66" s="590" t="s">
        <v>490</v>
      </c>
      <c r="B66" s="591" t="s">
        <v>1779</v>
      </c>
      <c r="C66" s="591" t="s">
        <v>1421</v>
      </c>
      <c r="D66" s="591" t="s">
        <v>1781</v>
      </c>
      <c r="E66" s="591" t="s">
        <v>1228</v>
      </c>
      <c r="F66" s="594"/>
      <c r="G66" s="594"/>
      <c r="H66" s="616">
        <v>0</v>
      </c>
      <c r="I66" s="594">
        <v>167</v>
      </c>
      <c r="J66" s="594">
        <v>6775.1889050427772</v>
      </c>
      <c r="K66" s="616">
        <v>1</v>
      </c>
      <c r="L66" s="594">
        <v>167</v>
      </c>
      <c r="M66" s="595">
        <v>6775.1889050427772</v>
      </c>
    </row>
    <row r="67" spans="1:13" ht="14.4" customHeight="1" x14ac:dyDescent="0.3">
      <c r="A67" s="590" t="s">
        <v>490</v>
      </c>
      <c r="B67" s="591" t="s">
        <v>1779</v>
      </c>
      <c r="C67" s="591" t="s">
        <v>1388</v>
      </c>
      <c r="D67" s="591" t="s">
        <v>1782</v>
      </c>
      <c r="E67" s="591" t="s">
        <v>1228</v>
      </c>
      <c r="F67" s="594"/>
      <c r="G67" s="594"/>
      <c r="H67" s="616">
        <v>0</v>
      </c>
      <c r="I67" s="594">
        <v>38</v>
      </c>
      <c r="J67" s="594">
        <v>1541.6585845217528</v>
      </c>
      <c r="K67" s="616">
        <v>1</v>
      </c>
      <c r="L67" s="594">
        <v>38</v>
      </c>
      <c r="M67" s="595">
        <v>1541.6585845217528</v>
      </c>
    </row>
    <row r="68" spans="1:13" ht="14.4" customHeight="1" x14ac:dyDescent="0.3">
      <c r="A68" s="590" t="s">
        <v>490</v>
      </c>
      <c r="B68" s="591" t="s">
        <v>1779</v>
      </c>
      <c r="C68" s="591" t="s">
        <v>1391</v>
      </c>
      <c r="D68" s="591" t="s">
        <v>1783</v>
      </c>
      <c r="E68" s="591" t="s">
        <v>1228</v>
      </c>
      <c r="F68" s="594"/>
      <c r="G68" s="594"/>
      <c r="H68" s="616">
        <v>0</v>
      </c>
      <c r="I68" s="594">
        <v>66</v>
      </c>
      <c r="J68" s="594">
        <v>3433.0999205524231</v>
      </c>
      <c r="K68" s="616">
        <v>1</v>
      </c>
      <c r="L68" s="594">
        <v>66</v>
      </c>
      <c r="M68" s="595">
        <v>3433.0999205524231</v>
      </c>
    </row>
    <row r="69" spans="1:13" ht="14.4" customHeight="1" x14ac:dyDescent="0.3">
      <c r="A69" s="590" t="s">
        <v>490</v>
      </c>
      <c r="B69" s="591" t="s">
        <v>1779</v>
      </c>
      <c r="C69" s="591" t="s">
        <v>1394</v>
      </c>
      <c r="D69" s="591" t="s">
        <v>1784</v>
      </c>
      <c r="E69" s="591" t="s">
        <v>1228</v>
      </c>
      <c r="F69" s="594"/>
      <c r="G69" s="594"/>
      <c r="H69" s="616">
        <v>0</v>
      </c>
      <c r="I69" s="594">
        <v>47</v>
      </c>
      <c r="J69" s="594">
        <v>2448.9899316942256</v>
      </c>
      <c r="K69" s="616">
        <v>1</v>
      </c>
      <c r="L69" s="594">
        <v>47</v>
      </c>
      <c r="M69" s="595">
        <v>2448.9899316942256</v>
      </c>
    </row>
    <row r="70" spans="1:13" ht="14.4" customHeight="1" x14ac:dyDescent="0.3">
      <c r="A70" s="590" t="s">
        <v>490</v>
      </c>
      <c r="B70" s="591" t="s">
        <v>1779</v>
      </c>
      <c r="C70" s="591" t="s">
        <v>1397</v>
      </c>
      <c r="D70" s="591" t="s">
        <v>1785</v>
      </c>
      <c r="E70" s="591" t="s">
        <v>1228</v>
      </c>
      <c r="F70" s="594"/>
      <c r="G70" s="594"/>
      <c r="H70" s="616">
        <v>0</v>
      </c>
      <c r="I70" s="594">
        <v>12</v>
      </c>
      <c r="J70" s="594">
        <v>653.52004250386688</v>
      </c>
      <c r="K70" s="616">
        <v>1</v>
      </c>
      <c r="L70" s="594">
        <v>12</v>
      </c>
      <c r="M70" s="595">
        <v>653.52004250386688</v>
      </c>
    </row>
    <row r="71" spans="1:13" ht="14.4" customHeight="1" x14ac:dyDescent="0.3">
      <c r="A71" s="590" t="s">
        <v>490</v>
      </c>
      <c r="B71" s="591" t="s">
        <v>1779</v>
      </c>
      <c r="C71" s="591" t="s">
        <v>1226</v>
      </c>
      <c r="D71" s="591" t="s">
        <v>1786</v>
      </c>
      <c r="E71" s="591" t="s">
        <v>1228</v>
      </c>
      <c r="F71" s="594"/>
      <c r="G71" s="594"/>
      <c r="H71" s="616">
        <v>0</v>
      </c>
      <c r="I71" s="594">
        <v>26</v>
      </c>
      <c r="J71" s="594">
        <v>1415.9601223881689</v>
      </c>
      <c r="K71" s="616">
        <v>1</v>
      </c>
      <c r="L71" s="594">
        <v>26</v>
      </c>
      <c r="M71" s="595">
        <v>1415.9601223881689</v>
      </c>
    </row>
    <row r="72" spans="1:13" ht="14.4" customHeight="1" x14ac:dyDescent="0.3">
      <c r="A72" s="590" t="s">
        <v>490</v>
      </c>
      <c r="B72" s="591" t="s">
        <v>1779</v>
      </c>
      <c r="C72" s="591" t="s">
        <v>1412</v>
      </c>
      <c r="D72" s="591" t="s">
        <v>1413</v>
      </c>
      <c r="E72" s="591" t="s">
        <v>1408</v>
      </c>
      <c r="F72" s="594"/>
      <c r="G72" s="594"/>
      <c r="H72" s="616">
        <v>0</v>
      </c>
      <c r="I72" s="594">
        <v>14</v>
      </c>
      <c r="J72" s="594">
        <v>5466.5704725090955</v>
      </c>
      <c r="K72" s="616">
        <v>1</v>
      </c>
      <c r="L72" s="594">
        <v>14</v>
      </c>
      <c r="M72" s="595">
        <v>5466.5704725090955</v>
      </c>
    </row>
    <row r="73" spans="1:13" ht="14.4" customHeight="1" x14ac:dyDescent="0.3">
      <c r="A73" s="590" t="s">
        <v>490</v>
      </c>
      <c r="B73" s="591" t="s">
        <v>1779</v>
      </c>
      <c r="C73" s="591" t="s">
        <v>1406</v>
      </c>
      <c r="D73" s="591" t="s">
        <v>1407</v>
      </c>
      <c r="E73" s="591" t="s">
        <v>1408</v>
      </c>
      <c r="F73" s="594"/>
      <c r="G73" s="594"/>
      <c r="H73" s="616">
        <v>0</v>
      </c>
      <c r="I73" s="594">
        <v>29</v>
      </c>
      <c r="J73" s="594">
        <v>12324.42</v>
      </c>
      <c r="K73" s="616">
        <v>1</v>
      </c>
      <c r="L73" s="594">
        <v>29</v>
      </c>
      <c r="M73" s="595">
        <v>12324.42</v>
      </c>
    </row>
    <row r="74" spans="1:13" ht="14.4" customHeight="1" x14ac:dyDescent="0.3">
      <c r="A74" s="590" t="s">
        <v>490</v>
      </c>
      <c r="B74" s="591" t="s">
        <v>1779</v>
      </c>
      <c r="C74" s="591" t="s">
        <v>1400</v>
      </c>
      <c r="D74" s="591" t="s">
        <v>1401</v>
      </c>
      <c r="E74" s="591" t="s">
        <v>1228</v>
      </c>
      <c r="F74" s="594"/>
      <c r="G74" s="594"/>
      <c r="H74" s="616">
        <v>0</v>
      </c>
      <c r="I74" s="594">
        <v>60</v>
      </c>
      <c r="J74" s="594">
        <v>2565.6000343987143</v>
      </c>
      <c r="K74" s="616">
        <v>1</v>
      </c>
      <c r="L74" s="594">
        <v>60</v>
      </c>
      <c r="M74" s="595">
        <v>2565.6000343987143</v>
      </c>
    </row>
    <row r="75" spans="1:13" ht="14.4" customHeight="1" x14ac:dyDescent="0.3">
      <c r="A75" s="590" t="s">
        <v>490</v>
      </c>
      <c r="B75" s="591" t="s">
        <v>1779</v>
      </c>
      <c r="C75" s="591" t="s">
        <v>1409</v>
      </c>
      <c r="D75" s="591" t="s">
        <v>1410</v>
      </c>
      <c r="E75" s="591" t="s">
        <v>1408</v>
      </c>
      <c r="F75" s="594"/>
      <c r="G75" s="594"/>
      <c r="H75" s="616">
        <v>0</v>
      </c>
      <c r="I75" s="594">
        <v>118</v>
      </c>
      <c r="J75" s="594">
        <v>21637.645737733677</v>
      </c>
      <c r="K75" s="616">
        <v>1</v>
      </c>
      <c r="L75" s="594">
        <v>118</v>
      </c>
      <c r="M75" s="595">
        <v>21637.645737733677</v>
      </c>
    </row>
    <row r="76" spans="1:13" ht="14.4" customHeight="1" x14ac:dyDescent="0.3">
      <c r="A76" s="590" t="s">
        <v>490</v>
      </c>
      <c r="B76" s="591" t="s">
        <v>1779</v>
      </c>
      <c r="C76" s="591" t="s">
        <v>504</v>
      </c>
      <c r="D76" s="591" t="s">
        <v>505</v>
      </c>
      <c r="E76" s="591" t="s">
        <v>506</v>
      </c>
      <c r="F76" s="594">
        <v>2</v>
      </c>
      <c r="G76" s="594">
        <v>443.37999999999994</v>
      </c>
      <c r="H76" s="616">
        <v>1</v>
      </c>
      <c r="I76" s="594"/>
      <c r="J76" s="594"/>
      <c r="K76" s="616">
        <v>0</v>
      </c>
      <c r="L76" s="594">
        <v>2</v>
      </c>
      <c r="M76" s="595">
        <v>443.37999999999994</v>
      </c>
    </row>
    <row r="77" spans="1:13" ht="14.4" customHeight="1" x14ac:dyDescent="0.3">
      <c r="A77" s="590" t="s">
        <v>490</v>
      </c>
      <c r="B77" s="591" t="s">
        <v>1779</v>
      </c>
      <c r="C77" s="591" t="s">
        <v>1428</v>
      </c>
      <c r="D77" s="591" t="s">
        <v>1787</v>
      </c>
      <c r="E77" s="591" t="s">
        <v>1228</v>
      </c>
      <c r="F77" s="594"/>
      <c r="G77" s="594"/>
      <c r="H77" s="616">
        <v>0</v>
      </c>
      <c r="I77" s="594">
        <v>154</v>
      </c>
      <c r="J77" s="594">
        <v>6247.7784893163362</v>
      </c>
      <c r="K77" s="616">
        <v>1</v>
      </c>
      <c r="L77" s="594">
        <v>154</v>
      </c>
      <c r="M77" s="595">
        <v>6247.7784893163362</v>
      </c>
    </row>
    <row r="78" spans="1:13" ht="14.4" customHeight="1" x14ac:dyDescent="0.3">
      <c r="A78" s="590" t="s">
        <v>490</v>
      </c>
      <c r="B78" s="591" t="s">
        <v>1779</v>
      </c>
      <c r="C78" s="591" t="s">
        <v>1431</v>
      </c>
      <c r="D78" s="591" t="s">
        <v>1432</v>
      </c>
      <c r="E78" s="591" t="s">
        <v>1417</v>
      </c>
      <c r="F78" s="594"/>
      <c r="G78" s="594"/>
      <c r="H78" s="616">
        <v>0</v>
      </c>
      <c r="I78" s="594">
        <v>1</v>
      </c>
      <c r="J78" s="594">
        <v>148.07001772389791</v>
      </c>
      <c r="K78" s="616">
        <v>1</v>
      </c>
      <c r="L78" s="594">
        <v>1</v>
      </c>
      <c r="M78" s="595">
        <v>148.07001772389791</v>
      </c>
    </row>
    <row r="79" spans="1:13" ht="14.4" customHeight="1" x14ac:dyDescent="0.3">
      <c r="A79" s="590" t="s">
        <v>490</v>
      </c>
      <c r="B79" s="591" t="s">
        <v>1779</v>
      </c>
      <c r="C79" s="591" t="s">
        <v>1415</v>
      </c>
      <c r="D79" s="591" t="s">
        <v>1416</v>
      </c>
      <c r="E79" s="591" t="s">
        <v>1417</v>
      </c>
      <c r="F79" s="594"/>
      <c r="G79" s="594"/>
      <c r="H79" s="616">
        <v>0</v>
      </c>
      <c r="I79" s="594">
        <v>3</v>
      </c>
      <c r="J79" s="594">
        <v>444.20999999999992</v>
      </c>
      <c r="K79" s="616">
        <v>1</v>
      </c>
      <c r="L79" s="594">
        <v>3</v>
      </c>
      <c r="M79" s="595">
        <v>444.20999999999992</v>
      </c>
    </row>
    <row r="80" spans="1:13" ht="14.4" customHeight="1" x14ac:dyDescent="0.3">
      <c r="A80" s="590" t="s">
        <v>490</v>
      </c>
      <c r="B80" s="591" t="s">
        <v>1779</v>
      </c>
      <c r="C80" s="591" t="s">
        <v>1418</v>
      </c>
      <c r="D80" s="591" t="s">
        <v>1419</v>
      </c>
      <c r="E80" s="591" t="s">
        <v>1417</v>
      </c>
      <c r="F80" s="594"/>
      <c r="G80" s="594"/>
      <c r="H80" s="616">
        <v>0</v>
      </c>
      <c r="I80" s="594">
        <v>2</v>
      </c>
      <c r="J80" s="594">
        <v>296.14</v>
      </c>
      <c r="K80" s="616">
        <v>1</v>
      </c>
      <c r="L80" s="594">
        <v>2</v>
      </c>
      <c r="M80" s="595">
        <v>296.14</v>
      </c>
    </row>
    <row r="81" spans="1:13" ht="14.4" customHeight="1" x14ac:dyDescent="0.3">
      <c r="A81" s="590" t="s">
        <v>490</v>
      </c>
      <c r="B81" s="591" t="s">
        <v>1779</v>
      </c>
      <c r="C81" s="591" t="s">
        <v>1424</v>
      </c>
      <c r="D81" s="591" t="s">
        <v>1788</v>
      </c>
      <c r="E81" s="591" t="s">
        <v>1417</v>
      </c>
      <c r="F81" s="594"/>
      <c r="G81" s="594"/>
      <c r="H81" s="616">
        <v>0</v>
      </c>
      <c r="I81" s="594">
        <v>2</v>
      </c>
      <c r="J81" s="594">
        <v>296.14</v>
      </c>
      <c r="K81" s="616">
        <v>1</v>
      </c>
      <c r="L81" s="594">
        <v>2</v>
      </c>
      <c r="M81" s="595">
        <v>296.14</v>
      </c>
    </row>
    <row r="82" spans="1:13" ht="14.4" customHeight="1" x14ac:dyDescent="0.3">
      <c r="A82" s="590" t="s">
        <v>490</v>
      </c>
      <c r="B82" s="591" t="s">
        <v>1779</v>
      </c>
      <c r="C82" s="591" t="s">
        <v>1433</v>
      </c>
      <c r="D82" s="591" t="s">
        <v>1434</v>
      </c>
      <c r="E82" s="591" t="s">
        <v>1435</v>
      </c>
      <c r="F82" s="594"/>
      <c r="G82" s="594"/>
      <c r="H82" s="616">
        <v>0</v>
      </c>
      <c r="I82" s="594">
        <v>1</v>
      </c>
      <c r="J82" s="594">
        <v>186.73000000000002</v>
      </c>
      <c r="K82" s="616">
        <v>1</v>
      </c>
      <c r="L82" s="594">
        <v>1</v>
      </c>
      <c r="M82" s="595">
        <v>186.73000000000002</v>
      </c>
    </row>
    <row r="83" spans="1:13" ht="14.4" customHeight="1" x14ac:dyDescent="0.3">
      <c r="A83" s="590" t="s">
        <v>490</v>
      </c>
      <c r="B83" s="591" t="s">
        <v>1779</v>
      </c>
      <c r="C83" s="591" t="s">
        <v>1436</v>
      </c>
      <c r="D83" s="591" t="s">
        <v>1437</v>
      </c>
      <c r="E83" s="591" t="s">
        <v>1435</v>
      </c>
      <c r="F83" s="594"/>
      <c r="G83" s="594"/>
      <c r="H83" s="616">
        <v>0</v>
      </c>
      <c r="I83" s="594">
        <v>1</v>
      </c>
      <c r="J83" s="594">
        <v>186.73000000000002</v>
      </c>
      <c r="K83" s="616">
        <v>1</v>
      </c>
      <c r="L83" s="594">
        <v>1</v>
      </c>
      <c r="M83" s="595">
        <v>186.73000000000002</v>
      </c>
    </row>
    <row r="84" spans="1:13" ht="14.4" customHeight="1" thickBot="1" x14ac:dyDescent="0.35">
      <c r="A84" s="596" t="s">
        <v>490</v>
      </c>
      <c r="B84" s="597" t="s">
        <v>1779</v>
      </c>
      <c r="C84" s="597" t="s">
        <v>1438</v>
      </c>
      <c r="D84" s="597" t="s">
        <v>1439</v>
      </c>
      <c r="E84" s="597" t="s">
        <v>1435</v>
      </c>
      <c r="F84" s="600"/>
      <c r="G84" s="600"/>
      <c r="H84" s="608">
        <v>0</v>
      </c>
      <c r="I84" s="600">
        <v>1</v>
      </c>
      <c r="J84" s="600">
        <v>186.73000000000002</v>
      </c>
      <c r="K84" s="608">
        <v>1</v>
      </c>
      <c r="L84" s="600">
        <v>1</v>
      </c>
      <c r="M84" s="601">
        <v>186.73000000000002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3" customWidth="1"/>
    <col min="2" max="2" width="61.109375" style="323" customWidth="1"/>
    <col min="3" max="3" width="9.5546875" style="241" customWidth="1"/>
    <col min="4" max="4" width="9.5546875" style="324" customWidth="1"/>
    <col min="5" max="5" width="2.21875" style="324" customWidth="1"/>
    <col min="6" max="6" width="9.5546875" style="325" customWidth="1"/>
    <col min="7" max="7" width="9.5546875" style="322" customWidth="1"/>
    <col min="8" max="9" width="9.5546875" style="241" customWidth="1"/>
    <col min="10" max="10" width="0" style="241" hidden="1" customWidth="1"/>
    <col min="11" max="16384" width="8.88671875" style="241"/>
  </cols>
  <sheetData>
    <row r="1" spans="1:10" ht="18.600000000000001" customHeight="1" thickBot="1" x14ac:dyDescent="0.4">
      <c r="A1" s="465" t="s">
        <v>159</v>
      </c>
      <c r="B1" s="466"/>
      <c r="C1" s="466"/>
      <c r="D1" s="466"/>
      <c r="E1" s="466"/>
      <c r="F1" s="466"/>
      <c r="G1" s="437"/>
      <c r="H1" s="467"/>
      <c r="I1" s="467"/>
    </row>
    <row r="2" spans="1:10" ht="14.4" customHeight="1" thickBot="1" x14ac:dyDescent="0.35">
      <c r="A2" s="364" t="s">
        <v>294</v>
      </c>
      <c r="B2" s="321"/>
      <c r="C2" s="321"/>
      <c r="D2" s="321"/>
      <c r="E2" s="321"/>
      <c r="F2" s="321"/>
    </row>
    <row r="3" spans="1:10" ht="14.4" customHeight="1" thickBot="1" x14ac:dyDescent="0.35">
      <c r="A3" s="364"/>
      <c r="B3" s="321"/>
      <c r="C3" s="422">
        <v>2012</v>
      </c>
      <c r="D3" s="423">
        <v>2013</v>
      </c>
      <c r="E3" s="11"/>
      <c r="F3" s="460">
        <v>2014</v>
      </c>
      <c r="G3" s="461"/>
      <c r="H3" s="461"/>
      <c r="I3" s="462"/>
    </row>
    <row r="4" spans="1:10" ht="14.4" customHeight="1" thickBot="1" x14ac:dyDescent="0.35">
      <c r="A4" s="427" t="s">
        <v>0</v>
      </c>
      <c r="B4" s="428" t="s">
        <v>286</v>
      </c>
      <c r="C4" s="463" t="s">
        <v>81</v>
      </c>
      <c r="D4" s="464"/>
      <c r="E4" s="429"/>
      <c r="F4" s="424" t="s">
        <v>81</v>
      </c>
      <c r="G4" s="425" t="s">
        <v>82</v>
      </c>
      <c r="H4" s="425" t="s">
        <v>56</v>
      </c>
      <c r="I4" s="426" t="s">
        <v>83</v>
      </c>
    </row>
    <row r="5" spans="1:10" ht="14.4" customHeight="1" x14ac:dyDescent="0.3">
      <c r="A5" s="572" t="s">
        <v>485</v>
      </c>
      <c r="B5" s="573" t="s">
        <v>486</v>
      </c>
      <c r="C5" s="574" t="s">
        <v>487</v>
      </c>
      <c r="D5" s="574" t="s">
        <v>487</v>
      </c>
      <c r="E5" s="574"/>
      <c r="F5" s="574" t="s">
        <v>487</v>
      </c>
      <c r="G5" s="574" t="s">
        <v>487</v>
      </c>
      <c r="H5" s="574" t="s">
        <v>487</v>
      </c>
      <c r="I5" s="575" t="s">
        <v>487</v>
      </c>
      <c r="J5" s="576" t="s">
        <v>61</v>
      </c>
    </row>
    <row r="6" spans="1:10" ht="14.4" customHeight="1" x14ac:dyDescent="0.3">
      <c r="A6" s="572" t="s">
        <v>485</v>
      </c>
      <c r="B6" s="573" t="s">
        <v>316</v>
      </c>
      <c r="C6" s="574">
        <v>73.650589999999994</v>
      </c>
      <c r="D6" s="574">
        <v>121.94637999999999</v>
      </c>
      <c r="E6" s="574"/>
      <c r="F6" s="574">
        <v>120.33673999999999</v>
      </c>
      <c r="G6" s="574">
        <v>212.48589507386001</v>
      </c>
      <c r="H6" s="574">
        <v>-92.149155073860015</v>
      </c>
      <c r="I6" s="575">
        <v>0.56632813184221475</v>
      </c>
      <c r="J6" s="576" t="s">
        <v>1</v>
      </c>
    </row>
    <row r="7" spans="1:10" ht="14.4" customHeight="1" x14ac:dyDescent="0.3">
      <c r="A7" s="572" t="s">
        <v>485</v>
      </c>
      <c r="B7" s="573" t="s">
        <v>317</v>
      </c>
      <c r="C7" s="574">
        <v>0.84252000000000005</v>
      </c>
      <c r="D7" s="574">
        <v>0</v>
      </c>
      <c r="E7" s="574"/>
      <c r="F7" s="574">
        <v>0.15515999999999999</v>
      </c>
      <c r="G7" s="574">
        <v>0.30618185504875001</v>
      </c>
      <c r="H7" s="574">
        <v>-0.15102185504875001</v>
      </c>
      <c r="I7" s="575">
        <v>0.50675765869697131</v>
      </c>
      <c r="J7" s="576" t="s">
        <v>1</v>
      </c>
    </row>
    <row r="8" spans="1:10" ht="14.4" customHeight="1" x14ac:dyDescent="0.3">
      <c r="A8" s="572" t="s">
        <v>485</v>
      </c>
      <c r="B8" s="573" t="s">
        <v>318</v>
      </c>
      <c r="C8" s="574">
        <v>160.67029000000002</v>
      </c>
      <c r="D8" s="574">
        <v>150.84406999999899</v>
      </c>
      <c r="E8" s="574"/>
      <c r="F8" s="574">
        <v>164.82365000000001</v>
      </c>
      <c r="G8" s="574">
        <v>150.13380821266958</v>
      </c>
      <c r="H8" s="574">
        <v>14.689841787330437</v>
      </c>
      <c r="I8" s="575">
        <v>1.0978449954891025</v>
      </c>
      <c r="J8" s="576" t="s">
        <v>1</v>
      </c>
    </row>
    <row r="9" spans="1:10" ht="14.4" customHeight="1" x14ac:dyDescent="0.3">
      <c r="A9" s="572" t="s">
        <v>485</v>
      </c>
      <c r="B9" s="573" t="s">
        <v>319</v>
      </c>
      <c r="C9" s="574">
        <v>795.85844999999995</v>
      </c>
      <c r="D9" s="574">
        <v>885.86945000000014</v>
      </c>
      <c r="E9" s="574"/>
      <c r="F9" s="574">
        <v>722.32904000000099</v>
      </c>
      <c r="G9" s="574">
        <v>884.94900832783742</v>
      </c>
      <c r="H9" s="574">
        <v>-162.61996832783643</v>
      </c>
      <c r="I9" s="575">
        <v>0.81623803541503903</v>
      </c>
      <c r="J9" s="576" t="s">
        <v>1</v>
      </c>
    </row>
    <row r="10" spans="1:10" ht="14.4" customHeight="1" x14ac:dyDescent="0.3">
      <c r="A10" s="572" t="s">
        <v>485</v>
      </c>
      <c r="B10" s="573" t="s">
        <v>320</v>
      </c>
      <c r="C10" s="574">
        <v>17.370999999999999</v>
      </c>
      <c r="D10" s="574">
        <v>63.711909999998994</v>
      </c>
      <c r="E10" s="574"/>
      <c r="F10" s="574">
        <v>45.849999999999994</v>
      </c>
      <c r="G10" s="574">
        <v>70.819707294512497</v>
      </c>
      <c r="H10" s="574">
        <v>-24.969707294512503</v>
      </c>
      <c r="I10" s="575">
        <v>0.64741866002533888</v>
      </c>
      <c r="J10" s="576" t="s">
        <v>1</v>
      </c>
    </row>
    <row r="11" spans="1:10" ht="14.4" customHeight="1" x14ac:dyDescent="0.3">
      <c r="A11" s="572" t="s">
        <v>485</v>
      </c>
      <c r="B11" s="573" t="s">
        <v>321</v>
      </c>
      <c r="C11" s="574">
        <v>7.1214600000000008</v>
      </c>
      <c r="D11" s="574">
        <v>9.117939999999999</v>
      </c>
      <c r="E11" s="574"/>
      <c r="F11" s="574">
        <v>0</v>
      </c>
      <c r="G11" s="574">
        <v>8.3320525229787492</v>
      </c>
      <c r="H11" s="574">
        <v>-8.3320525229787492</v>
      </c>
      <c r="I11" s="575">
        <v>0</v>
      </c>
      <c r="J11" s="576" t="s">
        <v>1</v>
      </c>
    </row>
    <row r="12" spans="1:10" ht="14.4" customHeight="1" x14ac:dyDescent="0.3">
      <c r="A12" s="572" t="s">
        <v>485</v>
      </c>
      <c r="B12" s="573" t="s">
        <v>322</v>
      </c>
      <c r="C12" s="574">
        <v>7.5655999999999999</v>
      </c>
      <c r="D12" s="574">
        <v>8.0579999999990015</v>
      </c>
      <c r="E12" s="574"/>
      <c r="F12" s="574">
        <v>7.57437</v>
      </c>
      <c r="G12" s="574">
        <v>7.4367283274087503</v>
      </c>
      <c r="H12" s="574">
        <v>0.13764167259124971</v>
      </c>
      <c r="I12" s="575">
        <v>1.0185083636958956</v>
      </c>
      <c r="J12" s="576" t="s">
        <v>1</v>
      </c>
    </row>
    <row r="13" spans="1:10" ht="14.4" customHeight="1" x14ac:dyDescent="0.3">
      <c r="A13" s="572" t="s">
        <v>485</v>
      </c>
      <c r="B13" s="573" t="s">
        <v>323</v>
      </c>
      <c r="C13" s="574">
        <v>61.05</v>
      </c>
      <c r="D13" s="574">
        <v>66.817000000000007</v>
      </c>
      <c r="E13" s="574"/>
      <c r="F13" s="574">
        <v>74.347999999999999</v>
      </c>
      <c r="G13" s="574">
        <v>69.516846279036258</v>
      </c>
      <c r="H13" s="574">
        <v>4.8311537209637407</v>
      </c>
      <c r="I13" s="575">
        <v>1.0694961578316109</v>
      </c>
      <c r="J13" s="576" t="s">
        <v>1</v>
      </c>
    </row>
    <row r="14" spans="1:10" ht="14.4" customHeight="1" x14ac:dyDescent="0.3">
      <c r="A14" s="572" t="s">
        <v>485</v>
      </c>
      <c r="B14" s="573" t="s">
        <v>324</v>
      </c>
      <c r="C14" s="574">
        <v>44.481230000000004</v>
      </c>
      <c r="D14" s="574">
        <v>55.808839999999996</v>
      </c>
      <c r="E14" s="574"/>
      <c r="F14" s="574">
        <v>65.774879999999996</v>
      </c>
      <c r="G14" s="574">
        <v>71.081028493286667</v>
      </c>
      <c r="H14" s="574">
        <v>-5.3061484932866705</v>
      </c>
      <c r="I14" s="575">
        <v>0.92535070741431635</v>
      </c>
      <c r="J14" s="576" t="s">
        <v>1</v>
      </c>
    </row>
    <row r="15" spans="1:10" ht="14.4" customHeight="1" x14ac:dyDescent="0.3">
      <c r="A15" s="572" t="s">
        <v>485</v>
      </c>
      <c r="B15" s="573" t="s">
        <v>325</v>
      </c>
      <c r="C15" s="574">
        <v>0.93759999999999999</v>
      </c>
      <c r="D15" s="574">
        <v>0.95329999999999993</v>
      </c>
      <c r="E15" s="574"/>
      <c r="F15" s="574">
        <v>1.2790000000000001</v>
      </c>
      <c r="G15" s="574">
        <v>1.3012915320579166</v>
      </c>
      <c r="H15" s="574">
        <v>-2.2291532057916452E-2</v>
      </c>
      <c r="I15" s="575">
        <v>0.98286968637791439</v>
      </c>
      <c r="J15" s="576" t="s">
        <v>1</v>
      </c>
    </row>
    <row r="16" spans="1:10" ht="14.4" customHeight="1" x14ac:dyDescent="0.3">
      <c r="A16" s="572" t="s">
        <v>485</v>
      </c>
      <c r="B16" s="573" t="s">
        <v>488</v>
      </c>
      <c r="C16" s="574">
        <v>1169.5487400000002</v>
      </c>
      <c r="D16" s="574">
        <v>1363.1268899999973</v>
      </c>
      <c r="E16" s="574"/>
      <c r="F16" s="574">
        <v>1202.4708400000009</v>
      </c>
      <c r="G16" s="574">
        <v>1476.3625479186965</v>
      </c>
      <c r="H16" s="574">
        <v>-273.8917079186956</v>
      </c>
      <c r="I16" s="575">
        <v>0.81448208077019113</v>
      </c>
      <c r="J16" s="576" t="s">
        <v>489</v>
      </c>
    </row>
    <row r="18" spans="1:10" ht="14.4" customHeight="1" x14ac:dyDescent="0.3">
      <c r="A18" s="572" t="s">
        <v>485</v>
      </c>
      <c r="B18" s="573" t="s">
        <v>486</v>
      </c>
      <c r="C18" s="574" t="s">
        <v>487</v>
      </c>
      <c r="D18" s="574" t="s">
        <v>487</v>
      </c>
      <c r="E18" s="574"/>
      <c r="F18" s="574" t="s">
        <v>487</v>
      </c>
      <c r="G18" s="574" t="s">
        <v>487</v>
      </c>
      <c r="H18" s="574" t="s">
        <v>487</v>
      </c>
      <c r="I18" s="575" t="s">
        <v>487</v>
      </c>
      <c r="J18" s="576" t="s">
        <v>61</v>
      </c>
    </row>
    <row r="19" spans="1:10" ht="14.4" customHeight="1" x14ac:dyDescent="0.3">
      <c r="A19" s="572" t="s">
        <v>490</v>
      </c>
      <c r="B19" s="573" t="s">
        <v>491</v>
      </c>
      <c r="C19" s="574" t="s">
        <v>487</v>
      </c>
      <c r="D19" s="574" t="s">
        <v>487</v>
      </c>
      <c r="E19" s="574"/>
      <c r="F19" s="574" t="s">
        <v>487</v>
      </c>
      <c r="G19" s="574" t="s">
        <v>487</v>
      </c>
      <c r="H19" s="574" t="s">
        <v>487</v>
      </c>
      <c r="I19" s="575" t="s">
        <v>487</v>
      </c>
      <c r="J19" s="576" t="s">
        <v>0</v>
      </c>
    </row>
    <row r="20" spans="1:10" ht="14.4" customHeight="1" x14ac:dyDescent="0.3">
      <c r="A20" s="572" t="s">
        <v>490</v>
      </c>
      <c r="B20" s="573" t="s">
        <v>316</v>
      </c>
      <c r="C20" s="574">
        <v>73.650589999999994</v>
      </c>
      <c r="D20" s="574">
        <v>121.94637999999999</v>
      </c>
      <c r="E20" s="574"/>
      <c r="F20" s="574">
        <v>120.33673999999999</v>
      </c>
      <c r="G20" s="574">
        <v>212.48589507386001</v>
      </c>
      <c r="H20" s="574">
        <v>-92.149155073860015</v>
      </c>
      <c r="I20" s="575">
        <v>0.56632813184221475</v>
      </c>
      <c r="J20" s="576" t="s">
        <v>1</v>
      </c>
    </row>
    <row r="21" spans="1:10" ht="14.4" customHeight="1" x14ac:dyDescent="0.3">
      <c r="A21" s="572" t="s">
        <v>490</v>
      </c>
      <c r="B21" s="573" t="s">
        <v>317</v>
      </c>
      <c r="C21" s="574">
        <v>0.84252000000000005</v>
      </c>
      <c r="D21" s="574">
        <v>0</v>
      </c>
      <c r="E21" s="574"/>
      <c r="F21" s="574">
        <v>0.15515999999999999</v>
      </c>
      <c r="G21" s="574">
        <v>0.30618185504875001</v>
      </c>
      <c r="H21" s="574">
        <v>-0.15102185504875001</v>
      </c>
      <c r="I21" s="575">
        <v>0.50675765869697131</v>
      </c>
      <c r="J21" s="576" t="s">
        <v>1</v>
      </c>
    </row>
    <row r="22" spans="1:10" ht="14.4" customHeight="1" x14ac:dyDescent="0.3">
      <c r="A22" s="572" t="s">
        <v>490</v>
      </c>
      <c r="B22" s="573" t="s">
        <v>318</v>
      </c>
      <c r="C22" s="574">
        <v>160.67029000000002</v>
      </c>
      <c r="D22" s="574">
        <v>150.84406999999899</v>
      </c>
      <c r="E22" s="574"/>
      <c r="F22" s="574">
        <v>164.82365000000001</v>
      </c>
      <c r="G22" s="574">
        <v>150.13380821266958</v>
      </c>
      <c r="H22" s="574">
        <v>14.689841787330437</v>
      </c>
      <c r="I22" s="575">
        <v>1.0978449954891025</v>
      </c>
      <c r="J22" s="576" t="s">
        <v>1</v>
      </c>
    </row>
    <row r="23" spans="1:10" ht="14.4" customHeight="1" x14ac:dyDescent="0.3">
      <c r="A23" s="572" t="s">
        <v>490</v>
      </c>
      <c r="B23" s="573" t="s">
        <v>319</v>
      </c>
      <c r="C23" s="574">
        <v>795.85844999999995</v>
      </c>
      <c r="D23" s="574">
        <v>885.86945000000014</v>
      </c>
      <c r="E23" s="574"/>
      <c r="F23" s="574">
        <v>722.32904000000099</v>
      </c>
      <c r="G23" s="574">
        <v>884.94900832783742</v>
      </c>
      <c r="H23" s="574">
        <v>-162.61996832783643</v>
      </c>
      <c r="I23" s="575">
        <v>0.81623803541503903</v>
      </c>
      <c r="J23" s="576" t="s">
        <v>1</v>
      </c>
    </row>
    <row r="24" spans="1:10" ht="14.4" customHeight="1" x14ac:dyDescent="0.3">
      <c r="A24" s="572" t="s">
        <v>490</v>
      </c>
      <c r="B24" s="573" t="s">
        <v>320</v>
      </c>
      <c r="C24" s="574">
        <v>17.370999999999999</v>
      </c>
      <c r="D24" s="574">
        <v>63.711909999998994</v>
      </c>
      <c r="E24" s="574"/>
      <c r="F24" s="574">
        <v>45.849999999999994</v>
      </c>
      <c r="G24" s="574">
        <v>70.819707294512497</v>
      </c>
      <c r="H24" s="574">
        <v>-24.969707294512503</v>
      </c>
      <c r="I24" s="575">
        <v>0.64741866002533888</v>
      </c>
      <c r="J24" s="576" t="s">
        <v>1</v>
      </c>
    </row>
    <row r="25" spans="1:10" ht="14.4" customHeight="1" x14ac:dyDescent="0.3">
      <c r="A25" s="572" t="s">
        <v>490</v>
      </c>
      <c r="B25" s="573" t="s">
        <v>321</v>
      </c>
      <c r="C25" s="574">
        <v>7.1214600000000008</v>
      </c>
      <c r="D25" s="574">
        <v>9.117939999999999</v>
      </c>
      <c r="E25" s="574"/>
      <c r="F25" s="574">
        <v>0</v>
      </c>
      <c r="G25" s="574">
        <v>8.3320525229787492</v>
      </c>
      <c r="H25" s="574">
        <v>-8.3320525229787492</v>
      </c>
      <c r="I25" s="575">
        <v>0</v>
      </c>
      <c r="J25" s="576" t="s">
        <v>1</v>
      </c>
    </row>
    <row r="26" spans="1:10" ht="14.4" customHeight="1" x14ac:dyDescent="0.3">
      <c r="A26" s="572" t="s">
        <v>490</v>
      </c>
      <c r="B26" s="573" t="s">
        <v>322</v>
      </c>
      <c r="C26" s="574">
        <v>7.5655999999999999</v>
      </c>
      <c r="D26" s="574">
        <v>8.0579999999990015</v>
      </c>
      <c r="E26" s="574"/>
      <c r="F26" s="574">
        <v>7.57437</v>
      </c>
      <c r="G26" s="574">
        <v>7.4367283274087503</v>
      </c>
      <c r="H26" s="574">
        <v>0.13764167259124971</v>
      </c>
      <c r="I26" s="575">
        <v>1.0185083636958956</v>
      </c>
      <c r="J26" s="576" t="s">
        <v>1</v>
      </c>
    </row>
    <row r="27" spans="1:10" ht="14.4" customHeight="1" x14ac:dyDescent="0.3">
      <c r="A27" s="572" t="s">
        <v>490</v>
      </c>
      <c r="B27" s="573" t="s">
        <v>323</v>
      </c>
      <c r="C27" s="574">
        <v>61.05</v>
      </c>
      <c r="D27" s="574">
        <v>66.817000000000007</v>
      </c>
      <c r="E27" s="574"/>
      <c r="F27" s="574">
        <v>74.347999999999999</v>
      </c>
      <c r="G27" s="574">
        <v>69.516846279036258</v>
      </c>
      <c r="H27" s="574">
        <v>4.8311537209637407</v>
      </c>
      <c r="I27" s="575">
        <v>1.0694961578316109</v>
      </c>
      <c r="J27" s="576" t="s">
        <v>1</v>
      </c>
    </row>
    <row r="28" spans="1:10" ht="14.4" customHeight="1" x14ac:dyDescent="0.3">
      <c r="A28" s="572" t="s">
        <v>490</v>
      </c>
      <c r="B28" s="573" t="s">
        <v>324</v>
      </c>
      <c r="C28" s="574">
        <v>44.481230000000004</v>
      </c>
      <c r="D28" s="574">
        <v>55.808839999999996</v>
      </c>
      <c r="E28" s="574"/>
      <c r="F28" s="574">
        <v>65.774879999999996</v>
      </c>
      <c r="G28" s="574">
        <v>71.081028493286667</v>
      </c>
      <c r="H28" s="574">
        <v>-5.3061484932866705</v>
      </c>
      <c r="I28" s="575">
        <v>0.92535070741431635</v>
      </c>
      <c r="J28" s="576" t="s">
        <v>1</v>
      </c>
    </row>
    <row r="29" spans="1:10" ht="14.4" customHeight="1" x14ac:dyDescent="0.3">
      <c r="A29" s="572" t="s">
        <v>490</v>
      </c>
      <c r="B29" s="573" t="s">
        <v>325</v>
      </c>
      <c r="C29" s="574">
        <v>0.93759999999999999</v>
      </c>
      <c r="D29" s="574">
        <v>0.95329999999999993</v>
      </c>
      <c r="E29" s="574"/>
      <c r="F29" s="574">
        <v>1.2790000000000001</v>
      </c>
      <c r="G29" s="574">
        <v>1.3012915320579166</v>
      </c>
      <c r="H29" s="574">
        <v>-2.2291532057916452E-2</v>
      </c>
      <c r="I29" s="575">
        <v>0.98286968637791439</v>
      </c>
      <c r="J29" s="576" t="s">
        <v>1</v>
      </c>
    </row>
    <row r="30" spans="1:10" ht="14.4" customHeight="1" x14ac:dyDescent="0.3">
      <c r="A30" s="572" t="s">
        <v>490</v>
      </c>
      <c r="B30" s="573" t="s">
        <v>492</v>
      </c>
      <c r="C30" s="574">
        <v>1169.5487400000002</v>
      </c>
      <c r="D30" s="574">
        <v>1363.1268899999973</v>
      </c>
      <c r="E30" s="574"/>
      <c r="F30" s="574">
        <v>1202.4708400000009</v>
      </c>
      <c r="G30" s="574">
        <v>1476.3625479186965</v>
      </c>
      <c r="H30" s="574">
        <v>-273.8917079186956</v>
      </c>
      <c r="I30" s="575">
        <v>0.81448208077019113</v>
      </c>
      <c r="J30" s="576" t="s">
        <v>493</v>
      </c>
    </row>
    <row r="31" spans="1:10" ht="14.4" customHeight="1" x14ac:dyDescent="0.3">
      <c r="A31" s="572" t="s">
        <v>487</v>
      </c>
      <c r="B31" s="573" t="s">
        <v>487</v>
      </c>
      <c r="C31" s="574" t="s">
        <v>487</v>
      </c>
      <c r="D31" s="574" t="s">
        <v>487</v>
      </c>
      <c r="E31" s="574"/>
      <c r="F31" s="574" t="s">
        <v>487</v>
      </c>
      <c r="G31" s="574" t="s">
        <v>487</v>
      </c>
      <c r="H31" s="574" t="s">
        <v>487</v>
      </c>
      <c r="I31" s="575" t="s">
        <v>487</v>
      </c>
      <c r="J31" s="576" t="s">
        <v>494</v>
      </c>
    </row>
    <row r="32" spans="1:10" ht="14.4" customHeight="1" x14ac:dyDescent="0.3">
      <c r="A32" s="572" t="s">
        <v>485</v>
      </c>
      <c r="B32" s="573" t="s">
        <v>488</v>
      </c>
      <c r="C32" s="574">
        <v>1169.5487400000002</v>
      </c>
      <c r="D32" s="574">
        <v>1363.1268899999973</v>
      </c>
      <c r="E32" s="574"/>
      <c r="F32" s="574">
        <v>1202.4708400000009</v>
      </c>
      <c r="G32" s="574">
        <v>1476.3625479186965</v>
      </c>
      <c r="H32" s="574">
        <v>-273.8917079186956</v>
      </c>
      <c r="I32" s="575">
        <v>0.81448208077019113</v>
      </c>
      <c r="J32" s="576" t="s">
        <v>489</v>
      </c>
    </row>
  </sheetData>
  <mergeCells count="3">
    <mergeCell ref="A1:I1"/>
    <mergeCell ref="F3:I3"/>
    <mergeCell ref="C4:D4"/>
  </mergeCells>
  <conditionalFormatting sqref="F17 F33:F65537">
    <cfRule type="cellIs" dxfId="35" priority="18" stopIfTrue="1" operator="greaterThan">
      <formula>1</formula>
    </cfRule>
  </conditionalFormatting>
  <conditionalFormatting sqref="H5:H16">
    <cfRule type="expression" dxfId="34" priority="14">
      <formula>$H5&gt;0</formula>
    </cfRule>
  </conditionalFormatting>
  <conditionalFormatting sqref="I5:I16">
    <cfRule type="expression" dxfId="33" priority="15">
      <formula>$I5&gt;1</formula>
    </cfRule>
  </conditionalFormatting>
  <conditionalFormatting sqref="B5:B16">
    <cfRule type="expression" dxfId="32" priority="11">
      <formula>OR($J5="NS",$J5="SumaNS",$J5="Účet")</formula>
    </cfRule>
  </conditionalFormatting>
  <conditionalFormatting sqref="F5:I16 B5:D16">
    <cfRule type="expression" dxfId="31" priority="17">
      <formula>AND($J5&lt;&gt;"",$J5&lt;&gt;"mezeraKL")</formula>
    </cfRule>
  </conditionalFormatting>
  <conditionalFormatting sqref="B5:D16 F5:I16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29" priority="13">
      <formula>OR($J5="SumaNS",$J5="NS")</formula>
    </cfRule>
  </conditionalFormatting>
  <conditionalFormatting sqref="A5:A16">
    <cfRule type="expression" dxfId="28" priority="9">
      <formula>AND($J5&lt;&gt;"mezeraKL",$J5&lt;&gt;"")</formula>
    </cfRule>
  </conditionalFormatting>
  <conditionalFormatting sqref="A5:A16">
    <cfRule type="expression" dxfId="27" priority="10">
      <formula>AND($J5&lt;&gt;"",$J5&lt;&gt;"mezeraKL")</formula>
    </cfRule>
  </conditionalFormatting>
  <conditionalFormatting sqref="H18:H32">
    <cfRule type="expression" dxfId="26" priority="5">
      <formula>$H18&gt;0</formula>
    </cfRule>
  </conditionalFormatting>
  <conditionalFormatting sqref="A18:A32">
    <cfRule type="expression" dxfId="25" priority="2">
      <formula>AND($J18&lt;&gt;"mezeraKL",$J18&lt;&gt;"")</formula>
    </cfRule>
  </conditionalFormatting>
  <conditionalFormatting sqref="I18:I32">
    <cfRule type="expression" dxfId="24" priority="6">
      <formula>$I18&gt;1</formula>
    </cfRule>
  </conditionalFormatting>
  <conditionalFormatting sqref="B18:B32">
    <cfRule type="expression" dxfId="23" priority="1">
      <formula>OR($J18="NS",$J18="SumaNS",$J18="Účet")</formula>
    </cfRule>
  </conditionalFormatting>
  <conditionalFormatting sqref="A18:D32 F18:I32">
    <cfRule type="expression" dxfId="22" priority="8">
      <formula>AND($J18&lt;&gt;"",$J18&lt;&gt;"mezeraKL")</formula>
    </cfRule>
  </conditionalFormatting>
  <conditionalFormatting sqref="B18:D32 F18:I32">
    <cfRule type="expression" dxfId="2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2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1" hidden="1" customWidth="1" outlineLevel="1"/>
    <col min="2" max="2" width="28.33203125" style="241" hidden="1" customWidth="1" outlineLevel="1"/>
    <col min="3" max="3" width="5.33203125" style="324" bestFit="1" customWidth="1" collapsed="1"/>
    <col min="4" max="4" width="18.77734375" style="328" customWidth="1"/>
    <col min="5" max="5" width="9" style="324" bestFit="1" customWidth="1"/>
    <col min="6" max="6" width="18.77734375" style="328" customWidth="1"/>
    <col min="7" max="7" width="12.44140625" style="324" hidden="1" customWidth="1" outlineLevel="1"/>
    <col min="8" max="8" width="25.77734375" style="324" customWidth="1" collapsed="1"/>
    <col min="9" max="9" width="7.77734375" style="322" customWidth="1"/>
    <col min="10" max="10" width="10" style="322" customWidth="1"/>
    <col min="11" max="11" width="11.109375" style="322" customWidth="1"/>
    <col min="12" max="16384" width="8.88671875" style="241"/>
  </cols>
  <sheetData>
    <row r="1" spans="1:11" ht="18.600000000000001" customHeight="1" thickBot="1" x14ac:dyDescent="0.4">
      <c r="A1" s="472" t="s">
        <v>2291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ht="14.4" customHeight="1" thickBot="1" x14ac:dyDescent="0.35">
      <c r="A2" s="364" t="s">
        <v>294</v>
      </c>
      <c r="B2" s="66"/>
      <c r="C2" s="326"/>
      <c r="D2" s="326"/>
      <c r="E2" s="326"/>
      <c r="F2" s="326"/>
      <c r="G2" s="326"/>
      <c r="H2" s="326"/>
      <c r="I2" s="327"/>
      <c r="J2" s="327"/>
      <c r="K2" s="327"/>
    </row>
    <row r="3" spans="1:11" ht="14.4" customHeight="1" thickBot="1" x14ac:dyDescent="0.35">
      <c r="A3" s="66"/>
      <c r="B3" s="66"/>
      <c r="C3" s="468"/>
      <c r="D3" s="469"/>
      <c r="E3" s="469"/>
      <c r="F3" s="469"/>
      <c r="G3" s="469"/>
      <c r="H3" s="254" t="s">
        <v>142</v>
      </c>
      <c r="I3" s="195">
        <f>IF(J3&lt;&gt;0,K3/J3,0)</f>
        <v>4.6419757753634237</v>
      </c>
      <c r="J3" s="195">
        <f>SUBTOTAL(9,J5:J1048576)</f>
        <v>268487</v>
      </c>
      <c r="K3" s="196">
        <f>SUBTOTAL(9,K5:K1048576)</f>
        <v>1246310.1499999994</v>
      </c>
    </row>
    <row r="4" spans="1:11" s="323" customFormat="1" ht="14.4" customHeight="1" thickBot="1" x14ac:dyDescent="0.35">
      <c r="A4" s="577" t="s">
        <v>4</v>
      </c>
      <c r="B4" s="578" t="s">
        <v>5</v>
      </c>
      <c r="C4" s="578" t="s">
        <v>0</v>
      </c>
      <c r="D4" s="578" t="s">
        <v>6</v>
      </c>
      <c r="E4" s="578" t="s">
        <v>7</v>
      </c>
      <c r="F4" s="578" t="s">
        <v>1</v>
      </c>
      <c r="G4" s="578" t="s">
        <v>77</v>
      </c>
      <c r="H4" s="579" t="s">
        <v>11</v>
      </c>
      <c r="I4" s="580" t="s">
        <v>165</v>
      </c>
      <c r="J4" s="580" t="s">
        <v>13</v>
      </c>
      <c r="K4" s="581" t="s">
        <v>176</v>
      </c>
    </row>
    <row r="5" spans="1:11" ht="14.4" customHeight="1" x14ac:dyDescent="0.3">
      <c r="A5" s="584" t="s">
        <v>485</v>
      </c>
      <c r="B5" s="585" t="s">
        <v>1636</v>
      </c>
      <c r="C5" s="586" t="s">
        <v>1790</v>
      </c>
      <c r="D5" s="587" t="s">
        <v>2272</v>
      </c>
      <c r="E5" s="586" t="s">
        <v>2273</v>
      </c>
      <c r="F5" s="587" t="s">
        <v>2274</v>
      </c>
      <c r="G5" s="586" t="s">
        <v>1791</v>
      </c>
      <c r="H5" s="586" t="s">
        <v>1792</v>
      </c>
      <c r="I5" s="588">
        <v>42.445</v>
      </c>
      <c r="J5" s="588">
        <v>6</v>
      </c>
      <c r="K5" s="589">
        <v>254.68</v>
      </c>
    </row>
    <row r="6" spans="1:11" ht="14.4" customHeight="1" x14ac:dyDescent="0.3">
      <c r="A6" s="590" t="s">
        <v>485</v>
      </c>
      <c r="B6" s="591" t="s">
        <v>1636</v>
      </c>
      <c r="C6" s="592" t="s">
        <v>1790</v>
      </c>
      <c r="D6" s="593" t="s">
        <v>2272</v>
      </c>
      <c r="E6" s="592" t="s">
        <v>2273</v>
      </c>
      <c r="F6" s="593" t="s">
        <v>2274</v>
      </c>
      <c r="G6" s="592" t="s">
        <v>1793</v>
      </c>
      <c r="H6" s="592" t="s">
        <v>1794</v>
      </c>
      <c r="I6" s="594">
        <v>0.6</v>
      </c>
      <c r="J6" s="594">
        <v>450</v>
      </c>
      <c r="K6" s="595">
        <v>270</v>
      </c>
    </row>
    <row r="7" spans="1:11" ht="14.4" customHeight="1" x14ac:dyDescent="0.3">
      <c r="A7" s="590" t="s">
        <v>485</v>
      </c>
      <c r="B7" s="591" t="s">
        <v>1636</v>
      </c>
      <c r="C7" s="592" t="s">
        <v>1790</v>
      </c>
      <c r="D7" s="593" t="s">
        <v>2272</v>
      </c>
      <c r="E7" s="592" t="s">
        <v>2273</v>
      </c>
      <c r="F7" s="593" t="s">
        <v>2274</v>
      </c>
      <c r="G7" s="592" t="s">
        <v>1795</v>
      </c>
      <c r="H7" s="592" t="s">
        <v>1796</v>
      </c>
      <c r="I7" s="594">
        <v>2.95</v>
      </c>
      <c r="J7" s="594">
        <v>20</v>
      </c>
      <c r="K7" s="595">
        <v>59</v>
      </c>
    </row>
    <row r="8" spans="1:11" ht="14.4" customHeight="1" x14ac:dyDescent="0.3">
      <c r="A8" s="590" t="s">
        <v>485</v>
      </c>
      <c r="B8" s="591" t="s">
        <v>1636</v>
      </c>
      <c r="C8" s="592" t="s">
        <v>1790</v>
      </c>
      <c r="D8" s="593" t="s">
        <v>2272</v>
      </c>
      <c r="E8" s="592" t="s">
        <v>2273</v>
      </c>
      <c r="F8" s="593" t="s">
        <v>2274</v>
      </c>
      <c r="G8" s="592" t="s">
        <v>1797</v>
      </c>
      <c r="H8" s="592" t="s">
        <v>1798</v>
      </c>
      <c r="I8" s="594">
        <v>1.1766666666666665</v>
      </c>
      <c r="J8" s="594">
        <v>720</v>
      </c>
      <c r="K8" s="595">
        <v>848.6</v>
      </c>
    </row>
    <row r="9" spans="1:11" ht="14.4" customHeight="1" x14ac:dyDescent="0.3">
      <c r="A9" s="590" t="s">
        <v>485</v>
      </c>
      <c r="B9" s="591" t="s">
        <v>1636</v>
      </c>
      <c r="C9" s="592" t="s">
        <v>1790</v>
      </c>
      <c r="D9" s="593" t="s">
        <v>2272</v>
      </c>
      <c r="E9" s="592" t="s">
        <v>2273</v>
      </c>
      <c r="F9" s="593" t="s">
        <v>2274</v>
      </c>
      <c r="G9" s="592" t="s">
        <v>1799</v>
      </c>
      <c r="H9" s="592" t="s">
        <v>1800</v>
      </c>
      <c r="I9" s="594">
        <v>0.86</v>
      </c>
      <c r="J9" s="594">
        <v>80</v>
      </c>
      <c r="K9" s="595">
        <v>68.8</v>
      </c>
    </row>
    <row r="10" spans="1:11" ht="14.4" customHeight="1" x14ac:dyDescent="0.3">
      <c r="A10" s="590" t="s">
        <v>485</v>
      </c>
      <c r="B10" s="591" t="s">
        <v>1636</v>
      </c>
      <c r="C10" s="592" t="s">
        <v>1790</v>
      </c>
      <c r="D10" s="593" t="s">
        <v>2272</v>
      </c>
      <c r="E10" s="592" t="s">
        <v>2273</v>
      </c>
      <c r="F10" s="593" t="s">
        <v>2274</v>
      </c>
      <c r="G10" s="592" t="s">
        <v>1801</v>
      </c>
      <c r="H10" s="592" t="s">
        <v>1802</v>
      </c>
      <c r="I10" s="594">
        <v>1.52</v>
      </c>
      <c r="J10" s="594">
        <v>80</v>
      </c>
      <c r="K10" s="595">
        <v>121.6</v>
      </c>
    </row>
    <row r="11" spans="1:11" ht="14.4" customHeight="1" x14ac:dyDescent="0.3">
      <c r="A11" s="590" t="s">
        <v>485</v>
      </c>
      <c r="B11" s="591" t="s">
        <v>1636</v>
      </c>
      <c r="C11" s="592" t="s">
        <v>1790</v>
      </c>
      <c r="D11" s="593" t="s">
        <v>2272</v>
      </c>
      <c r="E11" s="592" t="s">
        <v>2273</v>
      </c>
      <c r="F11" s="593" t="s">
        <v>2274</v>
      </c>
      <c r="G11" s="592" t="s">
        <v>1803</v>
      </c>
      <c r="H11" s="592" t="s">
        <v>1804</v>
      </c>
      <c r="I11" s="594">
        <v>42.58</v>
      </c>
      <c r="J11" s="594">
        <v>25</v>
      </c>
      <c r="K11" s="595">
        <v>1064.5</v>
      </c>
    </row>
    <row r="12" spans="1:11" ht="14.4" customHeight="1" x14ac:dyDescent="0.3">
      <c r="A12" s="590" t="s">
        <v>485</v>
      </c>
      <c r="B12" s="591" t="s">
        <v>1636</v>
      </c>
      <c r="C12" s="592" t="s">
        <v>1790</v>
      </c>
      <c r="D12" s="593" t="s">
        <v>2272</v>
      </c>
      <c r="E12" s="592" t="s">
        <v>2275</v>
      </c>
      <c r="F12" s="593" t="s">
        <v>2276</v>
      </c>
      <c r="G12" s="592" t="s">
        <v>1805</v>
      </c>
      <c r="H12" s="592" t="s">
        <v>1806</v>
      </c>
      <c r="I12" s="594">
        <v>3.51</v>
      </c>
      <c r="J12" s="594">
        <v>10</v>
      </c>
      <c r="K12" s="595">
        <v>35.1</v>
      </c>
    </row>
    <row r="13" spans="1:11" ht="14.4" customHeight="1" x14ac:dyDescent="0.3">
      <c r="A13" s="590" t="s">
        <v>485</v>
      </c>
      <c r="B13" s="591" t="s">
        <v>1636</v>
      </c>
      <c r="C13" s="592" t="s">
        <v>1790</v>
      </c>
      <c r="D13" s="593" t="s">
        <v>2272</v>
      </c>
      <c r="E13" s="592" t="s">
        <v>2275</v>
      </c>
      <c r="F13" s="593" t="s">
        <v>2276</v>
      </c>
      <c r="G13" s="592" t="s">
        <v>1807</v>
      </c>
      <c r="H13" s="592" t="s">
        <v>1808</v>
      </c>
      <c r="I13" s="594">
        <v>0.93</v>
      </c>
      <c r="J13" s="594">
        <v>570</v>
      </c>
      <c r="K13" s="595">
        <v>530.1</v>
      </c>
    </row>
    <row r="14" spans="1:11" ht="14.4" customHeight="1" x14ac:dyDescent="0.3">
      <c r="A14" s="590" t="s">
        <v>485</v>
      </c>
      <c r="B14" s="591" t="s">
        <v>1636</v>
      </c>
      <c r="C14" s="592" t="s">
        <v>1790</v>
      </c>
      <c r="D14" s="593" t="s">
        <v>2272</v>
      </c>
      <c r="E14" s="592" t="s">
        <v>2275</v>
      </c>
      <c r="F14" s="593" t="s">
        <v>2276</v>
      </c>
      <c r="G14" s="592" t="s">
        <v>1809</v>
      </c>
      <c r="H14" s="592" t="s">
        <v>1810</v>
      </c>
      <c r="I14" s="594">
        <v>1.4279999999999997</v>
      </c>
      <c r="J14" s="594">
        <v>250</v>
      </c>
      <c r="K14" s="595">
        <v>359</v>
      </c>
    </row>
    <row r="15" spans="1:11" ht="14.4" customHeight="1" x14ac:dyDescent="0.3">
      <c r="A15" s="590" t="s">
        <v>485</v>
      </c>
      <c r="B15" s="591" t="s">
        <v>1636</v>
      </c>
      <c r="C15" s="592" t="s">
        <v>1790</v>
      </c>
      <c r="D15" s="593" t="s">
        <v>2272</v>
      </c>
      <c r="E15" s="592" t="s">
        <v>2275</v>
      </c>
      <c r="F15" s="593" t="s">
        <v>2276</v>
      </c>
      <c r="G15" s="592" t="s">
        <v>1811</v>
      </c>
      <c r="H15" s="592" t="s">
        <v>1812</v>
      </c>
      <c r="I15" s="594">
        <v>5.13</v>
      </c>
      <c r="J15" s="594">
        <v>200</v>
      </c>
      <c r="K15" s="595">
        <v>1026</v>
      </c>
    </row>
    <row r="16" spans="1:11" ht="14.4" customHeight="1" x14ac:dyDescent="0.3">
      <c r="A16" s="590" t="s">
        <v>485</v>
      </c>
      <c r="B16" s="591" t="s">
        <v>1636</v>
      </c>
      <c r="C16" s="592" t="s">
        <v>1790</v>
      </c>
      <c r="D16" s="593" t="s">
        <v>2272</v>
      </c>
      <c r="E16" s="592" t="s">
        <v>2275</v>
      </c>
      <c r="F16" s="593" t="s">
        <v>2276</v>
      </c>
      <c r="G16" s="592" t="s">
        <v>1813</v>
      </c>
      <c r="H16" s="592" t="s">
        <v>1814</v>
      </c>
      <c r="I16" s="594">
        <v>7.95</v>
      </c>
      <c r="J16" s="594">
        <v>170</v>
      </c>
      <c r="K16" s="595">
        <v>1351.5</v>
      </c>
    </row>
    <row r="17" spans="1:11" ht="14.4" customHeight="1" x14ac:dyDescent="0.3">
      <c r="A17" s="590" t="s">
        <v>485</v>
      </c>
      <c r="B17" s="591" t="s">
        <v>1636</v>
      </c>
      <c r="C17" s="592" t="s">
        <v>1790</v>
      </c>
      <c r="D17" s="593" t="s">
        <v>2272</v>
      </c>
      <c r="E17" s="592" t="s">
        <v>2275</v>
      </c>
      <c r="F17" s="593" t="s">
        <v>2276</v>
      </c>
      <c r="G17" s="592" t="s">
        <v>1815</v>
      </c>
      <c r="H17" s="592" t="s">
        <v>1816</v>
      </c>
      <c r="I17" s="594">
        <v>1.9333333333333333</v>
      </c>
      <c r="J17" s="594">
        <v>200</v>
      </c>
      <c r="K17" s="595">
        <v>386.5</v>
      </c>
    </row>
    <row r="18" spans="1:11" ht="14.4" customHeight="1" x14ac:dyDescent="0.3">
      <c r="A18" s="590" t="s">
        <v>485</v>
      </c>
      <c r="B18" s="591" t="s">
        <v>1636</v>
      </c>
      <c r="C18" s="592" t="s">
        <v>1790</v>
      </c>
      <c r="D18" s="593" t="s">
        <v>2272</v>
      </c>
      <c r="E18" s="592" t="s">
        <v>2275</v>
      </c>
      <c r="F18" s="593" t="s">
        <v>2276</v>
      </c>
      <c r="G18" s="592" t="s">
        <v>1817</v>
      </c>
      <c r="H18" s="592" t="s">
        <v>1818</v>
      </c>
      <c r="I18" s="594">
        <v>194.30166666666665</v>
      </c>
      <c r="J18" s="594">
        <v>165</v>
      </c>
      <c r="K18" s="595">
        <v>32059.65</v>
      </c>
    </row>
    <row r="19" spans="1:11" ht="14.4" customHeight="1" x14ac:dyDescent="0.3">
      <c r="A19" s="590" t="s">
        <v>485</v>
      </c>
      <c r="B19" s="591" t="s">
        <v>1636</v>
      </c>
      <c r="C19" s="592" t="s">
        <v>1790</v>
      </c>
      <c r="D19" s="593" t="s">
        <v>2272</v>
      </c>
      <c r="E19" s="592" t="s">
        <v>2275</v>
      </c>
      <c r="F19" s="593" t="s">
        <v>2276</v>
      </c>
      <c r="G19" s="592" t="s">
        <v>1819</v>
      </c>
      <c r="H19" s="592" t="s">
        <v>1820</v>
      </c>
      <c r="I19" s="594">
        <v>0.48</v>
      </c>
      <c r="J19" s="594">
        <v>130</v>
      </c>
      <c r="K19" s="595">
        <v>62.4</v>
      </c>
    </row>
    <row r="20" spans="1:11" ht="14.4" customHeight="1" x14ac:dyDescent="0.3">
      <c r="A20" s="590" t="s">
        <v>485</v>
      </c>
      <c r="B20" s="591" t="s">
        <v>1636</v>
      </c>
      <c r="C20" s="592" t="s">
        <v>1790</v>
      </c>
      <c r="D20" s="593" t="s">
        <v>2272</v>
      </c>
      <c r="E20" s="592" t="s">
        <v>2277</v>
      </c>
      <c r="F20" s="593" t="s">
        <v>2278</v>
      </c>
      <c r="G20" s="592" t="s">
        <v>1821</v>
      </c>
      <c r="H20" s="592" t="s">
        <v>1822</v>
      </c>
      <c r="I20" s="594">
        <v>8.17</v>
      </c>
      <c r="J20" s="594">
        <v>210</v>
      </c>
      <c r="K20" s="595">
        <v>1715.7</v>
      </c>
    </row>
    <row r="21" spans="1:11" ht="14.4" customHeight="1" x14ac:dyDescent="0.3">
      <c r="A21" s="590" t="s">
        <v>485</v>
      </c>
      <c r="B21" s="591" t="s">
        <v>1636</v>
      </c>
      <c r="C21" s="592" t="s">
        <v>1790</v>
      </c>
      <c r="D21" s="593" t="s">
        <v>2272</v>
      </c>
      <c r="E21" s="592" t="s">
        <v>2279</v>
      </c>
      <c r="F21" s="593" t="s">
        <v>2280</v>
      </c>
      <c r="G21" s="592" t="s">
        <v>1823</v>
      </c>
      <c r="H21" s="592" t="s">
        <v>1824</v>
      </c>
      <c r="I21" s="594">
        <v>31.46</v>
      </c>
      <c r="J21" s="594">
        <v>100</v>
      </c>
      <c r="K21" s="595">
        <v>3146</v>
      </c>
    </row>
    <row r="22" spans="1:11" ht="14.4" customHeight="1" x14ac:dyDescent="0.3">
      <c r="A22" s="590" t="s">
        <v>485</v>
      </c>
      <c r="B22" s="591" t="s">
        <v>1636</v>
      </c>
      <c r="C22" s="592" t="s">
        <v>1790</v>
      </c>
      <c r="D22" s="593" t="s">
        <v>2272</v>
      </c>
      <c r="E22" s="592" t="s">
        <v>2281</v>
      </c>
      <c r="F22" s="593" t="s">
        <v>2282</v>
      </c>
      <c r="G22" s="592" t="s">
        <v>1825</v>
      </c>
      <c r="H22" s="592" t="s">
        <v>1826</v>
      </c>
      <c r="I22" s="594">
        <v>7.5</v>
      </c>
      <c r="J22" s="594">
        <v>60</v>
      </c>
      <c r="K22" s="595">
        <v>450</v>
      </c>
    </row>
    <row r="23" spans="1:11" ht="14.4" customHeight="1" x14ac:dyDescent="0.3">
      <c r="A23" s="590" t="s">
        <v>485</v>
      </c>
      <c r="B23" s="591" t="s">
        <v>1636</v>
      </c>
      <c r="C23" s="592" t="s">
        <v>1790</v>
      </c>
      <c r="D23" s="593" t="s">
        <v>2272</v>
      </c>
      <c r="E23" s="592" t="s">
        <v>2281</v>
      </c>
      <c r="F23" s="593" t="s">
        <v>2282</v>
      </c>
      <c r="G23" s="592" t="s">
        <v>1827</v>
      </c>
      <c r="H23" s="592" t="s">
        <v>1828</v>
      </c>
      <c r="I23" s="594">
        <v>7.5</v>
      </c>
      <c r="J23" s="594">
        <v>160</v>
      </c>
      <c r="K23" s="595">
        <v>1200</v>
      </c>
    </row>
    <row r="24" spans="1:11" ht="14.4" customHeight="1" x14ac:dyDescent="0.3">
      <c r="A24" s="590" t="s">
        <v>485</v>
      </c>
      <c r="B24" s="591" t="s">
        <v>1636</v>
      </c>
      <c r="C24" s="592" t="s">
        <v>1790</v>
      </c>
      <c r="D24" s="593" t="s">
        <v>2272</v>
      </c>
      <c r="E24" s="592" t="s">
        <v>2281</v>
      </c>
      <c r="F24" s="593" t="s">
        <v>2282</v>
      </c>
      <c r="G24" s="592" t="s">
        <v>1829</v>
      </c>
      <c r="H24" s="592" t="s">
        <v>1830</v>
      </c>
      <c r="I24" s="594">
        <v>7.5</v>
      </c>
      <c r="J24" s="594">
        <v>30</v>
      </c>
      <c r="K24" s="595">
        <v>225</v>
      </c>
    </row>
    <row r="25" spans="1:11" ht="14.4" customHeight="1" x14ac:dyDescent="0.3">
      <c r="A25" s="590" t="s">
        <v>485</v>
      </c>
      <c r="B25" s="591" t="s">
        <v>1636</v>
      </c>
      <c r="C25" s="592" t="s">
        <v>490</v>
      </c>
      <c r="D25" s="593" t="s">
        <v>1637</v>
      </c>
      <c r="E25" s="592" t="s">
        <v>2273</v>
      </c>
      <c r="F25" s="593" t="s">
        <v>2274</v>
      </c>
      <c r="G25" s="592" t="s">
        <v>1831</v>
      </c>
      <c r="H25" s="592" t="s">
        <v>1832</v>
      </c>
      <c r="I25" s="594">
        <v>4.3</v>
      </c>
      <c r="J25" s="594">
        <v>96</v>
      </c>
      <c r="K25" s="595">
        <v>412.8</v>
      </c>
    </row>
    <row r="26" spans="1:11" ht="14.4" customHeight="1" x14ac:dyDescent="0.3">
      <c r="A26" s="590" t="s">
        <v>485</v>
      </c>
      <c r="B26" s="591" t="s">
        <v>1636</v>
      </c>
      <c r="C26" s="592" t="s">
        <v>490</v>
      </c>
      <c r="D26" s="593" t="s">
        <v>1637</v>
      </c>
      <c r="E26" s="592" t="s">
        <v>2273</v>
      </c>
      <c r="F26" s="593" t="s">
        <v>2274</v>
      </c>
      <c r="G26" s="592" t="s">
        <v>1833</v>
      </c>
      <c r="H26" s="592" t="s">
        <v>1834</v>
      </c>
      <c r="I26" s="594">
        <v>4.5750000000000002</v>
      </c>
      <c r="J26" s="594">
        <v>300</v>
      </c>
      <c r="K26" s="595">
        <v>1377.13</v>
      </c>
    </row>
    <row r="27" spans="1:11" ht="14.4" customHeight="1" x14ac:dyDescent="0.3">
      <c r="A27" s="590" t="s">
        <v>485</v>
      </c>
      <c r="B27" s="591" t="s">
        <v>1636</v>
      </c>
      <c r="C27" s="592" t="s">
        <v>490</v>
      </c>
      <c r="D27" s="593" t="s">
        <v>1637</v>
      </c>
      <c r="E27" s="592" t="s">
        <v>2273</v>
      </c>
      <c r="F27" s="593" t="s">
        <v>2274</v>
      </c>
      <c r="G27" s="592" t="s">
        <v>1835</v>
      </c>
      <c r="H27" s="592" t="s">
        <v>1836</v>
      </c>
      <c r="I27" s="594">
        <v>82.8</v>
      </c>
      <c r="J27" s="594">
        <v>24</v>
      </c>
      <c r="K27" s="595">
        <v>1987.2</v>
      </c>
    </row>
    <row r="28" spans="1:11" ht="14.4" customHeight="1" x14ac:dyDescent="0.3">
      <c r="A28" s="590" t="s">
        <v>485</v>
      </c>
      <c r="B28" s="591" t="s">
        <v>1636</v>
      </c>
      <c r="C28" s="592" t="s">
        <v>490</v>
      </c>
      <c r="D28" s="593" t="s">
        <v>1637</v>
      </c>
      <c r="E28" s="592" t="s">
        <v>2273</v>
      </c>
      <c r="F28" s="593" t="s">
        <v>2274</v>
      </c>
      <c r="G28" s="592" t="s">
        <v>1837</v>
      </c>
      <c r="H28" s="592" t="s">
        <v>1838</v>
      </c>
      <c r="I28" s="594">
        <v>2.39</v>
      </c>
      <c r="J28" s="594">
        <v>40</v>
      </c>
      <c r="K28" s="595">
        <v>95.6</v>
      </c>
    </row>
    <row r="29" spans="1:11" ht="14.4" customHeight="1" x14ac:dyDescent="0.3">
      <c r="A29" s="590" t="s">
        <v>485</v>
      </c>
      <c r="B29" s="591" t="s">
        <v>1636</v>
      </c>
      <c r="C29" s="592" t="s">
        <v>490</v>
      </c>
      <c r="D29" s="593" t="s">
        <v>1637</v>
      </c>
      <c r="E29" s="592" t="s">
        <v>2273</v>
      </c>
      <c r="F29" s="593" t="s">
        <v>2274</v>
      </c>
      <c r="G29" s="592" t="s">
        <v>1839</v>
      </c>
      <c r="H29" s="592" t="s">
        <v>1840</v>
      </c>
      <c r="I29" s="594">
        <v>3.1</v>
      </c>
      <c r="J29" s="594">
        <v>40</v>
      </c>
      <c r="K29" s="595">
        <v>124</v>
      </c>
    </row>
    <row r="30" spans="1:11" ht="14.4" customHeight="1" x14ac:dyDescent="0.3">
      <c r="A30" s="590" t="s">
        <v>485</v>
      </c>
      <c r="B30" s="591" t="s">
        <v>1636</v>
      </c>
      <c r="C30" s="592" t="s">
        <v>490</v>
      </c>
      <c r="D30" s="593" t="s">
        <v>1637</v>
      </c>
      <c r="E30" s="592" t="s">
        <v>2273</v>
      </c>
      <c r="F30" s="593" t="s">
        <v>2274</v>
      </c>
      <c r="G30" s="592" t="s">
        <v>1841</v>
      </c>
      <c r="H30" s="592" t="s">
        <v>1842</v>
      </c>
      <c r="I30" s="594">
        <v>3.78</v>
      </c>
      <c r="J30" s="594">
        <v>100</v>
      </c>
      <c r="K30" s="595">
        <v>378</v>
      </c>
    </row>
    <row r="31" spans="1:11" ht="14.4" customHeight="1" x14ac:dyDescent="0.3">
      <c r="A31" s="590" t="s">
        <v>485</v>
      </c>
      <c r="B31" s="591" t="s">
        <v>1636</v>
      </c>
      <c r="C31" s="592" t="s">
        <v>490</v>
      </c>
      <c r="D31" s="593" t="s">
        <v>1637</v>
      </c>
      <c r="E31" s="592" t="s">
        <v>2273</v>
      </c>
      <c r="F31" s="593" t="s">
        <v>2274</v>
      </c>
      <c r="G31" s="592" t="s">
        <v>1843</v>
      </c>
      <c r="H31" s="592" t="s">
        <v>1844</v>
      </c>
      <c r="I31" s="594">
        <v>9.3000000000000007</v>
      </c>
      <c r="J31" s="594">
        <v>150</v>
      </c>
      <c r="K31" s="595">
        <v>1395</v>
      </c>
    </row>
    <row r="32" spans="1:11" ht="14.4" customHeight="1" x14ac:dyDescent="0.3">
      <c r="A32" s="590" t="s">
        <v>485</v>
      </c>
      <c r="B32" s="591" t="s">
        <v>1636</v>
      </c>
      <c r="C32" s="592" t="s">
        <v>490</v>
      </c>
      <c r="D32" s="593" t="s">
        <v>1637</v>
      </c>
      <c r="E32" s="592" t="s">
        <v>2273</v>
      </c>
      <c r="F32" s="593" t="s">
        <v>2274</v>
      </c>
      <c r="G32" s="592" t="s">
        <v>1845</v>
      </c>
      <c r="H32" s="592" t="s">
        <v>1846</v>
      </c>
      <c r="I32" s="594">
        <v>65.305714285714288</v>
      </c>
      <c r="J32" s="594">
        <v>26</v>
      </c>
      <c r="K32" s="595">
        <v>1693.03</v>
      </c>
    </row>
    <row r="33" spans="1:11" ht="14.4" customHeight="1" x14ac:dyDescent="0.3">
      <c r="A33" s="590" t="s">
        <v>485</v>
      </c>
      <c r="B33" s="591" t="s">
        <v>1636</v>
      </c>
      <c r="C33" s="592" t="s">
        <v>490</v>
      </c>
      <c r="D33" s="593" t="s">
        <v>1637</v>
      </c>
      <c r="E33" s="592" t="s">
        <v>2273</v>
      </c>
      <c r="F33" s="593" t="s">
        <v>2274</v>
      </c>
      <c r="G33" s="592" t="s">
        <v>1847</v>
      </c>
      <c r="H33" s="592" t="s">
        <v>1848</v>
      </c>
      <c r="I33" s="594">
        <v>13.96</v>
      </c>
      <c r="J33" s="594">
        <v>30</v>
      </c>
      <c r="K33" s="595">
        <v>418.8</v>
      </c>
    </row>
    <row r="34" spans="1:11" ht="14.4" customHeight="1" x14ac:dyDescent="0.3">
      <c r="A34" s="590" t="s">
        <v>485</v>
      </c>
      <c r="B34" s="591" t="s">
        <v>1636</v>
      </c>
      <c r="C34" s="592" t="s">
        <v>490</v>
      </c>
      <c r="D34" s="593" t="s">
        <v>1637</v>
      </c>
      <c r="E34" s="592" t="s">
        <v>2273</v>
      </c>
      <c r="F34" s="593" t="s">
        <v>2274</v>
      </c>
      <c r="G34" s="592" t="s">
        <v>1849</v>
      </c>
      <c r="H34" s="592" t="s">
        <v>1850</v>
      </c>
      <c r="I34" s="594">
        <v>12.08</v>
      </c>
      <c r="J34" s="594">
        <v>90</v>
      </c>
      <c r="K34" s="595">
        <v>1087.1999999999998</v>
      </c>
    </row>
    <row r="35" spans="1:11" ht="14.4" customHeight="1" x14ac:dyDescent="0.3">
      <c r="A35" s="590" t="s">
        <v>485</v>
      </c>
      <c r="B35" s="591" t="s">
        <v>1636</v>
      </c>
      <c r="C35" s="592" t="s">
        <v>490</v>
      </c>
      <c r="D35" s="593" t="s">
        <v>1637</v>
      </c>
      <c r="E35" s="592" t="s">
        <v>2273</v>
      </c>
      <c r="F35" s="593" t="s">
        <v>2274</v>
      </c>
      <c r="G35" s="592" t="s">
        <v>1851</v>
      </c>
      <c r="H35" s="592" t="s">
        <v>1852</v>
      </c>
      <c r="I35" s="594">
        <v>0.40333333333333332</v>
      </c>
      <c r="J35" s="594">
        <v>15000</v>
      </c>
      <c r="K35" s="595">
        <v>6060</v>
      </c>
    </row>
    <row r="36" spans="1:11" ht="14.4" customHeight="1" x14ac:dyDescent="0.3">
      <c r="A36" s="590" t="s">
        <v>485</v>
      </c>
      <c r="B36" s="591" t="s">
        <v>1636</v>
      </c>
      <c r="C36" s="592" t="s">
        <v>490</v>
      </c>
      <c r="D36" s="593" t="s">
        <v>1637</v>
      </c>
      <c r="E36" s="592" t="s">
        <v>2273</v>
      </c>
      <c r="F36" s="593" t="s">
        <v>2274</v>
      </c>
      <c r="G36" s="592" t="s">
        <v>1853</v>
      </c>
      <c r="H36" s="592" t="s">
        <v>1854</v>
      </c>
      <c r="I36" s="594">
        <v>27.620000000000005</v>
      </c>
      <c r="J36" s="594">
        <v>360</v>
      </c>
      <c r="K36" s="595">
        <v>9943.2000000000007</v>
      </c>
    </row>
    <row r="37" spans="1:11" ht="14.4" customHeight="1" x14ac:dyDescent="0.3">
      <c r="A37" s="590" t="s">
        <v>485</v>
      </c>
      <c r="B37" s="591" t="s">
        <v>1636</v>
      </c>
      <c r="C37" s="592" t="s">
        <v>490</v>
      </c>
      <c r="D37" s="593" t="s">
        <v>1637</v>
      </c>
      <c r="E37" s="592" t="s">
        <v>2273</v>
      </c>
      <c r="F37" s="593" t="s">
        <v>2274</v>
      </c>
      <c r="G37" s="592" t="s">
        <v>1855</v>
      </c>
      <c r="H37" s="592" t="s">
        <v>1856</v>
      </c>
      <c r="I37" s="594">
        <v>39.652000000000001</v>
      </c>
      <c r="J37" s="594">
        <v>15</v>
      </c>
      <c r="K37" s="595">
        <v>594.79</v>
      </c>
    </row>
    <row r="38" spans="1:11" ht="14.4" customHeight="1" x14ac:dyDescent="0.3">
      <c r="A38" s="590" t="s">
        <v>485</v>
      </c>
      <c r="B38" s="591" t="s">
        <v>1636</v>
      </c>
      <c r="C38" s="592" t="s">
        <v>490</v>
      </c>
      <c r="D38" s="593" t="s">
        <v>1637</v>
      </c>
      <c r="E38" s="592" t="s">
        <v>2273</v>
      </c>
      <c r="F38" s="593" t="s">
        <v>2274</v>
      </c>
      <c r="G38" s="592" t="s">
        <v>1857</v>
      </c>
      <c r="H38" s="592" t="s">
        <v>1858</v>
      </c>
      <c r="I38" s="594">
        <v>3.9866666666666668</v>
      </c>
      <c r="J38" s="594">
        <v>600</v>
      </c>
      <c r="K38" s="595">
        <v>2392</v>
      </c>
    </row>
    <row r="39" spans="1:11" ht="14.4" customHeight="1" x14ac:dyDescent="0.3">
      <c r="A39" s="590" t="s">
        <v>485</v>
      </c>
      <c r="B39" s="591" t="s">
        <v>1636</v>
      </c>
      <c r="C39" s="592" t="s">
        <v>490</v>
      </c>
      <c r="D39" s="593" t="s">
        <v>1637</v>
      </c>
      <c r="E39" s="592" t="s">
        <v>2273</v>
      </c>
      <c r="F39" s="593" t="s">
        <v>2274</v>
      </c>
      <c r="G39" s="592" t="s">
        <v>1859</v>
      </c>
      <c r="H39" s="592" t="s">
        <v>1860</v>
      </c>
      <c r="I39" s="594">
        <v>6.1166666666666671</v>
      </c>
      <c r="J39" s="594">
        <v>400</v>
      </c>
      <c r="K39" s="595">
        <v>2455</v>
      </c>
    </row>
    <row r="40" spans="1:11" ht="14.4" customHeight="1" x14ac:dyDescent="0.3">
      <c r="A40" s="590" t="s">
        <v>485</v>
      </c>
      <c r="B40" s="591" t="s">
        <v>1636</v>
      </c>
      <c r="C40" s="592" t="s">
        <v>490</v>
      </c>
      <c r="D40" s="593" t="s">
        <v>1637</v>
      </c>
      <c r="E40" s="592" t="s">
        <v>2273</v>
      </c>
      <c r="F40" s="593" t="s">
        <v>2274</v>
      </c>
      <c r="G40" s="592" t="s">
        <v>1861</v>
      </c>
      <c r="H40" s="592" t="s">
        <v>1862</v>
      </c>
      <c r="I40" s="594">
        <v>1.4266666666666665</v>
      </c>
      <c r="J40" s="594">
        <v>600</v>
      </c>
      <c r="K40" s="595">
        <v>856</v>
      </c>
    </row>
    <row r="41" spans="1:11" ht="14.4" customHeight="1" x14ac:dyDescent="0.3">
      <c r="A41" s="590" t="s">
        <v>485</v>
      </c>
      <c r="B41" s="591" t="s">
        <v>1636</v>
      </c>
      <c r="C41" s="592" t="s">
        <v>490</v>
      </c>
      <c r="D41" s="593" t="s">
        <v>1637</v>
      </c>
      <c r="E41" s="592" t="s">
        <v>2273</v>
      </c>
      <c r="F41" s="593" t="s">
        <v>2274</v>
      </c>
      <c r="G41" s="592" t="s">
        <v>1863</v>
      </c>
      <c r="H41" s="592" t="s">
        <v>1864</v>
      </c>
      <c r="I41" s="594">
        <v>86.38</v>
      </c>
      <c r="J41" s="594">
        <v>100</v>
      </c>
      <c r="K41" s="595">
        <v>8637.84</v>
      </c>
    </row>
    <row r="42" spans="1:11" ht="14.4" customHeight="1" x14ac:dyDescent="0.3">
      <c r="A42" s="590" t="s">
        <v>485</v>
      </c>
      <c r="B42" s="591" t="s">
        <v>1636</v>
      </c>
      <c r="C42" s="592" t="s">
        <v>490</v>
      </c>
      <c r="D42" s="593" t="s">
        <v>1637</v>
      </c>
      <c r="E42" s="592" t="s">
        <v>2273</v>
      </c>
      <c r="F42" s="593" t="s">
        <v>2274</v>
      </c>
      <c r="G42" s="592" t="s">
        <v>1865</v>
      </c>
      <c r="H42" s="592" t="s">
        <v>1866</v>
      </c>
      <c r="I42" s="594">
        <v>61.53</v>
      </c>
      <c r="J42" s="594">
        <v>30</v>
      </c>
      <c r="K42" s="595">
        <v>1845.75</v>
      </c>
    </row>
    <row r="43" spans="1:11" ht="14.4" customHeight="1" x14ac:dyDescent="0.3">
      <c r="A43" s="590" t="s">
        <v>485</v>
      </c>
      <c r="B43" s="591" t="s">
        <v>1636</v>
      </c>
      <c r="C43" s="592" t="s">
        <v>490</v>
      </c>
      <c r="D43" s="593" t="s">
        <v>1637</v>
      </c>
      <c r="E43" s="592" t="s">
        <v>2273</v>
      </c>
      <c r="F43" s="593" t="s">
        <v>2274</v>
      </c>
      <c r="G43" s="592" t="s">
        <v>1867</v>
      </c>
      <c r="H43" s="592" t="s">
        <v>1868</v>
      </c>
      <c r="I43" s="594">
        <v>0.26</v>
      </c>
      <c r="J43" s="594">
        <v>300</v>
      </c>
      <c r="K43" s="595">
        <v>78</v>
      </c>
    </row>
    <row r="44" spans="1:11" ht="14.4" customHeight="1" x14ac:dyDescent="0.3">
      <c r="A44" s="590" t="s">
        <v>485</v>
      </c>
      <c r="B44" s="591" t="s">
        <v>1636</v>
      </c>
      <c r="C44" s="592" t="s">
        <v>490</v>
      </c>
      <c r="D44" s="593" t="s">
        <v>1637</v>
      </c>
      <c r="E44" s="592" t="s">
        <v>2273</v>
      </c>
      <c r="F44" s="593" t="s">
        <v>2274</v>
      </c>
      <c r="G44" s="592" t="s">
        <v>1869</v>
      </c>
      <c r="H44" s="592" t="s">
        <v>1870</v>
      </c>
      <c r="I44" s="594">
        <v>1</v>
      </c>
      <c r="J44" s="594">
        <v>200</v>
      </c>
      <c r="K44" s="595">
        <v>200</v>
      </c>
    </row>
    <row r="45" spans="1:11" ht="14.4" customHeight="1" x14ac:dyDescent="0.3">
      <c r="A45" s="590" t="s">
        <v>485</v>
      </c>
      <c r="B45" s="591" t="s">
        <v>1636</v>
      </c>
      <c r="C45" s="592" t="s">
        <v>490</v>
      </c>
      <c r="D45" s="593" t="s">
        <v>1637</v>
      </c>
      <c r="E45" s="592" t="s">
        <v>2273</v>
      </c>
      <c r="F45" s="593" t="s">
        <v>2274</v>
      </c>
      <c r="G45" s="592" t="s">
        <v>1871</v>
      </c>
      <c r="H45" s="592" t="s">
        <v>1872</v>
      </c>
      <c r="I45" s="594">
        <v>0.43</v>
      </c>
      <c r="J45" s="594">
        <v>500</v>
      </c>
      <c r="K45" s="595">
        <v>215</v>
      </c>
    </row>
    <row r="46" spans="1:11" ht="14.4" customHeight="1" x14ac:dyDescent="0.3">
      <c r="A46" s="590" t="s">
        <v>485</v>
      </c>
      <c r="B46" s="591" t="s">
        <v>1636</v>
      </c>
      <c r="C46" s="592" t="s">
        <v>490</v>
      </c>
      <c r="D46" s="593" t="s">
        <v>1637</v>
      </c>
      <c r="E46" s="592" t="s">
        <v>2273</v>
      </c>
      <c r="F46" s="593" t="s">
        <v>2274</v>
      </c>
      <c r="G46" s="592" t="s">
        <v>1873</v>
      </c>
      <c r="H46" s="592" t="s">
        <v>1874</v>
      </c>
      <c r="I46" s="594">
        <v>22.150000000000002</v>
      </c>
      <c r="J46" s="594">
        <v>450</v>
      </c>
      <c r="K46" s="595">
        <v>9967.5</v>
      </c>
    </row>
    <row r="47" spans="1:11" ht="14.4" customHeight="1" x14ac:dyDescent="0.3">
      <c r="A47" s="590" t="s">
        <v>485</v>
      </c>
      <c r="B47" s="591" t="s">
        <v>1636</v>
      </c>
      <c r="C47" s="592" t="s">
        <v>490</v>
      </c>
      <c r="D47" s="593" t="s">
        <v>1637</v>
      </c>
      <c r="E47" s="592" t="s">
        <v>2273</v>
      </c>
      <c r="F47" s="593" t="s">
        <v>2274</v>
      </c>
      <c r="G47" s="592" t="s">
        <v>1875</v>
      </c>
      <c r="H47" s="592" t="s">
        <v>1876</v>
      </c>
      <c r="I47" s="594">
        <v>30.177500000000002</v>
      </c>
      <c r="J47" s="594">
        <v>200</v>
      </c>
      <c r="K47" s="595">
        <v>6035.5</v>
      </c>
    </row>
    <row r="48" spans="1:11" ht="14.4" customHeight="1" x14ac:dyDescent="0.3">
      <c r="A48" s="590" t="s">
        <v>485</v>
      </c>
      <c r="B48" s="591" t="s">
        <v>1636</v>
      </c>
      <c r="C48" s="592" t="s">
        <v>490</v>
      </c>
      <c r="D48" s="593" t="s">
        <v>1637</v>
      </c>
      <c r="E48" s="592" t="s">
        <v>2273</v>
      </c>
      <c r="F48" s="593" t="s">
        <v>2274</v>
      </c>
      <c r="G48" s="592" t="s">
        <v>1877</v>
      </c>
      <c r="H48" s="592" t="s">
        <v>1878</v>
      </c>
      <c r="I48" s="594">
        <v>272.43</v>
      </c>
      <c r="J48" s="594">
        <v>6</v>
      </c>
      <c r="K48" s="595">
        <v>1634.6</v>
      </c>
    </row>
    <row r="49" spans="1:11" ht="14.4" customHeight="1" x14ac:dyDescent="0.3">
      <c r="A49" s="590" t="s">
        <v>485</v>
      </c>
      <c r="B49" s="591" t="s">
        <v>1636</v>
      </c>
      <c r="C49" s="592" t="s">
        <v>490</v>
      </c>
      <c r="D49" s="593" t="s">
        <v>1637</v>
      </c>
      <c r="E49" s="592" t="s">
        <v>2273</v>
      </c>
      <c r="F49" s="593" t="s">
        <v>2274</v>
      </c>
      <c r="G49" s="592" t="s">
        <v>1879</v>
      </c>
      <c r="H49" s="592" t="s">
        <v>1880</v>
      </c>
      <c r="I49" s="594">
        <v>1.2516666666666667</v>
      </c>
      <c r="J49" s="594">
        <v>1625</v>
      </c>
      <c r="K49" s="595">
        <v>2037.69</v>
      </c>
    </row>
    <row r="50" spans="1:11" ht="14.4" customHeight="1" x14ac:dyDescent="0.3">
      <c r="A50" s="590" t="s">
        <v>485</v>
      </c>
      <c r="B50" s="591" t="s">
        <v>1636</v>
      </c>
      <c r="C50" s="592" t="s">
        <v>490</v>
      </c>
      <c r="D50" s="593" t="s">
        <v>1637</v>
      </c>
      <c r="E50" s="592" t="s">
        <v>2273</v>
      </c>
      <c r="F50" s="593" t="s">
        <v>2274</v>
      </c>
      <c r="G50" s="592" t="s">
        <v>1881</v>
      </c>
      <c r="H50" s="592" t="s">
        <v>1882</v>
      </c>
      <c r="I50" s="594">
        <v>12.42</v>
      </c>
      <c r="J50" s="594">
        <v>210</v>
      </c>
      <c r="K50" s="595">
        <v>2608.1999999999998</v>
      </c>
    </row>
    <row r="51" spans="1:11" ht="14.4" customHeight="1" x14ac:dyDescent="0.3">
      <c r="A51" s="590" t="s">
        <v>485</v>
      </c>
      <c r="B51" s="591" t="s">
        <v>1636</v>
      </c>
      <c r="C51" s="592" t="s">
        <v>490</v>
      </c>
      <c r="D51" s="593" t="s">
        <v>1637</v>
      </c>
      <c r="E51" s="592" t="s">
        <v>2273</v>
      </c>
      <c r="F51" s="593" t="s">
        <v>2274</v>
      </c>
      <c r="G51" s="592" t="s">
        <v>1883</v>
      </c>
      <c r="H51" s="592" t="s">
        <v>1884</v>
      </c>
      <c r="I51" s="594">
        <v>1.38</v>
      </c>
      <c r="J51" s="594">
        <v>300</v>
      </c>
      <c r="K51" s="595">
        <v>414</v>
      </c>
    </row>
    <row r="52" spans="1:11" ht="14.4" customHeight="1" x14ac:dyDescent="0.3">
      <c r="A52" s="590" t="s">
        <v>485</v>
      </c>
      <c r="B52" s="591" t="s">
        <v>1636</v>
      </c>
      <c r="C52" s="592" t="s">
        <v>490</v>
      </c>
      <c r="D52" s="593" t="s">
        <v>1637</v>
      </c>
      <c r="E52" s="592" t="s">
        <v>2273</v>
      </c>
      <c r="F52" s="593" t="s">
        <v>2274</v>
      </c>
      <c r="G52" s="592" t="s">
        <v>1885</v>
      </c>
      <c r="H52" s="592" t="s">
        <v>1886</v>
      </c>
      <c r="I52" s="594">
        <v>3.94</v>
      </c>
      <c r="J52" s="594">
        <v>2500</v>
      </c>
      <c r="K52" s="595">
        <v>9859.2000000000007</v>
      </c>
    </row>
    <row r="53" spans="1:11" ht="14.4" customHeight="1" x14ac:dyDescent="0.3">
      <c r="A53" s="590" t="s">
        <v>485</v>
      </c>
      <c r="B53" s="591" t="s">
        <v>1636</v>
      </c>
      <c r="C53" s="592" t="s">
        <v>490</v>
      </c>
      <c r="D53" s="593" t="s">
        <v>1637</v>
      </c>
      <c r="E53" s="592" t="s">
        <v>2273</v>
      </c>
      <c r="F53" s="593" t="s">
        <v>2274</v>
      </c>
      <c r="G53" s="592" t="s">
        <v>1887</v>
      </c>
      <c r="H53" s="592" t="s">
        <v>1888</v>
      </c>
      <c r="I53" s="594">
        <v>0.44</v>
      </c>
      <c r="J53" s="594">
        <v>4000</v>
      </c>
      <c r="K53" s="595">
        <v>1760</v>
      </c>
    </row>
    <row r="54" spans="1:11" ht="14.4" customHeight="1" x14ac:dyDescent="0.3">
      <c r="A54" s="590" t="s">
        <v>485</v>
      </c>
      <c r="B54" s="591" t="s">
        <v>1636</v>
      </c>
      <c r="C54" s="592" t="s">
        <v>490</v>
      </c>
      <c r="D54" s="593" t="s">
        <v>1637</v>
      </c>
      <c r="E54" s="592" t="s">
        <v>2273</v>
      </c>
      <c r="F54" s="593" t="s">
        <v>2274</v>
      </c>
      <c r="G54" s="592" t="s">
        <v>1889</v>
      </c>
      <c r="H54" s="592" t="s">
        <v>1890</v>
      </c>
      <c r="I54" s="594">
        <v>450</v>
      </c>
      <c r="J54" s="594">
        <v>6</v>
      </c>
      <c r="K54" s="595">
        <v>2699.9700000000003</v>
      </c>
    </row>
    <row r="55" spans="1:11" ht="14.4" customHeight="1" x14ac:dyDescent="0.3">
      <c r="A55" s="590" t="s">
        <v>485</v>
      </c>
      <c r="B55" s="591" t="s">
        <v>1636</v>
      </c>
      <c r="C55" s="592" t="s">
        <v>490</v>
      </c>
      <c r="D55" s="593" t="s">
        <v>1637</v>
      </c>
      <c r="E55" s="592" t="s">
        <v>2273</v>
      </c>
      <c r="F55" s="593" t="s">
        <v>2274</v>
      </c>
      <c r="G55" s="592" t="s">
        <v>1891</v>
      </c>
      <c r="H55" s="592" t="s">
        <v>1892</v>
      </c>
      <c r="I55" s="594">
        <v>8.5759999999999987</v>
      </c>
      <c r="J55" s="594">
        <v>168</v>
      </c>
      <c r="K55" s="595">
        <v>1440.72</v>
      </c>
    </row>
    <row r="56" spans="1:11" ht="14.4" customHeight="1" x14ac:dyDescent="0.3">
      <c r="A56" s="590" t="s">
        <v>485</v>
      </c>
      <c r="B56" s="591" t="s">
        <v>1636</v>
      </c>
      <c r="C56" s="592" t="s">
        <v>490</v>
      </c>
      <c r="D56" s="593" t="s">
        <v>1637</v>
      </c>
      <c r="E56" s="592" t="s">
        <v>2273</v>
      </c>
      <c r="F56" s="593" t="s">
        <v>2274</v>
      </c>
      <c r="G56" s="592" t="s">
        <v>1893</v>
      </c>
      <c r="H56" s="592" t="s">
        <v>1894</v>
      </c>
      <c r="I56" s="594">
        <v>13.016666666666666</v>
      </c>
      <c r="J56" s="594">
        <v>3</v>
      </c>
      <c r="K56" s="595">
        <v>39.049999999999997</v>
      </c>
    </row>
    <row r="57" spans="1:11" ht="14.4" customHeight="1" x14ac:dyDescent="0.3">
      <c r="A57" s="590" t="s">
        <v>485</v>
      </c>
      <c r="B57" s="591" t="s">
        <v>1636</v>
      </c>
      <c r="C57" s="592" t="s">
        <v>490</v>
      </c>
      <c r="D57" s="593" t="s">
        <v>1637</v>
      </c>
      <c r="E57" s="592" t="s">
        <v>2273</v>
      </c>
      <c r="F57" s="593" t="s">
        <v>2274</v>
      </c>
      <c r="G57" s="592" t="s">
        <v>1895</v>
      </c>
      <c r="H57" s="592" t="s">
        <v>1896</v>
      </c>
      <c r="I57" s="594">
        <v>28.181999999999999</v>
      </c>
      <c r="J57" s="594">
        <v>28</v>
      </c>
      <c r="K57" s="595">
        <v>789.57999999999993</v>
      </c>
    </row>
    <row r="58" spans="1:11" ht="14.4" customHeight="1" x14ac:dyDescent="0.3">
      <c r="A58" s="590" t="s">
        <v>485</v>
      </c>
      <c r="B58" s="591" t="s">
        <v>1636</v>
      </c>
      <c r="C58" s="592" t="s">
        <v>490</v>
      </c>
      <c r="D58" s="593" t="s">
        <v>1637</v>
      </c>
      <c r="E58" s="592" t="s">
        <v>2273</v>
      </c>
      <c r="F58" s="593" t="s">
        <v>2274</v>
      </c>
      <c r="G58" s="592" t="s">
        <v>1897</v>
      </c>
      <c r="H58" s="592" t="s">
        <v>1898</v>
      </c>
      <c r="I58" s="594">
        <v>1.2562500000000001</v>
      </c>
      <c r="J58" s="594">
        <v>9500</v>
      </c>
      <c r="K58" s="595">
        <v>11968.119999999999</v>
      </c>
    </row>
    <row r="59" spans="1:11" ht="14.4" customHeight="1" x14ac:dyDescent="0.3">
      <c r="A59" s="590" t="s">
        <v>485</v>
      </c>
      <c r="B59" s="591" t="s">
        <v>1636</v>
      </c>
      <c r="C59" s="592" t="s">
        <v>490</v>
      </c>
      <c r="D59" s="593" t="s">
        <v>1637</v>
      </c>
      <c r="E59" s="592" t="s">
        <v>2273</v>
      </c>
      <c r="F59" s="593" t="s">
        <v>2274</v>
      </c>
      <c r="G59" s="592" t="s">
        <v>1899</v>
      </c>
      <c r="H59" s="592" t="s">
        <v>1900</v>
      </c>
      <c r="I59" s="594">
        <v>8.59</v>
      </c>
      <c r="J59" s="594">
        <v>400</v>
      </c>
      <c r="K59" s="595">
        <v>3436</v>
      </c>
    </row>
    <row r="60" spans="1:11" ht="14.4" customHeight="1" x14ac:dyDescent="0.3">
      <c r="A60" s="590" t="s">
        <v>485</v>
      </c>
      <c r="B60" s="591" t="s">
        <v>1636</v>
      </c>
      <c r="C60" s="592" t="s">
        <v>490</v>
      </c>
      <c r="D60" s="593" t="s">
        <v>1637</v>
      </c>
      <c r="E60" s="592" t="s">
        <v>2273</v>
      </c>
      <c r="F60" s="593" t="s">
        <v>2274</v>
      </c>
      <c r="G60" s="592" t="s">
        <v>1797</v>
      </c>
      <c r="H60" s="592" t="s">
        <v>1798</v>
      </c>
      <c r="I60" s="594">
        <v>1.17</v>
      </c>
      <c r="J60" s="594">
        <v>20</v>
      </c>
      <c r="K60" s="595">
        <v>23.4</v>
      </c>
    </row>
    <row r="61" spans="1:11" ht="14.4" customHeight="1" x14ac:dyDescent="0.3">
      <c r="A61" s="590" t="s">
        <v>485</v>
      </c>
      <c r="B61" s="591" t="s">
        <v>1636</v>
      </c>
      <c r="C61" s="592" t="s">
        <v>490</v>
      </c>
      <c r="D61" s="593" t="s">
        <v>1637</v>
      </c>
      <c r="E61" s="592" t="s">
        <v>2273</v>
      </c>
      <c r="F61" s="593" t="s">
        <v>2274</v>
      </c>
      <c r="G61" s="592" t="s">
        <v>1901</v>
      </c>
      <c r="H61" s="592" t="s">
        <v>1902</v>
      </c>
      <c r="I61" s="594">
        <v>9.99</v>
      </c>
      <c r="J61" s="594">
        <v>30</v>
      </c>
      <c r="K61" s="595">
        <v>299.58</v>
      </c>
    </row>
    <row r="62" spans="1:11" ht="14.4" customHeight="1" x14ac:dyDescent="0.3">
      <c r="A62" s="590" t="s">
        <v>485</v>
      </c>
      <c r="B62" s="591" t="s">
        <v>1636</v>
      </c>
      <c r="C62" s="592" t="s">
        <v>490</v>
      </c>
      <c r="D62" s="593" t="s">
        <v>1637</v>
      </c>
      <c r="E62" s="592" t="s">
        <v>2273</v>
      </c>
      <c r="F62" s="593" t="s">
        <v>2274</v>
      </c>
      <c r="G62" s="592" t="s">
        <v>1903</v>
      </c>
      <c r="H62" s="592" t="s">
        <v>1904</v>
      </c>
      <c r="I62" s="594">
        <v>46.096000000000004</v>
      </c>
      <c r="J62" s="594">
        <v>8</v>
      </c>
      <c r="K62" s="595">
        <v>368.86</v>
      </c>
    </row>
    <row r="63" spans="1:11" ht="14.4" customHeight="1" x14ac:dyDescent="0.3">
      <c r="A63" s="590" t="s">
        <v>485</v>
      </c>
      <c r="B63" s="591" t="s">
        <v>1636</v>
      </c>
      <c r="C63" s="592" t="s">
        <v>490</v>
      </c>
      <c r="D63" s="593" t="s">
        <v>1637</v>
      </c>
      <c r="E63" s="592" t="s">
        <v>2273</v>
      </c>
      <c r="F63" s="593" t="s">
        <v>2274</v>
      </c>
      <c r="G63" s="592" t="s">
        <v>1905</v>
      </c>
      <c r="H63" s="592" t="s">
        <v>1906</v>
      </c>
      <c r="I63" s="594">
        <v>105.59</v>
      </c>
      <c r="J63" s="594">
        <v>14</v>
      </c>
      <c r="K63" s="595">
        <v>1478.31</v>
      </c>
    </row>
    <row r="64" spans="1:11" ht="14.4" customHeight="1" x14ac:dyDescent="0.3">
      <c r="A64" s="590" t="s">
        <v>485</v>
      </c>
      <c r="B64" s="591" t="s">
        <v>1636</v>
      </c>
      <c r="C64" s="592" t="s">
        <v>490</v>
      </c>
      <c r="D64" s="593" t="s">
        <v>1637</v>
      </c>
      <c r="E64" s="592" t="s">
        <v>2273</v>
      </c>
      <c r="F64" s="593" t="s">
        <v>2274</v>
      </c>
      <c r="G64" s="592" t="s">
        <v>1907</v>
      </c>
      <c r="H64" s="592" t="s">
        <v>1908</v>
      </c>
      <c r="I64" s="594">
        <v>30.053333333333331</v>
      </c>
      <c r="J64" s="594">
        <v>30</v>
      </c>
      <c r="K64" s="595">
        <v>901.6</v>
      </c>
    </row>
    <row r="65" spans="1:11" ht="14.4" customHeight="1" x14ac:dyDescent="0.3">
      <c r="A65" s="590" t="s">
        <v>485</v>
      </c>
      <c r="B65" s="591" t="s">
        <v>1636</v>
      </c>
      <c r="C65" s="592" t="s">
        <v>490</v>
      </c>
      <c r="D65" s="593" t="s">
        <v>1637</v>
      </c>
      <c r="E65" s="592" t="s">
        <v>2273</v>
      </c>
      <c r="F65" s="593" t="s">
        <v>2274</v>
      </c>
      <c r="G65" s="592" t="s">
        <v>1909</v>
      </c>
      <c r="H65" s="592" t="s">
        <v>1910</v>
      </c>
      <c r="I65" s="594">
        <v>122.07</v>
      </c>
      <c r="J65" s="594">
        <v>40</v>
      </c>
      <c r="K65" s="595">
        <v>4882.91</v>
      </c>
    </row>
    <row r="66" spans="1:11" ht="14.4" customHeight="1" x14ac:dyDescent="0.3">
      <c r="A66" s="590" t="s">
        <v>485</v>
      </c>
      <c r="B66" s="591" t="s">
        <v>1636</v>
      </c>
      <c r="C66" s="592" t="s">
        <v>490</v>
      </c>
      <c r="D66" s="593" t="s">
        <v>1637</v>
      </c>
      <c r="E66" s="592" t="s">
        <v>2273</v>
      </c>
      <c r="F66" s="593" t="s">
        <v>2274</v>
      </c>
      <c r="G66" s="592" t="s">
        <v>1911</v>
      </c>
      <c r="H66" s="592" t="s">
        <v>1912</v>
      </c>
      <c r="I66" s="594">
        <v>7.4975000000000005</v>
      </c>
      <c r="J66" s="594">
        <v>80</v>
      </c>
      <c r="K66" s="595">
        <v>599.67999999999995</v>
      </c>
    </row>
    <row r="67" spans="1:11" ht="14.4" customHeight="1" x14ac:dyDescent="0.3">
      <c r="A67" s="590" t="s">
        <v>485</v>
      </c>
      <c r="B67" s="591" t="s">
        <v>1636</v>
      </c>
      <c r="C67" s="592" t="s">
        <v>490</v>
      </c>
      <c r="D67" s="593" t="s">
        <v>1637</v>
      </c>
      <c r="E67" s="592" t="s">
        <v>2273</v>
      </c>
      <c r="F67" s="593" t="s">
        <v>2274</v>
      </c>
      <c r="G67" s="592" t="s">
        <v>1799</v>
      </c>
      <c r="H67" s="592" t="s">
        <v>1800</v>
      </c>
      <c r="I67" s="594">
        <v>0.85666666666666658</v>
      </c>
      <c r="J67" s="594">
        <v>1200</v>
      </c>
      <c r="K67" s="595">
        <v>1028</v>
      </c>
    </row>
    <row r="68" spans="1:11" ht="14.4" customHeight="1" x14ac:dyDescent="0.3">
      <c r="A68" s="590" t="s">
        <v>485</v>
      </c>
      <c r="B68" s="591" t="s">
        <v>1636</v>
      </c>
      <c r="C68" s="592" t="s">
        <v>490</v>
      </c>
      <c r="D68" s="593" t="s">
        <v>1637</v>
      </c>
      <c r="E68" s="592" t="s">
        <v>2273</v>
      </c>
      <c r="F68" s="593" t="s">
        <v>2274</v>
      </c>
      <c r="G68" s="592" t="s">
        <v>1801</v>
      </c>
      <c r="H68" s="592" t="s">
        <v>1802</v>
      </c>
      <c r="I68" s="594">
        <v>1.5199999999999998</v>
      </c>
      <c r="J68" s="594">
        <v>900</v>
      </c>
      <c r="K68" s="595">
        <v>1368</v>
      </c>
    </row>
    <row r="69" spans="1:11" ht="14.4" customHeight="1" x14ac:dyDescent="0.3">
      <c r="A69" s="590" t="s">
        <v>485</v>
      </c>
      <c r="B69" s="591" t="s">
        <v>1636</v>
      </c>
      <c r="C69" s="592" t="s">
        <v>490</v>
      </c>
      <c r="D69" s="593" t="s">
        <v>1637</v>
      </c>
      <c r="E69" s="592" t="s">
        <v>2273</v>
      </c>
      <c r="F69" s="593" t="s">
        <v>2274</v>
      </c>
      <c r="G69" s="592" t="s">
        <v>1913</v>
      </c>
      <c r="H69" s="592" t="s">
        <v>1914</v>
      </c>
      <c r="I69" s="594">
        <v>2.06</v>
      </c>
      <c r="J69" s="594">
        <v>400</v>
      </c>
      <c r="K69" s="595">
        <v>824</v>
      </c>
    </row>
    <row r="70" spans="1:11" ht="14.4" customHeight="1" x14ac:dyDescent="0.3">
      <c r="A70" s="590" t="s">
        <v>485</v>
      </c>
      <c r="B70" s="591" t="s">
        <v>1636</v>
      </c>
      <c r="C70" s="592" t="s">
        <v>490</v>
      </c>
      <c r="D70" s="593" t="s">
        <v>1637</v>
      </c>
      <c r="E70" s="592" t="s">
        <v>2273</v>
      </c>
      <c r="F70" s="593" t="s">
        <v>2274</v>
      </c>
      <c r="G70" s="592" t="s">
        <v>1915</v>
      </c>
      <c r="H70" s="592" t="s">
        <v>1916</v>
      </c>
      <c r="I70" s="594">
        <v>3.36</v>
      </c>
      <c r="J70" s="594">
        <v>100</v>
      </c>
      <c r="K70" s="595">
        <v>336</v>
      </c>
    </row>
    <row r="71" spans="1:11" ht="14.4" customHeight="1" x14ac:dyDescent="0.3">
      <c r="A71" s="590" t="s">
        <v>485</v>
      </c>
      <c r="B71" s="591" t="s">
        <v>1636</v>
      </c>
      <c r="C71" s="592" t="s">
        <v>490</v>
      </c>
      <c r="D71" s="593" t="s">
        <v>1637</v>
      </c>
      <c r="E71" s="592" t="s">
        <v>2273</v>
      </c>
      <c r="F71" s="593" t="s">
        <v>2274</v>
      </c>
      <c r="G71" s="592" t="s">
        <v>1917</v>
      </c>
      <c r="H71" s="592" t="s">
        <v>1918</v>
      </c>
      <c r="I71" s="594">
        <v>1253.2333333333333</v>
      </c>
      <c r="J71" s="594">
        <v>15</v>
      </c>
      <c r="K71" s="595">
        <v>18798.5</v>
      </c>
    </row>
    <row r="72" spans="1:11" ht="14.4" customHeight="1" x14ac:dyDescent="0.3">
      <c r="A72" s="590" t="s">
        <v>485</v>
      </c>
      <c r="B72" s="591" t="s">
        <v>1636</v>
      </c>
      <c r="C72" s="592" t="s">
        <v>490</v>
      </c>
      <c r="D72" s="593" t="s">
        <v>1637</v>
      </c>
      <c r="E72" s="592" t="s">
        <v>2273</v>
      </c>
      <c r="F72" s="593" t="s">
        <v>2274</v>
      </c>
      <c r="G72" s="592" t="s">
        <v>1919</v>
      </c>
      <c r="H72" s="592" t="s">
        <v>1920</v>
      </c>
      <c r="I72" s="594">
        <v>243.58</v>
      </c>
      <c r="J72" s="594">
        <v>1</v>
      </c>
      <c r="K72" s="595">
        <v>243.58</v>
      </c>
    </row>
    <row r="73" spans="1:11" ht="14.4" customHeight="1" x14ac:dyDescent="0.3">
      <c r="A73" s="590" t="s">
        <v>485</v>
      </c>
      <c r="B73" s="591" t="s">
        <v>1636</v>
      </c>
      <c r="C73" s="592" t="s">
        <v>490</v>
      </c>
      <c r="D73" s="593" t="s">
        <v>1637</v>
      </c>
      <c r="E73" s="592" t="s">
        <v>2273</v>
      </c>
      <c r="F73" s="593" t="s">
        <v>2274</v>
      </c>
      <c r="G73" s="592" t="s">
        <v>1921</v>
      </c>
      <c r="H73" s="592" t="s">
        <v>1922</v>
      </c>
      <c r="I73" s="594">
        <v>2.92</v>
      </c>
      <c r="J73" s="594">
        <v>50</v>
      </c>
      <c r="K73" s="595">
        <v>146.11000000000001</v>
      </c>
    </row>
    <row r="74" spans="1:11" ht="14.4" customHeight="1" x14ac:dyDescent="0.3">
      <c r="A74" s="590" t="s">
        <v>485</v>
      </c>
      <c r="B74" s="591" t="s">
        <v>1636</v>
      </c>
      <c r="C74" s="592" t="s">
        <v>490</v>
      </c>
      <c r="D74" s="593" t="s">
        <v>1637</v>
      </c>
      <c r="E74" s="592" t="s">
        <v>2273</v>
      </c>
      <c r="F74" s="593" t="s">
        <v>2274</v>
      </c>
      <c r="G74" s="592" t="s">
        <v>1923</v>
      </c>
      <c r="H74" s="592" t="s">
        <v>1924</v>
      </c>
      <c r="I74" s="594">
        <v>0.16</v>
      </c>
      <c r="J74" s="594">
        <v>500</v>
      </c>
      <c r="K74" s="595">
        <v>80</v>
      </c>
    </row>
    <row r="75" spans="1:11" ht="14.4" customHeight="1" x14ac:dyDescent="0.3">
      <c r="A75" s="590" t="s">
        <v>485</v>
      </c>
      <c r="B75" s="591" t="s">
        <v>1636</v>
      </c>
      <c r="C75" s="592" t="s">
        <v>490</v>
      </c>
      <c r="D75" s="593" t="s">
        <v>1637</v>
      </c>
      <c r="E75" s="592" t="s">
        <v>2273</v>
      </c>
      <c r="F75" s="593" t="s">
        <v>2274</v>
      </c>
      <c r="G75" s="592" t="s">
        <v>1925</v>
      </c>
      <c r="H75" s="592" t="s">
        <v>1926</v>
      </c>
      <c r="I75" s="594">
        <v>9.7774999999999999</v>
      </c>
      <c r="J75" s="594">
        <v>680</v>
      </c>
      <c r="K75" s="595">
        <v>6647</v>
      </c>
    </row>
    <row r="76" spans="1:11" ht="14.4" customHeight="1" x14ac:dyDescent="0.3">
      <c r="A76" s="590" t="s">
        <v>485</v>
      </c>
      <c r="B76" s="591" t="s">
        <v>1636</v>
      </c>
      <c r="C76" s="592" t="s">
        <v>490</v>
      </c>
      <c r="D76" s="593" t="s">
        <v>1637</v>
      </c>
      <c r="E76" s="592" t="s">
        <v>2273</v>
      </c>
      <c r="F76" s="593" t="s">
        <v>2274</v>
      </c>
      <c r="G76" s="592" t="s">
        <v>1927</v>
      </c>
      <c r="H76" s="592" t="s">
        <v>1928</v>
      </c>
      <c r="I76" s="594">
        <v>0.31</v>
      </c>
      <c r="J76" s="594">
        <v>20</v>
      </c>
      <c r="K76" s="595">
        <v>6.2</v>
      </c>
    </row>
    <row r="77" spans="1:11" ht="14.4" customHeight="1" x14ac:dyDescent="0.3">
      <c r="A77" s="590" t="s">
        <v>485</v>
      </c>
      <c r="B77" s="591" t="s">
        <v>1636</v>
      </c>
      <c r="C77" s="592" t="s">
        <v>490</v>
      </c>
      <c r="D77" s="593" t="s">
        <v>1637</v>
      </c>
      <c r="E77" s="592" t="s">
        <v>2273</v>
      </c>
      <c r="F77" s="593" t="s">
        <v>2274</v>
      </c>
      <c r="G77" s="592" t="s">
        <v>1929</v>
      </c>
      <c r="H77" s="592" t="s">
        <v>1930</v>
      </c>
      <c r="I77" s="594">
        <v>11.74</v>
      </c>
      <c r="J77" s="594">
        <v>1</v>
      </c>
      <c r="K77" s="595">
        <v>11.74</v>
      </c>
    </row>
    <row r="78" spans="1:11" ht="14.4" customHeight="1" x14ac:dyDescent="0.3">
      <c r="A78" s="590" t="s">
        <v>485</v>
      </c>
      <c r="B78" s="591" t="s">
        <v>1636</v>
      </c>
      <c r="C78" s="592" t="s">
        <v>490</v>
      </c>
      <c r="D78" s="593" t="s">
        <v>1637</v>
      </c>
      <c r="E78" s="592" t="s">
        <v>2273</v>
      </c>
      <c r="F78" s="593" t="s">
        <v>2274</v>
      </c>
      <c r="G78" s="592" t="s">
        <v>1931</v>
      </c>
      <c r="H78" s="592" t="s">
        <v>1932</v>
      </c>
      <c r="I78" s="594">
        <v>14.09</v>
      </c>
      <c r="J78" s="594">
        <v>1</v>
      </c>
      <c r="K78" s="595">
        <v>14.09</v>
      </c>
    </row>
    <row r="79" spans="1:11" ht="14.4" customHeight="1" x14ac:dyDescent="0.3">
      <c r="A79" s="590" t="s">
        <v>485</v>
      </c>
      <c r="B79" s="591" t="s">
        <v>1636</v>
      </c>
      <c r="C79" s="592" t="s">
        <v>490</v>
      </c>
      <c r="D79" s="593" t="s">
        <v>1637</v>
      </c>
      <c r="E79" s="592" t="s">
        <v>2273</v>
      </c>
      <c r="F79" s="593" t="s">
        <v>2274</v>
      </c>
      <c r="G79" s="592" t="s">
        <v>1933</v>
      </c>
      <c r="H79" s="592" t="s">
        <v>1934</v>
      </c>
      <c r="I79" s="594">
        <v>170.6275</v>
      </c>
      <c r="J79" s="594">
        <v>32</v>
      </c>
      <c r="K79" s="595">
        <v>5460</v>
      </c>
    </row>
    <row r="80" spans="1:11" ht="14.4" customHeight="1" x14ac:dyDescent="0.3">
      <c r="A80" s="590" t="s">
        <v>485</v>
      </c>
      <c r="B80" s="591" t="s">
        <v>1636</v>
      </c>
      <c r="C80" s="592" t="s">
        <v>490</v>
      </c>
      <c r="D80" s="593" t="s">
        <v>1637</v>
      </c>
      <c r="E80" s="592" t="s">
        <v>2273</v>
      </c>
      <c r="F80" s="593" t="s">
        <v>2274</v>
      </c>
      <c r="G80" s="592" t="s">
        <v>1935</v>
      </c>
      <c r="H80" s="592" t="s">
        <v>1936</v>
      </c>
      <c r="I80" s="594">
        <v>69</v>
      </c>
      <c r="J80" s="594">
        <v>30</v>
      </c>
      <c r="K80" s="595">
        <v>2070</v>
      </c>
    </row>
    <row r="81" spans="1:11" ht="14.4" customHeight="1" x14ac:dyDescent="0.3">
      <c r="A81" s="590" t="s">
        <v>485</v>
      </c>
      <c r="B81" s="591" t="s">
        <v>1636</v>
      </c>
      <c r="C81" s="592" t="s">
        <v>490</v>
      </c>
      <c r="D81" s="593" t="s">
        <v>1637</v>
      </c>
      <c r="E81" s="592" t="s">
        <v>2273</v>
      </c>
      <c r="F81" s="593" t="s">
        <v>2274</v>
      </c>
      <c r="G81" s="592" t="s">
        <v>1937</v>
      </c>
      <c r="H81" s="592" t="s">
        <v>1938</v>
      </c>
      <c r="I81" s="594">
        <v>7.1</v>
      </c>
      <c r="J81" s="594">
        <v>1</v>
      </c>
      <c r="K81" s="595">
        <v>7.1</v>
      </c>
    </row>
    <row r="82" spans="1:11" ht="14.4" customHeight="1" x14ac:dyDescent="0.3">
      <c r="A82" s="590" t="s">
        <v>485</v>
      </c>
      <c r="B82" s="591" t="s">
        <v>1636</v>
      </c>
      <c r="C82" s="592" t="s">
        <v>490</v>
      </c>
      <c r="D82" s="593" t="s">
        <v>1637</v>
      </c>
      <c r="E82" s="592" t="s">
        <v>2273</v>
      </c>
      <c r="F82" s="593" t="s">
        <v>2274</v>
      </c>
      <c r="G82" s="592" t="s">
        <v>1939</v>
      </c>
      <c r="H82" s="592" t="s">
        <v>1940</v>
      </c>
      <c r="I82" s="594">
        <v>8.2799999999999994</v>
      </c>
      <c r="J82" s="594">
        <v>1</v>
      </c>
      <c r="K82" s="595">
        <v>8.2799999999999994</v>
      </c>
    </row>
    <row r="83" spans="1:11" ht="14.4" customHeight="1" x14ac:dyDescent="0.3">
      <c r="A83" s="590" t="s">
        <v>485</v>
      </c>
      <c r="B83" s="591" t="s">
        <v>1636</v>
      </c>
      <c r="C83" s="592" t="s">
        <v>490</v>
      </c>
      <c r="D83" s="593" t="s">
        <v>1637</v>
      </c>
      <c r="E83" s="592" t="s">
        <v>2273</v>
      </c>
      <c r="F83" s="593" t="s">
        <v>2274</v>
      </c>
      <c r="G83" s="592" t="s">
        <v>1941</v>
      </c>
      <c r="H83" s="592" t="s">
        <v>1942</v>
      </c>
      <c r="I83" s="594">
        <v>5.92</v>
      </c>
      <c r="J83" s="594">
        <v>1</v>
      </c>
      <c r="K83" s="595">
        <v>5.92</v>
      </c>
    </row>
    <row r="84" spans="1:11" ht="14.4" customHeight="1" x14ac:dyDescent="0.3">
      <c r="A84" s="590" t="s">
        <v>485</v>
      </c>
      <c r="B84" s="591" t="s">
        <v>1636</v>
      </c>
      <c r="C84" s="592" t="s">
        <v>490</v>
      </c>
      <c r="D84" s="593" t="s">
        <v>1637</v>
      </c>
      <c r="E84" s="592" t="s">
        <v>2273</v>
      </c>
      <c r="F84" s="593" t="s">
        <v>2274</v>
      </c>
      <c r="G84" s="592" t="s">
        <v>1943</v>
      </c>
      <c r="H84" s="592" t="s">
        <v>1944</v>
      </c>
      <c r="I84" s="594">
        <v>3.8166666666666664</v>
      </c>
      <c r="J84" s="594">
        <v>18</v>
      </c>
      <c r="K84" s="595">
        <v>54.95</v>
      </c>
    </row>
    <row r="85" spans="1:11" ht="14.4" customHeight="1" x14ac:dyDescent="0.3">
      <c r="A85" s="590" t="s">
        <v>485</v>
      </c>
      <c r="B85" s="591" t="s">
        <v>1636</v>
      </c>
      <c r="C85" s="592" t="s">
        <v>490</v>
      </c>
      <c r="D85" s="593" t="s">
        <v>1637</v>
      </c>
      <c r="E85" s="592" t="s">
        <v>2273</v>
      </c>
      <c r="F85" s="593" t="s">
        <v>2274</v>
      </c>
      <c r="G85" s="592" t="s">
        <v>1945</v>
      </c>
      <c r="H85" s="592" t="s">
        <v>1946</v>
      </c>
      <c r="I85" s="594">
        <v>5.2714285714285714</v>
      </c>
      <c r="J85" s="594">
        <v>750</v>
      </c>
      <c r="K85" s="595">
        <v>3953</v>
      </c>
    </row>
    <row r="86" spans="1:11" ht="14.4" customHeight="1" x14ac:dyDescent="0.3">
      <c r="A86" s="590" t="s">
        <v>485</v>
      </c>
      <c r="B86" s="591" t="s">
        <v>1636</v>
      </c>
      <c r="C86" s="592" t="s">
        <v>490</v>
      </c>
      <c r="D86" s="593" t="s">
        <v>1637</v>
      </c>
      <c r="E86" s="592" t="s">
        <v>2273</v>
      </c>
      <c r="F86" s="593" t="s">
        <v>2274</v>
      </c>
      <c r="G86" s="592" t="s">
        <v>1947</v>
      </c>
      <c r="H86" s="592" t="s">
        <v>1948</v>
      </c>
      <c r="I86" s="594">
        <v>140.46</v>
      </c>
      <c r="J86" s="594">
        <v>2</v>
      </c>
      <c r="K86" s="595">
        <v>280.92</v>
      </c>
    </row>
    <row r="87" spans="1:11" ht="14.4" customHeight="1" x14ac:dyDescent="0.3">
      <c r="A87" s="590" t="s">
        <v>485</v>
      </c>
      <c r="B87" s="591" t="s">
        <v>1636</v>
      </c>
      <c r="C87" s="592" t="s">
        <v>490</v>
      </c>
      <c r="D87" s="593" t="s">
        <v>1637</v>
      </c>
      <c r="E87" s="592" t="s">
        <v>2273</v>
      </c>
      <c r="F87" s="593" t="s">
        <v>2274</v>
      </c>
      <c r="G87" s="592" t="s">
        <v>1949</v>
      </c>
      <c r="H87" s="592" t="s">
        <v>1950</v>
      </c>
      <c r="I87" s="594">
        <v>101.25</v>
      </c>
      <c r="J87" s="594">
        <v>20</v>
      </c>
      <c r="K87" s="595">
        <v>2025</v>
      </c>
    </row>
    <row r="88" spans="1:11" ht="14.4" customHeight="1" x14ac:dyDescent="0.3">
      <c r="A88" s="590" t="s">
        <v>485</v>
      </c>
      <c r="B88" s="591" t="s">
        <v>1636</v>
      </c>
      <c r="C88" s="592" t="s">
        <v>490</v>
      </c>
      <c r="D88" s="593" t="s">
        <v>1637</v>
      </c>
      <c r="E88" s="592" t="s">
        <v>2273</v>
      </c>
      <c r="F88" s="593" t="s">
        <v>2274</v>
      </c>
      <c r="G88" s="592" t="s">
        <v>1951</v>
      </c>
      <c r="H88" s="592" t="s">
        <v>1952</v>
      </c>
      <c r="I88" s="594">
        <v>1490.2</v>
      </c>
      <c r="J88" s="594">
        <v>5</v>
      </c>
      <c r="K88" s="595">
        <v>7451</v>
      </c>
    </row>
    <row r="89" spans="1:11" ht="14.4" customHeight="1" x14ac:dyDescent="0.3">
      <c r="A89" s="590" t="s">
        <v>485</v>
      </c>
      <c r="B89" s="591" t="s">
        <v>1636</v>
      </c>
      <c r="C89" s="592" t="s">
        <v>490</v>
      </c>
      <c r="D89" s="593" t="s">
        <v>1637</v>
      </c>
      <c r="E89" s="592" t="s">
        <v>2273</v>
      </c>
      <c r="F89" s="593" t="s">
        <v>2274</v>
      </c>
      <c r="G89" s="592" t="s">
        <v>1953</v>
      </c>
      <c r="H89" s="592" t="s">
        <v>1954</v>
      </c>
      <c r="I89" s="594">
        <v>129.94999999999999</v>
      </c>
      <c r="J89" s="594">
        <v>50</v>
      </c>
      <c r="K89" s="595">
        <v>6497.5</v>
      </c>
    </row>
    <row r="90" spans="1:11" ht="14.4" customHeight="1" x14ac:dyDescent="0.3">
      <c r="A90" s="590" t="s">
        <v>485</v>
      </c>
      <c r="B90" s="591" t="s">
        <v>1636</v>
      </c>
      <c r="C90" s="592" t="s">
        <v>490</v>
      </c>
      <c r="D90" s="593" t="s">
        <v>1637</v>
      </c>
      <c r="E90" s="592" t="s">
        <v>2273</v>
      </c>
      <c r="F90" s="593" t="s">
        <v>2274</v>
      </c>
      <c r="G90" s="592" t="s">
        <v>1955</v>
      </c>
      <c r="H90" s="592" t="s">
        <v>1956</v>
      </c>
      <c r="I90" s="594">
        <v>134.32</v>
      </c>
      <c r="J90" s="594">
        <v>15</v>
      </c>
      <c r="K90" s="595">
        <v>2014.8000000000002</v>
      </c>
    </row>
    <row r="91" spans="1:11" ht="14.4" customHeight="1" x14ac:dyDescent="0.3">
      <c r="A91" s="590" t="s">
        <v>485</v>
      </c>
      <c r="B91" s="591" t="s">
        <v>1636</v>
      </c>
      <c r="C91" s="592" t="s">
        <v>490</v>
      </c>
      <c r="D91" s="593" t="s">
        <v>1637</v>
      </c>
      <c r="E91" s="592" t="s">
        <v>2273</v>
      </c>
      <c r="F91" s="593" t="s">
        <v>2274</v>
      </c>
      <c r="G91" s="592" t="s">
        <v>1957</v>
      </c>
      <c r="H91" s="592" t="s">
        <v>1958</v>
      </c>
      <c r="I91" s="594">
        <v>0.11</v>
      </c>
      <c r="J91" s="594">
        <v>10</v>
      </c>
      <c r="K91" s="595">
        <v>1.1499999999999999</v>
      </c>
    </row>
    <row r="92" spans="1:11" ht="14.4" customHeight="1" x14ac:dyDescent="0.3">
      <c r="A92" s="590" t="s">
        <v>485</v>
      </c>
      <c r="B92" s="591" t="s">
        <v>1636</v>
      </c>
      <c r="C92" s="592" t="s">
        <v>490</v>
      </c>
      <c r="D92" s="593" t="s">
        <v>1637</v>
      </c>
      <c r="E92" s="592" t="s">
        <v>2275</v>
      </c>
      <c r="F92" s="593" t="s">
        <v>2276</v>
      </c>
      <c r="G92" s="592" t="s">
        <v>1959</v>
      </c>
      <c r="H92" s="592" t="s">
        <v>1960</v>
      </c>
      <c r="I92" s="594">
        <v>268.61999999999995</v>
      </c>
      <c r="J92" s="594">
        <v>260</v>
      </c>
      <c r="K92" s="595">
        <v>69841.200000000012</v>
      </c>
    </row>
    <row r="93" spans="1:11" ht="14.4" customHeight="1" x14ac:dyDescent="0.3">
      <c r="A93" s="590" t="s">
        <v>485</v>
      </c>
      <c r="B93" s="591" t="s">
        <v>1636</v>
      </c>
      <c r="C93" s="592" t="s">
        <v>490</v>
      </c>
      <c r="D93" s="593" t="s">
        <v>1637</v>
      </c>
      <c r="E93" s="592" t="s">
        <v>2275</v>
      </c>
      <c r="F93" s="593" t="s">
        <v>2276</v>
      </c>
      <c r="G93" s="592" t="s">
        <v>1961</v>
      </c>
      <c r="H93" s="592" t="s">
        <v>1962</v>
      </c>
      <c r="I93" s="594">
        <v>58.373333333333335</v>
      </c>
      <c r="J93" s="594">
        <v>150</v>
      </c>
      <c r="K93" s="595">
        <v>8756</v>
      </c>
    </row>
    <row r="94" spans="1:11" ht="14.4" customHeight="1" x14ac:dyDescent="0.3">
      <c r="A94" s="590" t="s">
        <v>485</v>
      </c>
      <c r="B94" s="591" t="s">
        <v>1636</v>
      </c>
      <c r="C94" s="592" t="s">
        <v>490</v>
      </c>
      <c r="D94" s="593" t="s">
        <v>1637</v>
      </c>
      <c r="E94" s="592" t="s">
        <v>2275</v>
      </c>
      <c r="F94" s="593" t="s">
        <v>2276</v>
      </c>
      <c r="G94" s="592" t="s">
        <v>1963</v>
      </c>
      <c r="H94" s="592" t="s">
        <v>1964</v>
      </c>
      <c r="I94" s="594">
        <v>5.2016666666666662</v>
      </c>
      <c r="J94" s="594">
        <v>4000</v>
      </c>
      <c r="K94" s="595">
        <v>20804</v>
      </c>
    </row>
    <row r="95" spans="1:11" ht="14.4" customHeight="1" x14ac:dyDescent="0.3">
      <c r="A95" s="590" t="s">
        <v>485</v>
      </c>
      <c r="B95" s="591" t="s">
        <v>1636</v>
      </c>
      <c r="C95" s="592" t="s">
        <v>490</v>
      </c>
      <c r="D95" s="593" t="s">
        <v>1637</v>
      </c>
      <c r="E95" s="592" t="s">
        <v>2275</v>
      </c>
      <c r="F95" s="593" t="s">
        <v>2276</v>
      </c>
      <c r="G95" s="592" t="s">
        <v>1965</v>
      </c>
      <c r="H95" s="592" t="s">
        <v>1966</v>
      </c>
      <c r="I95" s="594">
        <v>37.51</v>
      </c>
      <c r="J95" s="594">
        <v>900</v>
      </c>
      <c r="K95" s="595">
        <v>33759</v>
      </c>
    </row>
    <row r="96" spans="1:11" ht="14.4" customHeight="1" x14ac:dyDescent="0.3">
      <c r="A96" s="590" t="s">
        <v>485</v>
      </c>
      <c r="B96" s="591" t="s">
        <v>1636</v>
      </c>
      <c r="C96" s="592" t="s">
        <v>490</v>
      </c>
      <c r="D96" s="593" t="s">
        <v>1637</v>
      </c>
      <c r="E96" s="592" t="s">
        <v>2275</v>
      </c>
      <c r="F96" s="593" t="s">
        <v>2276</v>
      </c>
      <c r="G96" s="592" t="s">
        <v>1967</v>
      </c>
      <c r="H96" s="592" t="s">
        <v>1968</v>
      </c>
      <c r="I96" s="594">
        <v>0.22</v>
      </c>
      <c r="J96" s="594">
        <v>100</v>
      </c>
      <c r="K96" s="595">
        <v>22</v>
      </c>
    </row>
    <row r="97" spans="1:11" ht="14.4" customHeight="1" x14ac:dyDescent="0.3">
      <c r="A97" s="590" t="s">
        <v>485</v>
      </c>
      <c r="B97" s="591" t="s">
        <v>1636</v>
      </c>
      <c r="C97" s="592" t="s">
        <v>490</v>
      </c>
      <c r="D97" s="593" t="s">
        <v>1637</v>
      </c>
      <c r="E97" s="592" t="s">
        <v>2275</v>
      </c>
      <c r="F97" s="593" t="s">
        <v>2276</v>
      </c>
      <c r="G97" s="592" t="s">
        <v>1969</v>
      </c>
      <c r="H97" s="592" t="s">
        <v>1970</v>
      </c>
      <c r="I97" s="594">
        <v>11.1425</v>
      </c>
      <c r="J97" s="594">
        <v>1800</v>
      </c>
      <c r="K97" s="595">
        <v>20057</v>
      </c>
    </row>
    <row r="98" spans="1:11" ht="14.4" customHeight="1" x14ac:dyDescent="0.3">
      <c r="A98" s="590" t="s">
        <v>485</v>
      </c>
      <c r="B98" s="591" t="s">
        <v>1636</v>
      </c>
      <c r="C98" s="592" t="s">
        <v>490</v>
      </c>
      <c r="D98" s="593" t="s">
        <v>1637</v>
      </c>
      <c r="E98" s="592" t="s">
        <v>2275</v>
      </c>
      <c r="F98" s="593" t="s">
        <v>2276</v>
      </c>
      <c r="G98" s="592" t="s">
        <v>1971</v>
      </c>
      <c r="H98" s="592" t="s">
        <v>1972</v>
      </c>
      <c r="I98" s="594">
        <v>16.29</v>
      </c>
      <c r="J98" s="594">
        <v>3</v>
      </c>
      <c r="K98" s="595">
        <v>48.87</v>
      </c>
    </row>
    <row r="99" spans="1:11" ht="14.4" customHeight="1" x14ac:dyDescent="0.3">
      <c r="A99" s="590" t="s">
        <v>485</v>
      </c>
      <c r="B99" s="591" t="s">
        <v>1636</v>
      </c>
      <c r="C99" s="592" t="s">
        <v>490</v>
      </c>
      <c r="D99" s="593" t="s">
        <v>1637</v>
      </c>
      <c r="E99" s="592" t="s">
        <v>2275</v>
      </c>
      <c r="F99" s="593" t="s">
        <v>2276</v>
      </c>
      <c r="G99" s="592" t="s">
        <v>1973</v>
      </c>
      <c r="H99" s="592" t="s">
        <v>1974</v>
      </c>
      <c r="I99" s="594">
        <v>33.983333333333334</v>
      </c>
      <c r="J99" s="594">
        <v>11</v>
      </c>
      <c r="K99" s="595">
        <v>382.73</v>
      </c>
    </row>
    <row r="100" spans="1:11" ht="14.4" customHeight="1" x14ac:dyDescent="0.3">
      <c r="A100" s="590" t="s">
        <v>485</v>
      </c>
      <c r="B100" s="591" t="s">
        <v>1636</v>
      </c>
      <c r="C100" s="592" t="s">
        <v>490</v>
      </c>
      <c r="D100" s="593" t="s">
        <v>1637</v>
      </c>
      <c r="E100" s="592" t="s">
        <v>2275</v>
      </c>
      <c r="F100" s="593" t="s">
        <v>2276</v>
      </c>
      <c r="G100" s="592" t="s">
        <v>1807</v>
      </c>
      <c r="H100" s="592" t="s">
        <v>1808</v>
      </c>
      <c r="I100" s="594">
        <v>0.93374999999999986</v>
      </c>
      <c r="J100" s="594">
        <v>13500</v>
      </c>
      <c r="K100" s="595">
        <v>12611.24</v>
      </c>
    </row>
    <row r="101" spans="1:11" ht="14.4" customHeight="1" x14ac:dyDescent="0.3">
      <c r="A101" s="590" t="s">
        <v>485</v>
      </c>
      <c r="B101" s="591" t="s">
        <v>1636</v>
      </c>
      <c r="C101" s="592" t="s">
        <v>490</v>
      </c>
      <c r="D101" s="593" t="s">
        <v>1637</v>
      </c>
      <c r="E101" s="592" t="s">
        <v>2275</v>
      </c>
      <c r="F101" s="593" t="s">
        <v>2276</v>
      </c>
      <c r="G101" s="592" t="s">
        <v>1809</v>
      </c>
      <c r="H101" s="592" t="s">
        <v>1810</v>
      </c>
      <c r="I101" s="594">
        <v>1.4328571428571428</v>
      </c>
      <c r="J101" s="594">
        <v>10000</v>
      </c>
      <c r="K101" s="595">
        <v>14330</v>
      </c>
    </row>
    <row r="102" spans="1:11" ht="14.4" customHeight="1" x14ac:dyDescent="0.3">
      <c r="A102" s="590" t="s">
        <v>485</v>
      </c>
      <c r="B102" s="591" t="s">
        <v>1636</v>
      </c>
      <c r="C102" s="592" t="s">
        <v>490</v>
      </c>
      <c r="D102" s="593" t="s">
        <v>1637</v>
      </c>
      <c r="E102" s="592" t="s">
        <v>2275</v>
      </c>
      <c r="F102" s="593" t="s">
        <v>2276</v>
      </c>
      <c r="G102" s="592" t="s">
        <v>1975</v>
      </c>
      <c r="H102" s="592" t="s">
        <v>1976</v>
      </c>
      <c r="I102" s="594">
        <v>0.41749999999999998</v>
      </c>
      <c r="J102" s="594">
        <v>6800</v>
      </c>
      <c r="K102" s="595">
        <v>2836</v>
      </c>
    </row>
    <row r="103" spans="1:11" ht="14.4" customHeight="1" x14ac:dyDescent="0.3">
      <c r="A103" s="590" t="s">
        <v>485</v>
      </c>
      <c r="B103" s="591" t="s">
        <v>1636</v>
      </c>
      <c r="C103" s="592" t="s">
        <v>490</v>
      </c>
      <c r="D103" s="593" t="s">
        <v>1637</v>
      </c>
      <c r="E103" s="592" t="s">
        <v>2275</v>
      </c>
      <c r="F103" s="593" t="s">
        <v>2276</v>
      </c>
      <c r="G103" s="592" t="s">
        <v>1977</v>
      </c>
      <c r="H103" s="592" t="s">
        <v>1978</v>
      </c>
      <c r="I103" s="594">
        <v>0.58666666666666656</v>
      </c>
      <c r="J103" s="594">
        <v>4000</v>
      </c>
      <c r="K103" s="595">
        <v>2360</v>
      </c>
    </row>
    <row r="104" spans="1:11" ht="14.4" customHeight="1" x14ac:dyDescent="0.3">
      <c r="A104" s="590" t="s">
        <v>485</v>
      </c>
      <c r="B104" s="591" t="s">
        <v>1636</v>
      </c>
      <c r="C104" s="592" t="s">
        <v>490</v>
      </c>
      <c r="D104" s="593" t="s">
        <v>1637</v>
      </c>
      <c r="E104" s="592" t="s">
        <v>2275</v>
      </c>
      <c r="F104" s="593" t="s">
        <v>2276</v>
      </c>
      <c r="G104" s="592" t="s">
        <v>1979</v>
      </c>
      <c r="H104" s="592" t="s">
        <v>1980</v>
      </c>
      <c r="I104" s="594">
        <v>3.1349999999999998</v>
      </c>
      <c r="J104" s="594">
        <v>1100</v>
      </c>
      <c r="K104" s="595">
        <v>3448</v>
      </c>
    </row>
    <row r="105" spans="1:11" ht="14.4" customHeight="1" x14ac:dyDescent="0.3">
      <c r="A105" s="590" t="s">
        <v>485</v>
      </c>
      <c r="B105" s="591" t="s">
        <v>1636</v>
      </c>
      <c r="C105" s="592" t="s">
        <v>490</v>
      </c>
      <c r="D105" s="593" t="s">
        <v>1637</v>
      </c>
      <c r="E105" s="592" t="s">
        <v>2275</v>
      </c>
      <c r="F105" s="593" t="s">
        <v>2276</v>
      </c>
      <c r="G105" s="592" t="s">
        <v>1981</v>
      </c>
      <c r="H105" s="592" t="s">
        <v>1982</v>
      </c>
      <c r="I105" s="594">
        <v>6.19</v>
      </c>
      <c r="J105" s="594">
        <v>10</v>
      </c>
      <c r="K105" s="595">
        <v>61.9</v>
      </c>
    </row>
    <row r="106" spans="1:11" ht="14.4" customHeight="1" x14ac:dyDescent="0.3">
      <c r="A106" s="590" t="s">
        <v>485</v>
      </c>
      <c r="B106" s="591" t="s">
        <v>1636</v>
      </c>
      <c r="C106" s="592" t="s">
        <v>490</v>
      </c>
      <c r="D106" s="593" t="s">
        <v>1637</v>
      </c>
      <c r="E106" s="592" t="s">
        <v>2275</v>
      </c>
      <c r="F106" s="593" t="s">
        <v>2276</v>
      </c>
      <c r="G106" s="592" t="s">
        <v>1983</v>
      </c>
      <c r="H106" s="592" t="s">
        <v>1984</v>
      </c>
      <c r="I106" s="594">
        <v>23.350000000000005</v>
      </c>
      <c r="J106" s="594">
        <v>120</v>
      </c>
      <c r="K106" s="595">
        <v>2802.36</v>
      </c>
    </row>
    <row r="107" spans="1:11" ht="14.4" customHeight="1" x14ac:dyDescent="0.3">
      <c r="A107" s="590" t="s">
        <v>485</v>
      </c>
      <c r="B107" s="591" t="s">
        <v>1636</v>
      </c>
      <c r="C107" s="592" t="s">
        <v>490</v>
      </c>
      <c r="D107" s="593" t="s">
        <v>1637</v>
      </c>
      <c r="E107" s="592" t="s">
        <v>2275</v>
      </c>
      <c r="F107" s="593" t="s">
        <v>2276</v>
      </c>
      <c r="G107" s="592" t="s">
        <v>1985</v>
      </c>
      <c r="H107" s="592" t="s">
        <v>1986</v>
      </c>
      <c r="I107" s="594">
        <v>6.3</v>
      </c>
      <c r="J107" s="594">
        <v>10</v>
      </c>
      <c r="K107" s="595">
        <v>63</v>
      </c>
    </row>
    <row r="108" spans="1:11" ht="14.4" customHeight="1" x14ac:dyDescent="0.3">
      <c r="A108" s="590" t="s">
        <v>485</v>
      </c>
      <c r="B108" s="591" t="s">
        <v>1636</v>
      </c>
      <c r="C108" s="592" t="s">
        <v>490</v>
      </c>
      <c r="D108" s="593" t="s">
        <v>1637</v>
      </c>
      <c r="E108" s="592" t="s">
        <v>2275</v>
      </c>
      <c r="F108" s="593" t="s">
        <v>2276</v>
      </c>
      <c r="G108" s="592" t="s">
        <v>1987</v>
      </c>
      <c r="H108" s="592" t="s">
        <v>1988</v>
      </c>
      <c r="I108" s="594">
        <v>6.29</v>
      </c>
      <c r="J108" s="594">
        <v>10</v>
      </c>
      <c r="K108" s="595">
        <v>62.9</v>
      </c>
    </row>
    <row r="109" spans="1:11" ht="14.4" customHeight="1" x14ac:dyDescent="0.3">
      <c r="A109" s="590" t="s">
        <v>485</v>
      </c>
      <c r="B109" s="591" t="s">
        <v>1636</v>
      </c>
      <c r="C109" s="592" t="s">
        <v>490</v>
      </c>
      <c r="D109" s="593" t="s">
        <v>1637</v>
      </c>
      <c r="E109" s="592" t="s">
        <v>2275</v>
      </c>
      <c r="F109" s="593" t="s">
        <v>2276</v>
      </c>
      <c r="G109" s="592" t="s">
        <v>1989</v>
      </c>
      <c r="H109" s="592" t="s">
        <v>1990</v>
      </c>
      <c r="I109" s="594">
        <v>6.1550000000000011</v>
      </c>
      <c r="J109" s="594">
        <v>600</v>
      </c>
      <c r="K109" s="595">
        <v>3701</v>
      </c>
    </row>
    <row r="110" spans="1:11" ht="14.4" customHeight="1" x14ac:dyDescent="0.3">
      <c r="A110" s="590" t="s">
        <v>485</v>
      </c>
      <c r="B110" s="591" t="s">
        <v>1636</v>
      </c>
      <c r="C110" s="592" t="s">
        <v>490</v>
      </c>
      <c r="D110" s="593" t="s">
        <v>1637</v>
      </c>
      <c r="E110" s="592" t="s">
        <v>2275</v>
      </c>
      <c r="F110" s="593" t="s">
        <v>2276</v>
      </c>
      <c r="G110" s="592" t="s">
        <v>1991</v>
      </c>
      <c r="H110" s="592" t="s">
        <v>1992</v>
      </c>
      <c r="I110" s="594">
        <v>203.76</v>
      </c>
      <c r="J110" s="594">
        <v>30</v>
      </c>
      <c r="K110" s="595">
        <v>6112.8</v>
      </c>
    </row>
    <row r="111" spans="1:11" ht="14.4" customHeight="1" x14ac:dyDescent="0.3">
      <c r="A111" s="590" t="s">
        <v>485</v>
      </c>
      <c r="B111" s="591" t="s">
        <v>1636</v>
      </c>
      <c r="C111" s="592" t="s">
        <v>490</v>
      </c>
      <c r="D111" s="593" t="s">
        <v>1637</v>
      </c>
      <c r="E111" s="592" t="s">
        <v>2275</v>
      </c>
      <c r="F111" s="593" t="s">
        <v>2276</v>
      </c>
      <c r="G111" s="592" t="s">
        <v>1993</v>
      </c>
      <c r="H111" s="592" t="s">
        <v>1994</v>
      </c>
      <c r="I111" s="594">
        <v>79.877499999999984</v>
      </c>
      <c r="J111" s="594">
        <v>340</v>
      </c>
      <c r="K111" s="595">
        <v>27255.8</v>
      </c>
    </row>
    <row r="112" spans="1:11" ht="14.4" customHeight="1" x14ac:dyDescent="0.3">
      <c r="A112" s="590" t="s">
        <v>485</v>
      </c>
      <c r="B112" s="591" t="s">
        <v>1636</v>
      </c>
      <c r="C112" s="592" t="s">
        <v>490</v>
      </c>
      <c r="D112" s="593" t="s">
        <v>1637</v>
      </c>
      <c r="E112" s="592" t="s">
        <v>2275</v>
      </c>
      <c r="F112" s="593" t="s">
        <v>2276</v>
      </c>
      <c r="G112" s="592" t="s">
        <v>1995</v>
      </c>
      <c r="H112" s="592" t="s">
        <v>1996</v>
      </c>
      <c r="I112" s="594">
        <v>35.01</v>
      </c>
      <c r="J112" s="594">
        <v>10</v>
      </c>
      <c r="K112" s="595">
        <v>350.06</v>
      </c>
    </row>
    <row r="113" spans="1:11" ht="14.4" customHeight="1" x14ac:dyDescent="0.3">
      <c r="A113" s="590" t="s">
        <v>485</v>
      </c>
      <c r="B113" s="591" t="s">
        <v>1636</v>
      </c>
      <c r="C113" s="592" t="s">
        <v>490</v>
      </c>
      <c r="D113" s="593" t="s">
        <v>1637</v>
      </c>
      <c r="E113" s="592" t="s">
        <v>2275</v>
      </c>
      <c r="F113" s="593" t="s">
        <v>2276</v>
      </c>
      <c r="G113" s="592" t="s">
        <v>1997</v>
      </c>
      <c r="H113" s="592" t="s">
        <v>1998</v>
      </c>
      <c r="I113" s="594">
        <v>5.5639999999999992</v>
      </c>
      <c r="J113" s="594">
        <v>1000</v>
      </c>
      <c r="K113" s="595">
        <v>5564</v>
      </c>
    </row>
    <row r="114" spans="1:11" ht="14.4" customHeight="1" x14ac:dyDescent="0.3">
      <c r="A114" s="590" t="s">
        <v>485</v>
      </c>
      <c r="B114" s="591" t="s">
        <v>1636</v>
      </c>
      <c r="C114" s="592" t="s">
        <v>490</v>
      </c>
      <c r="D114" s="593" t="s">
        <v>1637</v>
      </c>
      <c r="E114" s="592" t="s">
        <v>2275</v>
      </c>
      <c r="F114" s="593" t="s">
        <v>2276</v>
      </c>
      <c r="G114" s="592" t="s">
        <v>1999</v>
      </c>
      <c r="H114" s="592" t="s">
        <v>2000</v>
      </c>
      <c r="I114" s="594">
        <v>102.85</v>
      </c>
      <c r="J114" s="594">
        <v>60</v>
      </c>
      <c r="K114" s="595">
        <v>6171</v>
      </c>
    </row>
    <row r="115" spans="1:11" ht="14.4" customHeight="1" x14ac:dyDescent="0.3">
      <c r="A115" s="590" t="s">
        <v>485</v>
      </c>
      <c r="B115" s="591" t="s">
        <v>1636</v>
      </c>
      <c r="C115" s="592" t="s">
        <v>490</v>
      </c>
      <c r="D115" s="593" t="s">
        <v>1637</v>
      </c>
      <c r="E115" s="592" t="s">
        <v>2275</v>
      </c>
      <c r="F115" s="593" t="s">
        <v>2276</v>
      </c>
      <c r="G115" s="592" t="s">
        <v>2001</v>
      </c>
      <c r="H115" s="592" t="s">
        <v>2002</v>
      </c>
      <c r="I115" s="594">
        <v>106.58999999999999</v>
      </c>
      <c r="J115" s="594">
        <v>50</v>
      </c>
      <c r="K115" s="595">
        <v>5329.5</v>
      </c>
    </row>
    <row r="116" spans="1:11" ht="14.4" customHeight="1" x14ac:dyDescent="0.3">
      <c r="A116" s="590" t="s">
        <v>485</v>
      </c>
      <c r="B116" s="591" t="s">
        <v>1636</v>
      </c>
      <c r="C116" s="592" t="s">
        <v>490</v>
      </c>
      <c r="D116" s="593" t="s">
        <v>1637</v>
      </c>
      <c r="E116" s="592" t="s">
        <v>2275</v>
      </c>
      <c r="F116" s="593" t="s">
        <v>2276</v>
      </c>
      <c r="G116" s="592" t="s">
        <v>2003</v>
      </c>
      <c r="H116" s="592" t="s">
        <v>2004</v>
      </c>
      <c r="I116" s="594">
        <v>195.14</v>
      </c>
      <c r="J116" s="594">
        <v>5</v>
      </c>
      <c r="K116" s="595">
        <v>975.7</v>
      </c>
    </row>
    <row r="117" spans="1:11" ht="14.4" customHeight="1" x14ac:dyDescent="0.3">
      <c r="A117" s="590" t="s">
        <v>485</v>
      </c>
      <c r="B117" s="591" t="s">
        <v>1636</v>
      </c>
      <c r="C117" s="592" t="s">
        <v>490</v>
      </c>
      <c r="D117" s="593" t="s">
        <v>1637</v>
      </c>
      <c r="E117" s="592" t="s">
        <v>2275</v>
      </c>
      <c r="F117" s="593" t="s">
        <v>2276</v>
      </c>
      <c r="G117" s="592" t="s">
        <v>2005</v>
      </c>
      <c r="H117" s="592" t="s">
        <v>2006</v>
      </c>
      <c r="I117" s="594">
        <v>172.76999999999998</v>
      </c>
      <c r="J117" s="594">
        <v>36</v>
      </c>
      <c r="K117" s="595">
        <v>6219.7199999999993</v>
      </c>
    </row>
    <row r="118" spans="1:11" ht="14.4" customHeight="1" x14ac:dyDescent="0.3">
      <c r="A118" s="590" t="s">
        <v>485</v>
      </c>
      <c r="B118" s="591" t="s">
        <v>1636</v>
      </c>
      <c r="C118" s="592" t="s">
        <v>490</v>
      </c>
      <c r="D118" s="593" t="s">
        <v>1637</v>
      </c>
      <c r="E118" s="592" t="s">
        <v>2275</v>
      </c>
      <c r="F118" s="593" t="s">
        <v>2276</v>
      </c>
      <c r="G118" s="592" t="s">
        <v>2007</v>
      </c>
      <c r="H118" s="592" t="s">
        <v>2008</v>
      </c>
      <c r="I118" s="594">
        <v>19.505000000000003</v>
      </c>
      <c r="J118" s="594">
        <v>100</v>
      </c>
      <c r="K118" s="595">
        <v>1950.5</v>
      </c>
    </row>
    <row r="119" spans="1:11" ht="14.4" customHeight="1" x14ac:dyDescent="0.3">
      <c r="A119" s="590" t="s">
        <v>485</v>
      </c>
      <c r="B119" s="591" t="s">
        <v>1636</v>
      </c>
      <c r="C119" s="592" t="s">
        <v>490</v>
      </c>
      <c r="D119" s="593" t="s">
        <v>1637</v>
      </c>
      <c r="E119" s="592" t="s">
        <v>2275</v>
      </c>
      <c r="F119" s="593" t="s">
        <v>2276</v>
      </c>
      <c r="G119" s="592" t="s">
        <v>2009</v>
      </c>
      <c r="H119" s="592" t="s">
        <v>2010</v>
      </c>
      <c r="I119" s="594">
        <v>8.9600000000000009</v>
      </c>
      <c r="J119" s="594">
        <v>10</v>
      </c>
      <c r="K119" s="595">
        <v>89.6</v>
      </c>
    </row>
    <row r="120" spans="1:11" ht="14.4" customHeight="1" x14ac:dyDescent="0.3">
      <c r="A120" s="590" t="s">
        <v>485</v>
      </c>
      <c r="B120" s="591" t="s">
        <v>1636</v>
      </c>
      <c r="C120" s="592" t="s">
        <v>490</v>
      </c>
      <c r="D120" s="593" t="s">
        <v>1637</v>
      </c>
      <c r="E120" s="592" t="s">
        <v>2275</v>
      </c>
      <c r="F120" s="593" t="s">
        <v>2276</v>
      </c>
      <c r="G120" s="592" t="s">
        <v>2011</v>
      </c>
      <c r="H120" s="592" t="s">
        <v>2012</v>
      </c>
      <c r="I120" s="594">
        <v>1.8050000000000002</v>
      </c>
      <c r="J120" s="594">
        <v>20</v>
      </c>
      <c r="K120" s="595">
        <v>36.1</v>
      </c>
    </row>
    <row r="121" spans="1:11" ht="14.4" customHeight="1" x14ac:dyDescent="0.3">
      <c r="A121" s="590" t="s">
        <v>485</v>
      </c>
      <c r="B121" s="591" t="s">
        <v>1636</v>
      </c>
      <c r="C121" s="592" t="s">
        <v>490</v>
      </c>
      <c r="D121" s="593" t="s">
        <v>1637</v>
      </c>
      <c r="E121" s="592" t="s">
        <v>2275</v>
      </c>
      <c r="F121" s="593" t="s">
        <v>2276</v>
      </c>
      <c r="G121" s="592" t="s">
        <v>2013</v>
      </c>
      <c r="H121" s="592" t="s">
        <v>2014</v>
      </c>
      <c r="I121" s="594">
        <v>14.45</v>
      </c>
      <c r="J121" s="594">
        <v>100</v>
      </c>
      <c r="K121" s="595">
        <v>1445.42</v>
      </c>
    </row>
    <row r="122" spans="1:11" ht="14.4" customHeight="1" x14ac:dyDescent="0.3">
      <c r="A122" s="590" t="s">
        <v>485</v>
      </c>
      <c r="B122" s="591" t="s">
        <v>1636</v>
      </c>
      <c r="C122" s="592" t="s">
        <v>490</v>
      </c>
      <c r="D122" s="593" t="s">
        <v>1637</v>
      </c>
      <c r="E122" s="592" t="s">
        <v>2275</v>
      </c>
      <c r="F122" s="593" t="s">
        <v>2276</v>
      </c>
      <c r="G122" s="592" t="s">
        <v>2015</v>
      </c>
      <c r="H122" s="592" t="s">
        <v>2016</v>
      </c>
      <c r="I122" s="594">
        <v>23.477142857142859</v>
      </c>
      <c r="J122" s="594">
        <v>360</v>
      </c>
      <c r="K122" s="595">
        <v>8451.9</v>
      </c>
    </row>
    <row r="123" spans="1:11" ht="14.4" customHeight="1" x14ac:dyDescent="0.3">
      <c r="A123" s="590" t="s">
        <v>485</v>
      </c>
      <c r="B123" s="591" t="s">
        <v>1636</v>
      </c>
      <c r="C123" s="592" t="s">
        <v>490</v>
      </c>
      <c r="D123" s="593" t="s">
        <v>1637</v>
      </c>
      <c r="E123" s="592" t="s">
        <v>2275</v>
      </c>
      <c r="F123" s="593" t="s">
        <v>2276</v>
      </c>
      <c r="G123" s="592" t="s">
        <v>2017</v>
      </c>
      <c r="H123" s="592" t="s">
        <v>2018</v>
      </c>
      <c r="I123" s="594">
        <v>1.8</v>
      </c>
      <c r="J123" s="594">
        <v>100</v>
      </c>
      <c r="K123" s="595">
        <v>180</v>
      </c>
    </row>
    <row r="124" spans="1:11" ht="14.4" customHeight="1" x14ac:dyDescent="0.3">
      <c r="A124" s="590" t="s">
        <v>485</v>
      </c>
      <c r="B124" s="591" t="s">
        <v>1636</v>
      </c>
      <c r="C124" s="592" t="s">
        <v>490</v>
      </c>
      <c r="D124" s="593" t="s">
        <v>1637</v>
      </c>
      <c r="E124" s="592" t="s">
        <v>2275</v>
      </c>
      <c r="F124" s="593" t="s">
        <v>2276</v>
      </c>
      <c r="G124" s="592" t="s">
        <v>2019</v>
      </c>
      <c r="H124" s="592" t="s">
        <v>2020</v>
      </c>
      <c r="I124" s="594">
        <v>1.8199999999999998</v>
      </c>
      <c r="J124" s="594">
        <v>2300</v>
      </c>
      <c r="K124" s="595">
        <v>4164</v>
      </c>
    </row>
    <row r="125" spans="1:11" ht="14.4" customHeight="1" x14ac:dyDescent="0.3">
      <c r="A125" s="590" t="s">
        <v>485</v>
      </c>
      <c r="B125" s="591" t="s">
        <v>1636</v>
      </c>
      <c r="C125" s="592" t="s">
        <v>490</v>
      </c>
      <c r="D125" s="593" t="s">
        <v>1637</v>
      </c>
      <c r="E125" s="592" t="s">
        <v>2275</v>
      </c>
      <c r="F125" s="593" t="s">
        <v>2276</v>
      </c>
      <c r="G125" s="592" t="s">
        <v>2021</v>
      </c>
      <c r="H125" s="592" t="s">
        <v>2022</v>
      </c>
      <c r="I125" s="594">
        <v>1.78</v>
      </c>
      <c r="J125" s="594">
        <v>150</v>
      </c>
      <c r="K125" s="595">
        <v>266</v>
      </c>
    </row>
    <row r="126" spans="1:11" ht="14.4" customHeight="1" x14ac:dyDescent="0.3">
      <c r="A126" s="590" t="s">
        <v>485</v>
      </c>
      <c r="B126" s="591" t="s">
        <v>1636</v>
      </c>
      <c r="C126" s="592" t="s">
        <v>490</v>
      </c>
      <c r="D126" s="593" t="s">
        <v>1637</v>
      </c>
      <c r="E126" s="592" t="s">
        <v>2275</v>
      </c>
      <c r="F126" s="593" t="s">
        <v>2276</v>
      </c>
      <c r="G126" s="592" t="s">
        <v>2023</v>
      </c>
      <c r="H126" s="592" t="s">
        <v>2024</v>
      </c>
      <c r="I126" s="594">
        <v>2.86</v>
      </c>
      <c r="J126" s="594">
        <v>700</v>
      </c>
      <c r="K126" s="595">
        <v>1991</v>
      </c>
    </row>
    <row r="127" spans="1:11" ht="14.4" customHeight="1" x14ac:dyDescent="0.3">
      <c r="A127" s="590" t="s">
        <v>485</v>
      </c>
      <c r="B127" s="591" t="s">
        <v>1636</v>
      </c>
      <c r="C127" s="592" t="s">
        <v>490</v>
      </c>
      <c r="D127" s="593" t="s">
        <v>1637</v>
      </c>
      <c r="E127" s="592" t="s">
        <v>2275</v>
      </c>
      <c r="F127" s="593" t="s">
        <v>2276</v>
      </c>
      <c r="G127" s="592" t="s">
        <v>2025</v>
      </c>
      <c r="H127" s="592" t="s">
        <v>2026</v>
      </c>
      <c r="I127" s="594">
        <v>1.7900000000000003</v>
      </c>
      <c r="J127" s="594">
        <v>250</v>
      </c>
      <c r="K127" s="595">
        <v>446</v>
      </c>
    </row>
    <row r="128" spans="1:11" ht="14.4" customHeight="1" x14ac:dyDescent="0.3">
      <c r="A128" s="590" t="s">
        <v>485</v>
      </c>
      <c r="B128" s="591" t="s">
        <v>1636</v>
      </c>
      <c r="C128" s="592" t="s">
        <v>490</v>
      </c>
      <c r="D128" s="593" t="s">
        <v>1637</v>
      </c>
      <c r="E128" s="592" t="s">
        <v>2275</v>
      </c>
      <c r="F128" s="593" t="s">
        <v>2276</v>
      </c>
      <c r="G128" s="592" t="s">
        <v>2027</v>
      </c>
      <c r="H128" s="592" t="s">
        <v>2028</v>
      </c>
      <c r="I128" s="594">
        <v>2.4300000000000002</v>
      </c>
      <c r="J128" s="594">
        <v>100</v>
      </c>
      <c r="K128" s="595">
        <v>243</v>
      </c>
    </row>
    <row r="129" spans="1:11" ht="14.4" customHeight="1" x14ac:dyDescent="0.3">
      <c r="A129" s="590" t="s">
        <v>485</v>
      </c>
      <c r="B129" s="591" t="s">
        <v>1636</v>
      </c>
      <c r="C129" s="592" t="s">
        <v>490</v>
      </c>
      <c r="D129" s="593" t="s">
        <v>1637</v>
      </c>
      <c r="E129" s="592" t="s">
        <v>2275</v>
      </c>
      <c r="F129" s="593" t="s">
        <v>2276</v>
      </c>
      <c r="G129" s="592" t="s">
        <v>2029</v>
      </c>
      <c r="H129" s="592" t="s">
        <v>2030</v>
      </c>
      <c r="I129" s="594">
        <v>1.75</v>
      </c>
      <c r="J129" s="594">
        <v>200</v>
      </c>
      <c r="K129" s="595">
        <v>350</v>
      </c>
    </row>
    <row r="130" spans="1:11" ht="14.4" customHeight="1" x14ac:dyDescent="0.3">
      <c r="A130" s="590" t="s">
        <v>485</v>
      </c>
      <c r="B130" s="591" t="s">
        <v>1636</v>
      </c>
      <c r="C130" s="592" t="s">
        <v>490</v>
      </c>
      <c r="D130" s="593" t="s">
        <v>1637</v>
      </c>
      <c r="E130" s="592" t="s">
        <v>2275</v>
      </c>
      <c r="F130" s="593" t="s">
        <v>2276</v>
      </c>
      <c r="G130" s="592" t="s">
        <v>2031</v>
      </c>
      <c r="H130" s="592" t="s">
        <v>2032</v>
      </c>
      <c r="I130" s="594">
        <v>4.8125</v>
      </c>
      <c r="J130" s="594">
        <v>3000</v>
      </c>
      <c r="K130" s="595">
        <v>14437</v>
      </c>
    </row>
    <row r="131" spans="1:11" ht="14.4" customHeight="1" x14ac:dyDescent="0.3">
      <c r="A131" s="590" t="s">
        <v>485</v>
      </c>
      <c r="B131" s="591" t="s">
        <v>1636</v>
      </c>
      <c r="C131" s="592" t="s">
        <v>490</v>
      </c>
      <c r="D131" s="593" t="s">
        <v>1637</v>
      </c>
      <c r="E131" s="592" t="s">
        <v>2275</v>
      </c>
      <c r="F131" s="593" t="s">
        <v>2276</v>
      </c>
      <c r="G131" s="592" t="s">
        <v>2033</v>
      </c>
      <c r="H131" s="592" t="s">
        <v>2034</v>
      </c>
      <c r="I131" s="594">
        <v>1.4999999999999999E-2</v>
      </c>
      <c r="J131" s="594">
        <v>40</v>
      </c>
      <c r="K131" s="595">
        <v>0.60000000000000009</v>
      </c>
    </row>
    <row r="132" spans="1:11" ht="14.4" customHeight="1" x14ac:dyDescent="0.3">
      <c r="A132" s="590" t="s">
        <v>485</v>
      </c>
      <c r="B132" s="591" t="s">
        <v>1636</v>
      </c>
      <c r="C132" s="592" t="s">
        <v>490</v>
      </c>
      <c r="D132" s="593" t="s">
        <v>1637</v>
      </c>
      <c r="E132" s="592" t="s">
        <v>2275</v>
      </c>
      <c r="F132" s="593" t="s">
        <v>2276</v>
      </c>
      <c r="G132" s="592" t="s">
        <v>2035</v>
      </c>
      <c r="H132" s="592" t="s">
        <v>2036</v>
      </c>
      <c r="I132" s="594">
        <v>1.99</v>
      </c>
      <c r="J132" s="594">
        <v>50</v>
      </c>
      <c r="K132" s="595">
        <v>99.5</v>
      </c>
    </row>
    <row r="133" spans="1:11" ht="14.4" customHeight="1" x14ac:dyDescent="0.3">
      <c r="A133" s="590" t="s">
        <v>485</v>
      </c>
      <c r="B133" s="591" t="s">
        <v>1636</v>
      </c>
      <c r="C133" s="592" t="s">
        <v>490</v>
      </c>
      <c r="D133" s="593" t="s">
        <v>1637</v>
      </c>
      <c r="E133" s="592" t="s">
        <v>2275</v>
      </c>
      <c r="F133" s="593" t="s">
        <v>2276</v>
      </c>
      <c r="G133" s="592" t="s">
        <v>2037</v>
      </c>
      <c r="H133" s="592" t="s">
        <v>2038</v>
      </c>
      <c r="I133" s="594">
        <v>2.8183333333333334</v>
      </c>
      <c r="J133" s="594">
        <v>1050</v>
      </c>
      <c r="K133" s="595">
        <v>2960.5</v>
      </c>
    </row>
    <row r="134" spans="1:11" ht="14.4" customHeight="1" x14ac:dyDescent="0.3">
      <c r="A134" s="590" t="s">
        <v>485</v>
      </c>
      <c r="B134" s="591" t="s">
        <v>1636</v>
      </c>
      <c r="C134" s="592" t="s">
        <v>490</v>
      </c>
      <c r="D134" s="593" t="s">
        <v>1637</v>
      </c>
      <c r="E134" s="592" t="s">
        <v>2275</v>
      </c>
      <c r="F134" s="593" t="s">
        <v>2276</v>
      </c>
      <c r="G134" s="592" t="s">
        <v>2039</v>
      </c>
      <c r="H134" s="592" t="s">
        <v>2040</v>
      </c>
      <c r="I134" s="594">
        <v>2.02</v>
      </c>
      <c r="J134" s="594">
        <v>1000</v>
      </c>
      <c r="K134" s="595">
        <v>2016</v>
      </c>
    </row>
    <row r="135" spans="1:11" ht="14.4" customHeight="1" x14ac:dyDescent="0.3">
      <c r="A135" s="590" t="s">
        <v>485</v>
      </c>
      <c r="B135" s="591" t="s">
        <v>1636</v>
      </c>
      <c r="C135" s="592" t="s">
        <v>490</v>
      </c>
      <c r="D135" s="593" t="s">
        <v>1637</v>
      </c>
      <c r="E135" s="592" t="s">
        <v>2275</v>
      </c>
      <c r="F135" s="593" t="s">
        <v>2276</v>
      </c>
      <c r="G135" s="592" t="s">
        <v>2041</v>
      </c>
      <c r="H135" s="592" t="s">
        <v>2042</v>
      </c>
      <c r="I135" s="594">
        <v>2.41</v>
      </c>
      <c r="J135" s="594">
        <v>250</v>
      </c>
      <c r="K135" s="595">
        <v>602.5</v>
      </c>
    </row>
    <row r="136" spans="1:11" ht="14.4" customHeight="1" x14ac:dyDescent="0.3">
      <c r="A136" s="590" t="s">
        <v>485</v>
      </c>
      <c r="B136" s="591" t="s">
        <v>1636</v>
      </c>
      <c r="C136" s="592" t="s">
        <v>490</v>
      </c>
      <c r="D136" s="593" t="s">
        <v>1637</v>
      </c>
      <c r="E136" s="592" t="s">
        <v>2275</v>
      </c>
      <c r="F136" s="593" t="s">
        <v>2276</v>
      </c>
      <c r="G136" s="592" t="s">
        <v>2043</v>
      </c>
      <c r="H136" s="592" t="s">
        <v>2044</v>
      </c>
      <c r="I136" s="594">
        <v>4.24</v>
      </c>
      <c r="J136" s="594">
        <v>50</v>
      </c>
      <c r="K136" s="595">
        <v>212</v>
      </c>
    </row>
    <row r="137" spans="1:11" ht="14.4" customHeight="1" x14ac:dyDescent="0.3">
      <c r="A137" s="590" t="s">
        <v>485</v>
      </c>
      <c r="B137" s="591" t="s">
        <v>1636</v>
      </c>
      <c r="C137" s="592" t="s">
        <v>490</v>
      </c>
      <c r="D137" s="593" t="s">
        <v>1637</v>
      </c>
      <c r="E137" s="592" t="s">
        <v>2275</v>
      </c>
      <c r="F137" s="593" t="s">
        <v>2276</v>
      </c>
      <c r="G137" s="592" t="s">
        <v>2045</v>
      </c>
      <c r="H137" s="592" t="s">
        <v>2046</v>
      </c>
      <c r="I137" s="594">
        <v>90.99</v>
      </c>
      <c r="J137" s="594">
        <v>300</v>
      </c>
      <c r="K137" s="595">
        <v>27297</v>
      </c>
    </row>
    <row r="138" spans="1:11" ht="14.4" customHeight="1" x14ac:dyDescent="0.3">
      <c r="A138" s="590" t="s">
        <v>485</v>
      </c>
      <c r="B138" s="591" t="s">
        <v>1636</v>
      </c>
      <c r="C138" s="592" t="s">
        <v>490</v>
      </c>
      <c r="D138" s="593" t="s">
        <v>1637</v>
      </c>
      <c r="E138" s="592" t="s">
        <v>2275</v>
      </c>
      <c r="F138" s="593" t="s">
        <v>2276</v>
      </c>
      <c r="G138" s="592" t="s">
        <v>2047</v>
      </c>
      <c r="H138" s="592" t="s">
        <v>2048</v>
      </c>
      <c r="I138" s="594">
        <v>2.1742857142857139</v>
      </c>
      <c r="J138" s="594">
        <v>1200</v>
      </c>
      <c r="K138" s="595">
        <v>2610</v>
      </c>
    </row>
    <row r="139" spans="1:11" ht="14.4" customHeight="1" x14ac:dyDescent="0.3">
      <c r="A139" s="590" t="s">
        <v>485</v>
      </c>
      <c r="B139" s="591" t="s">
        <v>1636</v>
      </c>
      <c r="C139" s="592" t="s">
        <v>490</v>
      </c>
      <c r="D139" s="593" t="s">
        <v>1637</v>
      </c>
      <c r="E139" s="592" t="s">
        <v>2275</v>
      </c>
      <c r="F139" s="593" t="s">
        <v>2276</v>
      </c>
      <c r="G139" s="592" t="s">
        <v>2049</v>
      </c>
      <c r="H139" s="592" t="s">
        <v>2050</v>
      </c>
      <c r="I139" s="594">
        <v>58.919999999999995</v>
      </c>
      <c r="J139" s="594">
        <v>150</v>
      </c>
      <c r="K139" s="595">
        <v>8837.25</v>
      </c>
    </row>
    <row r="140" spans="1:11" ht="14.4" customHeight="1" x14ac:dyDescent="0.3">
      <c r="A140" s="590" t="s">
        <v>485</v>
      </c>
      <c r="B140" s="591" t="s">
        <v>1636</v>
      </c>
      <c r="C140" s="592" t="s">
        <v>490</v>
      </c>
      <c r="D140" s="593" t="s">
        <v>1637</v>
      </c>
      <c r="E140" s="592" t="s">
        <v>2275</v>
      </c>
      <c r="F140" s="593" t="s">
        <v>2276</v>
      </c>
      <c r="G140" s="592" t="s">
        <v>2051</v>
      </c>
      <c r="H140" s="592" t="s">
        <v>2052</v>
      </c>
      <c r="I140" s="594">
        <v>34.729999999999997</v>
      </c>
      <c r="J140" s="594">
        <v>120</v>
      </c>
      <c r="K140" s="595">
        <v>4167.2999999999993</v>
      </c>
    </row>
    <row r="141" spans="1:11" ht="14.4" customHeight="1" x14ac:dyDescent="0.3">
      <c r="A141" s="590" t="s">
        <v>485</v>
      </c>
      <c r="B141" s="591" t="s">
        <v>1636</v>
      </c>
      <c r="C141" s="592" t="s">
        <v>490</v>
      </c>
      <c r="D141" s="593" t="s">
        <v>1637</v>
      </c>
      <c r="E141" s="592" t="s">
        <v>2275</v>
      </c>
      <c r="F141" s="593" t="s">
        <v>2276</v>
      </c>
      <c r="G141" s="592" t="s">
        <v>2053</v>
      </c>
      <c r="H141" s="592" t="s">
        <v>2054</v>
      </c>
      <c r="I141" s="594">
        <v>29.9</v>
      </c>
      <c r="J141" s="594">
        <v>500</v>
      </c>
      <c r="K141" s="595">
        <v>14950</v>
      </c>
    </row>
    <row r="142" spans="1:11" ht="14.4" customHeight="1" x14ac:dyDescent="0.3">
      <c r="A142" s="590" t="s">
        <v>485</v>
      </c>
      <c r="B142" s="591" t="s">
        <v>1636</v>
      </c>
      <c r="C142" s="592" t="s">
        <v>490</v>
      </c>
      <c r="D142" s="593" t="s">
        <v>1637</v>
      </c>
      <c r="E142" s="592" t="s">
        <v>2275</v>
      </c>
      <c r="F142" s="593" t="s">
        <v>2276</v>
      </c>
      <c r="G142" s="592" t="s">
        <v>2055</v>
      </c>
      <c r="H142" s="592" t="s">
        <v>2056</v>
      </c>
      <c r="I142" s="594">
        <v>220.22</v>
      </c>
      <c r="J142" s="594">
        <v>80</v>
      </c>
      <c r="K142" s="595">
        <v>17617.599999999999</v>
      </c>
    </row>
    <row r="143" spans="1:11" ht="14.4" customHeight="1" x14ac:dyDescent="0.3">
      <c r="A143" s="590" t="s">
        <v>485</v>
      </c>
      <c r="B143" s="591" t="s">
        <v>1636</v>
      </c>
      <c r="C143" s="592" t="s">
        <v>490</v>
      </c>
      <c r="D143" s="593" t="s">
        <v>1637</v>
      </c>
      <c r="E143" s="592" t="s">
        <v>2275</v>
      </c>
      <c r="F143" s="593" t="s">
        <v>2276</v>
      </c>
      <c r="G143" s="592" t="s">
        <v>2057</v>
      </c>
      <c r="H143" s="592" t="s">
        <v>2058</v>
      </c>
      <c r="I143" s="594">
        <v>0.59833333333333338</v>
      </c>
      <c r="J143" s="594">
        <v>10000</v>
      </c>
      <c r="K143" s="595">
        <v>5980</v>
      </c>
    </row>
    <row r="144" spans="1:11" ht="14.4" customHeight="1" x14ac:dyDescent="0.3">
      <c r="A144" s="590" t="s">
        <v>485</v>
      </c>
      <c r="B144" s="591" t="s">
        <v>1636</v>
      </c>
      <c r="C144" s="592" t="s">
        <v>490</v>
      </c>
      <c r="D144" s="593" t="s">
        <v>1637</v>
      </c>
      <c r="E144" s="592" t="s">
        <v>2275</v>
      </c>
      <c r="F144" s="593" t="s">
        <v>2276</v>
      </c>
      <c r="G144" s="592" t="s">
        <v>2059</v>
      </c>
      <c r="H144" s="592" t="s">
        <v>2060</v>
      </c>
      <c r="I144" s="594">
        <v>1.6</v>
      </c>
      <c r="J144" s="594">
        <v>2500</v>
      </c>
      <c r="K144" s="595">
        <v>4000</v>
      </c>
    </row>
    <row r="145" spans="1:11" ht="14.4" customHeight="1" x14ac:dyDescent="0.3">
      <c r="A145" s="590" t="s">
        <v>485</v>
      </c>
      <c r="B145" s="591" t="s">
        <v>1636</v>
      </c>
      <c r="C145" s="592" t="s">
        <v>490</v>
      </c>
      <c r="D145" s="593" t="s">
        <v>1637</v>
      </c>
      <c r="E145" s="592" t="s">
        <v>2275</v>
      </c>
      <c r="F145" s="593" t="s">
        <v>2276</v>
      </c>
      <c r="G145" s="592" t="s">
        <v>2061</v>
      </c>
      <c r="H145" s="592" t="s">
        <v>2062</v>
      </c>
      <c r="I145" s="594">
        <v>31.070000000000004</v>
      </c>
      <c r="J145" s="594">
        <v>300</v>
      </c>
      <c r="K145" s="595">
        <v>9321.84</v>
      </c>
    </row>
    <row r="146" spans="1:11" ht="14.4" customHeight="1" x14ac:dyDescent="0.3">
      <c r="A146" s="590" t="s">
        <v>485</v>
      </c>
      <c r="B146" s="591" t="s">
        <v>1636</v>
      </c>
      <c r="C146" s="592" t="s">
        <v>490</v>
      </c>
      <c r="D146" s="593" t="s">
        <v>1637</v>
      </c>
      <c r="E146" s="592" t="s">
        <v>2275</v>
      </c>
      <c r="F146" s="593" t="s">
        <v>2276</v>
      </c>
      <c r="G146" s="592" t="s">
        <v>2063</v>
      </c>
      <c r="H146" s="592" t="s">
        <v>2064</v>
      </c>
      <c r="I146" s="594">
        <v>21.77</v>
      </c>
      <c r="J146" s="594">
        <v>12</v>
      </c>
      <c r="K146" s="595">
        <v>261.26</v>
      </c>
    </row>
    <row r="147" spans="1:11" ht="14.4" customHeight="1" x14ac:dyDescent="0.3">
      <c r="A147" s="590" t="s">
        <v>485</v>
      </c>
      <c r="B147" s="591" t="s">
        <v>1636</v>
      </c>
      <c r="C147" s="592" t="s">
        <v>490</v>
      </c>
      <c r="D147" s="593" t="s">
        <v>1637</v>
      </c>
      <c r="E147" s="592" t="s">
        <v>2275</v>
      </c>
      <c r="F147" s="593" t="s">
        <v>2276</v>
      </c>
      <c r="G147" s="592" t="s">
        <v>2065</v>
      </c>
      <c r="H147" s="592" t="s">
        <v>2066</v>
      </c>
      <c r="I147" s="594">
        <v>2.91</v>
      </c>
      <c r="J147" s="594">
        <v>50</v>
      </c>
      <c r="K147" s="595">
        <v>145.5</v>
      </c>
    </row>
    <row r="148" spans="1:11" ht="14.4" customHeight="1" x14ac:dyDescent="0.3">
      <c r="A148" s="590" t="s">
        <v>485</v>
      </c>
      <c r="B148" s="591" t="s">
        <v>1636</v>
      </c>
      <c r="C148" s="592" t="s">
        <v>490</v>
      </c>
      <c r="D148" s="593" t="s">
        <v>1637</v>
      </c>
      <c r="E148" s="592" t="s">
        <v>2275</v>
      </c>
      <c r="F148" s="593" t="s">
        <v>2276</v>
      </c>
      <c r="G148" s="592" t="s">
        <v>1813</v>
      </c>
      <c r="H148" s="592" t="s">
        <v>1814</v>
      </c>
      <c r="I148" s="594">
        <v>7.95</v>
      </c>
      <c r="J148" s="594">
        <v>1000</v>
      </c>
      <c r="K148" s="595">
        <v>7950</v>
      </c>
    </row>
    <row r="149" spans="1:11" ht="14.4" customHeight="1" x14ac:dyDescent="0.3">
      <c r="A149" s="590" t="s">
        <v>485</v>
      </c>
      <c r="B149" s="591" t="s">
        <v>1636</v>
      </c>
      <c r="C149" s="592" t="s">
        <v>490</v>
      </c>
      <c r="D149" s="593" t="s">
        <v>1637</v>
      </c>
      <c r="E149" s="592" t="s">
        <v>2275</v>
      </c>
      <c r="F149" s="593" t="s">
        <v>2276</v>
      </c>
      <c r="G149" s="592" t="s">
        <v>2067</v>
      </c>
      <c r="H149" s="592" t="s">
        <v>2068</v>
      </c>
      <c r="I149" s="594">
        <v>84.906666666666666</v>
      </c>
      <c r="J149" s="594">
        <v>100</v>
      </c>
      <c r="K149" s="595">
        <v>8490.57</v>
      </c>
    </row>
    <row r="150" spans="1:11" ht="14.4" customHeight="1" x14ac:dyDescent="0.3">
      <c r="A150" s="590" t="s">
        <v>485</v>
      </c>
      <c r="B150" s="591" t="s">
        <v>1636</v>
      </c>
      <c r="C150" s="592" t="s">
        <v>490</v>
      </c>
      <c r="D150" s="593" t="s">
        <v>1637</v>
      </c>
      <c r="E150" s="592" t="s">
        <v>2275</v>
      </c>
      <c r="F150" s="593" t="s">
        <v>2276</v>
      </c>
      <c r="G150" s="592" t="s">
        <v>2069</v>
      </c>
      <c r="H150" s="592" t="s">
        <v>2070</v>
      </c>
      <c r="I150" s="594">
        <v>17.98</v>
      </c>
      <c r="J150" s="594">
        <v>100</v>
      </c>
      <c r="K150" s="595">
        <v>1798</v>
      </c>
    </row>
    <row r="151" spans="1:11" ht="14.4" customHeight="1" x14ac:dyDescent="0.3">
      <c r="A151" s="590" t="s">
        <v>485</v>
      </c>
      <c r="B151" s="591" t="s">
        <v>1636</v>
      </c>
      <c r="C151" s="592" t="s">
        <v>490</v>
      </c>
      <c r="D151" s="593" t="s">
        <v>1637</v>
      </c>
      <c r="E151" s="592" t="s">
        <v>2275</v>
      </c>
      <c r="F151" s="593" t="s">
        <v>2276</v>
      </c>
      <c r="G151" s="592" t="s">
        <v>2071</v>
      </c>
      <c r="H151" s="592" t="s">
        <v>2072</v>
      </c>
      <c r="I151" s="594">
        <v>17.98</v>
      </c>
      <c r="J151" s="594">
        <v>200</v>
      </c>
      <c r="K151" s="595">
        <v>3596</v>
      </c>
    </row>
    <row r="152" spans="1:11" ht="14.4" customHeight="1" x14ac:dyDescent="0.3">
      <c r="A152" s="590" t="s">
        <v>485</v>
      </c>
      <c r="B152" s="591" t="s">
        <v>1636</v>
      </c>
      <c r="C152" s="592" t="s">
        <v>490</v>
      </c>
      <c r="D152" s="593" t="s">
        <v>1637</v>
      </c>
      <c r="E152" s="592" t="s">
        <v>2275</v>
      </c>
      <c r="F152" s="593" t="s">
        <v>2276</v>
      </c>
      <c r="G152" s="592" t="s">
        <v>2073</v>
      </c>
      <c r="H152" s="592" t="s">
        <v>2074</v>
      </c>
      <c r="I152" s="594">
        <v>17.98</v>
      </c>
      <c r="J152" s="594">
        <v>100</v>
      </c>
      <c r="K152" s="595">
        <v>1798.06</v>
      </c>
    </row>
    <row r="153" spans="1:11" ht="14.4" customHeight="1" x14ac:dyDescent="0.3">
      <c r="A153" s="590" t="s">
        <v>485</v>
      </c>
      <c r="B153" s="591" t="s">
        <v>1636</v>
      </c>
      <c r="C153" s="592" t="s">
        <v>490</v>
      </c>
      <c r="D153" s="593" t="s">
        <v>1637</v>
      </c>
      <c r="E153" s="592" t="s">
        <v>2275</v>
      </c>
      <c r="F153" s="593" t="s">
        <v>2276</v>
      </c>
      <c r="G153" s="592" t="s">
        <v>2075</v>
      </c>
      <c r="H153" s="592" t="s">
        <v>2076</v>
      </c>
      <c r="I153" s="594">
        <v>15.008000000000001</v>
      </c>
      <c r="J153" s="594">
        <v>250</v>
      </c>
      <c r="K153" s="595">
        <v>3752</v>
      </c>
    </row>
    <row r="154" spans="1:11" ht="14.4" customHeight="1" x14ac:dyDescent="0.3">
      <c r="A154" s="590" t="s">
        <v>485</v>
      </c>
      <c r="B154" s="591" t="s">
        <v>1636</v>
      </c>
      <c r="C154" s="592" t="s">
        <v>490</v>
      </c>
      <c r="D154" s="593" t="s">
        <v>1637</v>
      </c>
      <c r="E154" s="592" t="s">
        <v>2275</v>
      </c>
      <c r="F154" s="593" t="s">
        <v>2276</v>
      </c>
      <c r="G154" s="592" t="s">
        <v>2077</v>
      </c>
      <c r="H154" s="592" t="s">
        <v>2078</v>
      </c>
      <c r="I154" s="594">
        <v>17.98</v>
      </c>
      <c r="J154" s="594">
        <v>50</v>
      </c>
      <c r="K154" s="595">
        <v>899.03</v>
      </c>
    </row>
    <row r="155" spans="1:11" ht="14.4" customHeight="1" x14ac:dyDescent="0.3">
      <c r="A155" s="590" t="s">
        <v>485</v>
      </c>
      <c r="B155" s="591" t="s">
        <v>1636</v>
      </c>
      <c r="C155" s="592" t="s">
        <v>490</v>
      </c>
      <c r="D155" s="593" t="s">
        <v>1637</v>
      </c>
      <c r="E155" s="592" t="s">
        <v>2275</v>
      </c>
      <c r="F155" s="593" t="s">
        <v>2276</v>
      </c>
      <c r="G155" s="592" t="s">
        <v>2079</v>
      </c>
      <c r="H155" s="592" t="s">
        <v>2080</v>
      </c>
      <c r="I155" s="594">
        <v>8.9539999999999988</v>
      </c>
      <c r="J155" s="594">
        <v>1700</v>
      </c>
      <c r="K155" s="595">
        <v>15222</v>
      </c>
    </row>
    <row r="156" spans="1:11" ht="14.4" customHeight="1" x14ac:dyDescent="0.3">
      <c r="A156" s="590" t="s">
        <v>485</v>
      </c>
      <c r="B156" s="591" t="s">
        <v>1636</v>
      </c>
      <c r="C156" s="592" t="s">
        <v>490</v>
      </c>
      <c r="D156" s="593" t="s">
        <v>1637</v>
      </c>
      <c r="E156" s="592" t="s">
        <v>2275</v>
      </c>
      <c r="F156" s="593" t="s">
        <v>2276</v>
      </c>
      <c r="G156" s="592" t="s">
        <v>2081</v>
      </c>
      <c r="H156" s="592" t="s">
        <v>2082</v>
      </c>
      <c r="I156" s="594">
        <v>2.8899999999999997</v>
      </c>
      <c r="J156" s="594">
        <v>200</v>
      </c>
      <c r="K156" s="595">
        <v>578</v>
      </c>
    </row>
    <row r="157" spans="1:11" ht="14.4" customHeight="1" x14ac:dyDescent="0.3">
      <c r="A157" s="590" t="s">
        <v>485</v>
      </c>
      <c r="B157" s="591" t="s">
        <v>1636</v>
      </c>
      <c r="C157" s="592" t="s">
        <v>490</v>
      </c>
      <c r="D157" s="593" t="s">
        <v>1637</v>
      </c>
      <c r="E157" s="592" t="s">
        <v>2275</v>
      </c>
      <c r="F157" s="593" t="s">
        <v>2276</v>
      </c>
      <c r="G157" s="592" t="s">
        <v>2083</v>
      </c>
      <c r="H157" s="592" t="s">
        <v>2084</v>
      </c>
      <c r="I157" s="594">
        <v>44.53</v>
      </c>
      <c r="J157" s="594">
        <v>30</v>
      </c>
      <c r="K157" s="595">
        <v>1336</v>
      </c>
    </row>
    <row r="158" spans="1:11" ht="14.4" customHeight="1" x14ac:dyDescent="0.3">
      <c r="A158" s="590" t="s">
        <v>485</v>
      </c>
      <c r="B158" s="591" t="s">
        <v>1636</v>
      </c>
      <c r="C158" s="592" t="s">
        <v>490</v>
      </c>
      <c r="D158" s="593" t="s">
        <v>1637</v>
      </c>
      <c r="E158" s="592" t="s">
        <v>2275</v>
      </c>
      <c r="F158" s="593" t="s">
        <v>2276</v>
      </c>
      <c r="G158" s="592" t="s">
        <v>1815</v>
      </c>
      <c r="H158" s="592" t="s">
        <v>1816</v>
      </c>
      <c r="I158" s="594">
        <v>1.9379999999999999</v>
      </c>
      <c r="J158" s="594">
        <v>800</v>
      </c>
      <c r="K158" s="595">
        <v>1549</v>
      </c>
    </row>
    <row r="159" spans="1:11" ht="14.4" customHeight="1" x14ac:dyDescent="0.3">
      <c r="A159" s="590" t="s">
        <v>485</v>
      </c>
      <c r="B159" s="591" t="s">
        <v>1636</v>
      </c>
      <c r="C159" s="592" t="s">
        <v>490</v>
      </c>
      <c r="D159" s="593" t="s">
        <v>1637</v>
      </c>
      <c r="E159" s="592" t="s">
        <v>2275</v>
      </c>
      <c r="F159" s="593" t="s">
        <v>2276</v>
      </c>
      <c r="G159" s="592" t="s">
        <v>2085</v>
      </c>
      <c r="H159" s="592" t="s">
        <v>2086</v>
      </c>
      <c r="I159" s="594">
        <v>5.2033333333333331</v>
      </c>
      <c r="J159" s="594">
        <v>4080</v>
      </c>
      <c r="K159" s="595">
        <v>21226.2</v>
      </c>
    </row>
    <row r="160" spans="1:11" ht="14.4" customHeight="1" x14ac:dyDescent="0.3">
      <c r="A160" s="590" t="s">
        <v>485</v>
      </c>
      <c r="B160" s="591" t="s">
        <v>1636</v>
      </c>
      <c r="C160" s="592" t="s">
        <v>490</v>
      </c>
      <c r="D160" s="593" t="s">
        <v>1637</v>
      </c>
      <c r="E160" s="592" t="s">
        <v>2275</v>
      </c>
      <c r="F160" s="593" t="s">
        <v>2276</v>
      </c>
      <c r="G160" s="592" t="s">
        <v>2087</v>
      </c>
      <c r="H160" s="592" t="s">
        <v>2088</v>
      </c>
      <c r="I160" s="594">
        <v>13.203333333333333</v>
      </c>
      <c r="J160" s="594">
        <v>40</v>
      </c>
      <c r="K160" s="595">
        <v>528.1</v>
      </c>
    </row>
    <row r="161" spans="1:11" ht="14.4" customHeight="1" x14ac:dyDescent="0.3">
      <c r="A161" s="590" t="s">
        <v>485</v>
      </c>
      <c r="B161" s="591" t="s">
        <v>1636</v>
      </c>
      <c r="C161" s="592" t="s">
        <v>490</v>
      </c>
      <c r="D161" s="593" t="s">
        <v>1637</v>
      </c>
      <c r="E161" s="592" t="s">
        <v>2275</v>
      </c>
      <c r="F161" s="593" t="s">
        <v>2276</v>
      </c>
      <c r="G161" s="592" t="s">
        <v>2089</v>
      </c>
      <c r="H161" s="592" t="s">
        <v>2090</v>
      </c>
      <c r="I161" s="594">
        <v>13.206666666666669</v>
      </c>
      <c r="J161" s="594">
        <v>30</v>
      </c>
      <c r="K161" s="595">
        <v>396.20000000000005</v>
      </c>
    </row>
    <row r="162" spans="1:11" ht="14.4" customHeight="1" x14ac:dyDescent="0.3">
      <c r="A162" s="590" t="s">
        <v>485</v>
      </c>
      <c r="B162" s="591" t="s">
        <v>1636</v>
      </c>
      <c r="C162" s="592" t="s">
        <v>490</v>
      </c>
      <c r="D162" s="593" t="s">
        <v>1637</v>
      </c>
      <c r="E162" s="592" t="s">
        <v>2275</v>
      </c>
      <c r="F162" s="593" t="s">
        <v>2276</v>
      </c>
      <c r="G162" s="592" t="s">
        <v>2091</v>
      </c>
      <c r="H162" s="592" t="s">
        <v>2092</v>
      </c>
      <c r="I162" s="594">
        <v>1.5533333333333335</v>
      </c>
      <c r="J162" s="594">
        <v>1200</v>
      </c>
      <c r="K162" s="595">
        <v>1863</v>
      </c>
    </row>
    <row r="163" spans="1:11" ht="14.4" customHeight="1" x14ac:dyDescent="0.3">
      <c r="A163" s="590" t="s">
        <v>485</v>
      </c>
      <c r="B163" s="591" t="s">
        <v>1636</v>
      </c>
      <c r="C163" s="592" t="s">
        <v>490</v>
      </c>
      <c r="D163" s="593" t="s">
        <v>1637</v>
      </c>
      <c r="E163" s="592" t="s">
        <v>2275</v>
      </c>
      <c r="F163" s="593" t="s">
        <v>2276</v>
      </c>
      <c r="G163" s="592" t="s">
        <v>2093</v>
      </c>
      <c r="H163" s="592" t="s">
        <v>2094</v>
      </c>
      <c r="I163" s="594">
        <v>21.234999999999999</v>
      </c>
      <c r="J163" s="594">
        <v>60</v>
      </c>
      <c r="K163" s="595">
        <v>1274.0999999999999</v>
      </c>
    </row>
    <row r="164" spans="1:11" ht="14.4" customHeight="1" x14ac:dyDescent="0.3">
      <c r="A164" s="590" t="s">
        <v>485</v>
      </c>
      <c r="B164" s="591" t="s">
        <v>1636</v>
      </c>
      <c r="C164" s="592" t="s">
        <v>490</v>
      </c>
      <c r="D164" s="593" t="s">
        <v>1637</v>
      </c>
      <c r="E164" s="592" t="s">
        <v>2275</v>
      </c>
      <c r="F164" s="593" t="s">
        <v>2276</v>
      </c>
      <c r="G164" s="592" t="s">
        <v>2095</v>
      </c>
      <c r="H164" s="592" t="s">
        <v>2096</v>
      </c>
      <c r="I164" s="594">
        <v>21.234999999999999</v>
      </c>
      <c r="J164" s="594">
        <v>120</v>
      </c>
      <c r="K164" s="595">
        <v>2548.6</v>
      </c>
    </row>
    <row r="165" spans="1:11" ht="14.4" customHeight="1" x14ac:dyDescent="0.3">
      <c r="A165" s="590" t="s">
        <v>485</v>
      </c>
      <c r="B165" s="591" t="s">
        <v>1636</v>
      </c>
      <c r="C165" s="592" t="s">
        <v>490</v>
      </c>
      <c r="D165" s="593" t="s">
        <v>1637</v>
      </c>
      <c r="E165" s="592" t="s">
        <v>2275</v>
      </c>
      <c r="F165" s="593" t="s">
        <v>2276</v>
      </c>
      <c r="G165" s="592" t="s">
        <v>2097</v>
      </c>
      <c r="H165" s="592" t="s">
        <v>2098</v>
      </c>
      <c r="I165" s="594">
        <v>10.058333333333332</v>
      </c>
      <c r="J165" s="594">
        <v>300</v>
      </c>
      <c r="K165" s="595">
        <v>3017.5</v>
      </c>
    </row>
    <row r="166" spans="1:11" ht="14.4" customHeight="1" x14ac:dyDescent="0.3">
      <c r="A166" s="590" t="s">
        <v>485</v>
      </c>
      <c r="B166" s="591" t="s">
        <v>1636</v>
      </c>
      <c r="C166" s="592" t="s">
        <v>490</v>
      </c>
      <c r="D166" s="593" t="s">
        <v>1637</v>
      </c>
      <c r="E166" s="592" t="s">
        <v>2275</v>
      </c>
      <c r="F166" s="593" t="s">
        <v>2276</v>
      </c>
      <c r="G166" s="592" t="s">
        <v>2099</v>
      </c>
      <c r="H166" s="592" t="s">
        <v>2100</v>
      </c>
      <c r="I166" s="594">
        <v>13.19</v>
      </c>
      <c r="J166" s="594">
        <v>10</v>
      </c>
      <c r="K166" s="595">
        <v>131.9</v>
      </c>
    </row>
    <row r="167" spans="1:11" ht="14.4" customHeight="1" x14ac:dyDescent="0.3">
      <c r="A167" s="590" t="s">
        <v>485</v>
      </c>
      <c r="B167" s="591" t="s">
        <v>1636</v>
      </c>
      <c r="C167" s="592" t="s">
        <v>490</v>
      </c>
      <c r="D167" s="593" t="s">
        <v>1637</v>
      </c>
      <c r="E167" s="592" t="s">
        <v>2275</v>
      </c>
      <c r="F167" s="593" t="s">
        <v>2276</v>
      </c>
      <c r="G167" s="592" t="s">
        <v>2101</v>
      </c>
      <c r="H167" s="592" t="s">
        <v>2102</v>
      </c>
      <c r="I167" s="594">
        <v>18.150000000000002</v>
      </c>
      <c r="J167" s="594">
        <v>700</v>
      </c>
      <c r="K167" s="595">
        <v>12705</v>
      </c>
    </row>
    <row r="168" spans="1:11" ht="14.4" customHeight="1" x14ac:dyDescent="0.3">
      <c r="A168" s="590" t="s">
        <v>485</v>
      </c>
      <c r="B168" s="591" t="s">
        <v>1636</v>
      </c>
      <c r="C168" s="592" t="s">
        <v>490</v>
      </c>
      <c r="D168" s="593" t="s">
        <v>1637</v>
      </c>
      <c r="E168" s="592" t="s">
        <v>2275</v>
      </c>
      <c r="F168" s="593" t="s">
        <v>2276</v>
      </c>
      <c r="G168" s="592" t="s">
        <v>2103</v>
      </c>
      <c r="H168" s="592" t="s">
        <v>2104</v>
      </c>
      <c r="I168" s="594">
        <v>6.6560000000000006</v>
      </c>
      <c r="J168" s="594">
        <v>50</v>
      </c>
      <c r="K168" s="595">
        <v>332.79999999999995</v>
      </c>
    </row>
    <row r="169" spans="1:11" ht="14.4" customHeight="1" x14ac:dyDescent="0.3">
      <c r="A169" s="590" t="s">
        <v>485</v>
      </c>
      <c r="B169" s="591" t="s">
        <v>1636</v>
      </c>
      <c r="C169" s="592" t="s">
        <v>490</v>
      </c>
      <c r="D169" s="593" t="s">
        <v>1637</v>
      </c>
      <c r="E169" s="592" t="s">
        <v>2275</v>
      </c>
      <c r="F169" s="593" t="s">
        <v>2276</v>
      </c>
      <c r="G169" s="592" t="s">
        <v>2105</v>
      </c>
      <c r="H169" s="592" t="s">
        <v>2106</v>
      </c>
      <c r="I169" s="594">
        <v>6.653999999999999</v>
      </c>
      <c r="J169" s="594">
        <v>50</v>
      </c>
      <c r="K169" s="595">
        <v>332.7</v>
      </c>
    </row>
    <row r="170" spans="1:11" ht="14.4" customHeight="1" x14ac:dyDescent="0.3">
      <c r="A170" s="590" t="s">
        <v>485</v>
      </c>
      <c r="B170" s="591" t="s">
        <v>1636</v>
      </c>
      <c r="C170" s="592" t="s">
        <v>490</v>
      </c>
      <c r="D170" s="593" t="s">
        <v>1637</v>
      </c>
      <c r="E170" s="592" t="s">
        <v>2275</v>
      </c>
      <c r="F170" s="593" t="s">
        <v>2276</v>
      </c>
      <c r="G170" s="592" t="s">
        <v>2107</v>
      </c>
      <c r="H170" s="592" t="s">
        <v>2108</v>
      </c>
      <c r="I170" s="594">
        <v>6.66</v>
      </c>
      <c r="J170" s="594">
        <v>40</v>
      </c>
      <c r="K170" s="595">
        <v>266.39999999999998</v>
      </c>
    </row>
    <row r="171" spans="1:11" ht="14.4" customHeight="1" x14ac:dyDescent="0.3">
      <c r="A171" s="590" t="s">
        <v>485</v>
      </c>
      <c r="B171" s="591" t="s">
        <v>1636</v>
      </c>
      <c r="C171" s="592" t="s">
        <v>490</v>
      </c>
      <c r="D171" s="593" t="s">
        <v>1637</v>
      </c>
      <c r="E171" s="592" t="s">
        <v>2275</v>
      </c>
      <c r="F171" s="593" t="s">
        <v>2276</v>
      </c>
      <c r="G171" s="592" t="s">
        <v>2109</v>
      </c>
      <c r="H171" s="592" t="s">
        <v>2110</v>
      </c>
      <c r="I171" s="594">
        <v>106.14</v>
      </c>
      <c r="J171" s="594">
        <v>200</v>
      </c>
      <c r="K171" s="595">
        <v>21228.240000000002</v>
      </c>
    </row>
    <row r="172" spans="1:11" ht="14.4" customHeight="1" x14ac:dyDescent="0.3">
      <c r="A172" s="590" t="s">
        <v>485</v>
      </c>
      <c r="B172" s="591" t="s">
        <v>1636</v>
      </c>
      <c r="C172" s="592" t="s">
        <v>490</v>
      </c>
      <c r="D172" s="593" t="s">
        <v>1637</v>
      </c>
      <c r="E172" s="592" t="s">
        <v>2275</v>
      </c>
      <c r="F172" s="593" t="s">
        <v>2276</v>
      </c>
      <c r="G172" s="592" t="s">
        <v>1819</v>
      </c>
      <c r="H172" s="592" t="s">
        <v>1820</v>
      </c>
      <c r="I172" s="594">
        <v>0.47</v>
      </c>
      <c r="J172" s="594">
        <v>1000</v>
      </c>
      <c r="K172" s="595">
        <v>470</v>
      </c>
    </row>
    <row r="173" spans="1:11" ht="14.4" customHeight="1" x14ac:dyDescent="0.3">
      <c r="A173" s="590" t="s">
        <v>485</v>
      </c>
      <c r="B173" s="591" t="s">
        <v>1636</v>
      </c>
      <c r="C173" s="592" t="s">
        <v>490</v>
      </c>
      <c r="D173" s="593" t="s">
        <v>1637</v>
      </c>
      <c r="E173" s="592" t="s">
        <v>2275</v>
      </c>
      <c r="F173" s="593" t="s">
        <v>2276</v>
      </c>
      <c r="G173" s="592" t="s">
        <v>2111</v>
      </c>
      <c r="H173" s="592" t="s">
        <v>2112</v>
      </c>
      <c r="I173" s="594">
        <v>0.47499999999999998</v>
      </c>
      <c r="J173" s="594">
        <v>1300</v>
      </c>
      <c r="K173" s="595">
        <v>614</v>
      </c>
    </row>
    <row r="174" spans="1:11" ht="14.4" customHeight="1" x14ac:dyDescent="0.3">
      <c r="A174" s="590" t="s">
        <v>485</v>
      </c>
      <c r="B174" s="591" t="s">
        <v>1636</v>
      </c>
      <c r="C174" s="592" t="s">
        <v>490</v>
      </c>
      <c r="D174" s="593" t="s">
        <v>1637</v>
      </c>
      <c r="E174" s="592" t="s">
        <v>2275</v>
      </c>
      <c r="F174" s="593" t="s">
        <v>2276</v>
      </c>
      <c r="G174" s="592" t="s">
        <v>2113</v>
      </c>
      <c r="H174" s="592" t="s">
        <v>2114</v>
      </c>
      <c r="I174" s="594">
        <v>2.6025</v>
      </c>
      <c r="J174" s="594">
        <v>1200</v>
      </c>
      <c r="K174" s="595">
        <v>3122.5</v>
      </c>
    </row>
    <row r="175" spans="1:11" ht="14.4" customHeight="1" x14ac:dyDescent="0.3">
      <c r="A175" s="590" t="s">
        <v>485</v>
      </c>
      <c r="B175" s="591" t="s">
        <v>1636</v>
      </c>
      <c r="C175" s="592" t="s">
        <v>490</v>
      </c>
      <c r="D175" s="593" t="s">
        <v>1637</v>
      </c>
      <c r="E175" s="592" t="s">
        <v>2275</v>
      </c>
      <c r="F175" s="593" t="s">
        <v>2276</v>
      </c>
      <c r="G175" s="592" t="s">
        <v>2115</v>
      </c>
      <c r="H175" s="592" t="s">
        <v>2116</v>
      </c>
      <c r="I175" s="594">
        <v>2.6025</v>
      </c>
      <c r="J175" s="594">
        <v>2200</v>
      </c>
      <c r="K175" s="595">
        <v>5723</v>
      </c>
    </row>
    <row r="176" spans="1:11" ht="14.4" customHeight="1" x14ac:dyDescent="0.3">
      <c r="A176" s="590" t="s">
        <v>485</v>
      </c>
      <c r="B176" s="591" t="s">
        <v>1636</v>
      </c>
      <c r="C176" s="592" t="s">
        <v>490</v>
      </c>
      <c r="D176" s="593" t="s">
        <v>1637</v>
      </c>
      <c r="E176" s="592" t="s">
        <v>2275</v>
      </c>
      <c r="F176" s="593" t="s">
        <v>2276</v>
      </c>
      <c r="G176" s="592" t="s">
        <v>2117</v>
      </c>
      <c r="H176" s="592" t="s">
        <v>2118</v>
      </c>
      <c r="I176" s="594">
        <v>2.6025</v>
      </c>
      <c r="J176" s="594">
        <v>800</v>
      </c>
      <c r="K176" s="595">
        <v>2082</v>
      </c>
    </row>
    <row r="177" spans="1:11" ht="14.4" customHeight="1" x14ac:dyDescent="0.3">
      <c r="A177" s="590" t="s">
        <v>485</v>
      </c>
      <c r="B177" s="591" t="s">
        <v>1636</v>
      </c>
      <c r="C177" s="592" t="s">
        <v>490</v>
      </c>
      <c r="D177" s="593" t="s">
        <v>1637</v>
      </c>
      <c r="E177" s="592" t="s">
        <v>2275</v>
      </c>
      <c r="F177" s="593" t="s">
        <v>2276</v>
      </c>
      <c r="G177" s="592" t="s">
        <v>2119</v>
      </c>
      <c r="H177" s="592" t="s">
        <v>2120</v>
      </c>
      <c r="I177" s="594">
        <v>2.6</v>
      </c>
      <c r="J177" s="594">
        <v>1400</v>
      </c>
      <c r="K177" s="595">
        <v>3640</v>
      </c>
    </row>
    <row r="178" spans="1:11" ht="14.4" customHeight="1" x14ac:dyDescent="0.3">
      <c r="A178" s="590" t="s">
        <v>485</v>
      </c>
      <c r="B178" s="591" t="s">
        <v>1636</v>
      </c>
      <c r="C178" s="592" t="s">
        <v>490</v>
      </c>
      <c r="D178" s="593" t="s">
        <v>1637</v>
      </c>
      <c r="E178" s="592" t="s">
        <v>2275</v>
      </c>
      <c r="F178" s="593" t="s">
        <v>2276</v>
      </c>
      <c r="G178" s="592" t="s">
        <v>2121</v>
      </c>
      <c r="H178" s="592" t="s">
        <v>2122</v>
      </c>
      <c r="I178" s="594">
        <v>227.48</v>
      </c>
      <c r="J178" s="594">
        <v>30</v>
      </c>
      <c r="K178" s="595">
        <v>6824.4</v>
      </c>
    </row>
    <row r="179" spans="1:11" ht="14.4" customHeight="1" x14ac:dyDescent="0.3">
      <c r="A179" s="590" t="s">
        <v>485</v>
      </c>
      <c r="B179" s="591" t="s">
        <v>1636</v>
      </c>
      <c r="C179" s="592" t="s">
        <v>490</v>
      </c>
      <c r="D179" s="593" t="s">
        <v>1637</v>
      </c>
      <c r="E179" s="592" t="s">
        <v>2275</v>
      </c>
      <c r="F179" s="593" t="s">
        <v>2276</v>
      </c>
      <c r="G179" s="592" t="s">
        <v>2123</v>
      </c>
      <c r="H179" s="592" t="s">
        <v>2124</v>
      </c>
      <c r="I179" s="594">
        <v>484.04</v>
      </c>
      <c r="J179" s="594">
        <v>10</v>
      </c>
      <c r="K179" s="595">
        <v>4840.3999999999996</v>
      </c>
    </row>
    <row r="180" spans="1:11" ht="14.4" customHeight="1" x14ac:dyDescent="0.3">
      <c r="A180" s="590" t="s">
        <v>485</v>
      </c>
      <c r="B180" s="591" t="s">
        <v>1636</v>
      </c>
      <c r="C180" s="592" t="s">
        <v>490</v>
      </c>
      <c r="D180" s="593" t="s">
        <v>1637</v>
      </c>
      <c r="E180" s="592" t="s">
        <v>2275</v>
      </c>
      <c r="F180" s="593" t="s">
        <v>2276</v>
      </c>
      <c r="G180" s="592" t="s">
        <v>2125</v>
      </c>
      <c r="H180" s="592" t="s">
        <v>2126</v>
      </c>
      <c r="I180" s="594">
        <v>168.19</v>
      </c>
      <c r="J180" s="594">
        <v>10</v>
      </c>
      <c r="K180" s="595">
        <v>1681.9</v>
      </c>
    </row>
    <row r="181" spans="1:11" ht="14.4" customHeight="1" x14ac:dyDescent="0.3">
      <c r="A181" s="590" t="s">
        <v>485</v>
      </c>
      <c r="B181" s="591" t="s">
        <v>1636</v>
      </c>
      <c r="C181" s="592" t="s">
        <v>490</v>
      </c>
      <c r="D181" s="593" t="s">
        <v>1637</v>
      </c>
      <c r="E181" s="592" t="s">
        <v>2275</v>
      </c>
      <c r="F181" s="593" t="s">
        <v>2276</v>
      </c>
      <c r="G181" s="592" t="s">
        <v>2127</v>
      </c>
      <c r="H181" s="592" t="s">
        <v>2128</v>
      </c>
      <c r="I181" s="594">
        <v>16</v>
      </c>
      <c r="J181" s="594">
        <v>10</v>
      </c>
      <c r="K181" s="595">
        <v>159.96</v>
      </c>
    </row>
    <row r="182" spans="1:11" ht="14.4" customHeight="1" x14ac:dyDescent="0.3">
      <c r="A182" s="590" t="s">
        <v>485</v>
      </c>
      <c r="B182" s="591" t="s">
        <v>1636</v>
      </c>
      <c r="C182" s="592" t="s">
        <v>490</v>
      </c>
      <c r="D182" s="593" t="s">
        <v>1637</v>
      </c>
      <c r="E182" s="592" t="s">
        <v>2275</v>
      </c>
      <c r="F182" s="593" t="s">
        <v>2276</v>
      </c>
      <c r="G182" s="592" t="s">
        <v>2129</v>
      </c>
      <c r="H182" s="592" t="s">
        <v>2130</v>
      </c>
      <c r="I182" s="594">
        <v>24.4</v>
      </c>
      <c r="J182" s="594">
        <v>300</v>
      </c>
      <c r="K182" s="595">
        <v>7321.19</v>
      </c>
    </row>
    <row r="183" spans="1:11" ht="14.4" customHeight="1" x14ac:dyDescent="0.3">
      <c r="A183" s="590" t="s">
        <v>485</v>
      </c>
      <c r="B183" s="591" t="s">
        <v>1636</v>
      </c>
      <c r="C183" s="592" t="s">
        <v>490</v>
      </c>
      <c r="D183" s="593" t="s">
        <v>1637</v>
      </c>
      <c r="E183" s="592" t="s">
        <v>2275</v>
      </c>
      <c r="F183" s="593" t="s">
        <v>2276</v>
      </c>
      <c r="G183" s="592" t="s">
        <v>2131</v>
      </c>
      <c r="H183" s="592" t="s">
        <v>2132</v>
      </c>
      <c r="I183" s="594">
        <v>484.04</v>
      </c>
      <c r="J183" s="594">
        <v>10</v>
      </c>
      <c r="K183" s="595">
        <v>4840.3500000000004</v>
      </c>
    </row>
    <row r="184" spans="1:11" ht="14.4" customHeight="1" x14ac:dyDescent="0.3">
      <c r="A184" s="590" t="s">
        <v>485</v>
      </c>
      <c r="B184" s="591" t="s">
        <v>1636</v>
      </c>
      <c r="C184" s="592" t="s">
        <v>490</v>
      </c>
      <c r="D184" s="593" t="s">
        <v>1637</v>
      </c>
      <c r="E184" s="592" t="s">
        <v>2275</v>
      </c>
      <c r="F184" s="593" t="s">
        <v>2276</v>
      </c>
      <c r="G184" s="592" t="s">
        <v>2133</v>
      </c>
      <c r="H184" s="592" t="s">
        <v>2134</v>
      </c>
      <c r="I184" s="594">
        <v>484.04</v>
      </c>
      <c r="J184" s="594">
        <v>5</v>
      </c>
      <c r="K184" s="595">
        <v>2420.1999999999998</v>
      </c>
    </row>
    <row r="185" spans="1:11" ht="14.4" customHeight="1" x14ac:dyDescent="0.3">
      <c r="A185" s="590" t="s">
        <v>485</v>
      </c>
      <c r="B185" s="591" t="s">
        <v>1636</v>
      </c>
      <c r="C185" s="592" t="s">
        <v>490</v>
      </c>
      <c r="D185" s="593" t="s">
        <v>1637</v>
      </c>
      <c r="E185" s="592" t="s">
        <v>2275</v>
      </c>
      <c r="F185" s="593" t="s">
        <v>2276</v>
      </c>
      <c r="G185" s="592" t="s">
        <v>2135</v>
      </c>
      <c r="H185" s="592" t="s">
        <v>2136</v>
      </c>
      <c r="I185" s="594">
        <v>262.57</v>
      </c>
      <c r="J185" s="594">
        <v>10</v>
      </c>
      <c r="K185" s="595">
        <v>2625.7</v>
      </c>
    </row>
    <row r="186" spans="1:11" ht="14.4" customHeight="1" x14ac:dyDescent="0.3">
      <c r="A186" s="590" t="s">
        <v>485</v>
      </c>
      <c r="B186" s="591" t="s">
        <v>1636</v>
      </c>
      <c r="C186" s="592" t="s">
        <v>490</v>
      </c>
      <c r="D186" s="593" t="s">
        <v>1637</v>
      </c>
      <c r="E186" s="592" t="s">
        <v>2275</v>
      </c>
      <c r="F186" s="593" t="s">
        <v>2276</v>
      </c>
      <c r="G186" s="592" t="s">
        <v>2137</v>
      </c>
      <c r="H186" s="592" t="s">
        <v>2138</v>
      </c>
      <c r="I186" s="594">
        <v>38</v>
      </c>
      <c r="J186" s="594">
        <v>15</v>
      </c>
      <c r="K186" s="595">
        <v>569.98</v>
      </c>
    </row>
    <row r="187" spans="1:11" ht="14.4" customHeight="1" x14ac:dyDescent="0.3">
      <c r="A187" s="590" t="s">
        <v>485</v>
      </c>
      <c r="B187" s="591" t="s">
        <v>1636</v>
      </c>
      <c r="C187" s="592" t="s">
        <v>490</v>
      </c>
      <c r="D187" s="593" t="s">
        <v>1637</v>
      </c>
      <c r="E187" s="592" t="s">
        <v>2275</v>
      </c>
      <c r="F187" s="593" t="s">
        <v>2276</v>
      </c>
      <c r="G187" s="592" t="s">
        <v>2139</v>
      </c>
      <c r="H187" s="592" t="s">
        <v>2140</v>
      </c>
      <c r="I187" s="594">
        <v>235.95</v>
      </c>
      <c r="J187" s="594">
        <v>60</v>
      </c>
      <c r="K187" s="595">
        <v>14157</v>
      </c>
    </row>
    <row r="188" spans="1:11" ht="14.4" customHeight="1" x14ac:dyDescent="0.3">
      <c r="A188" s="590" t="s">
        <v>485</v>
      </c>
      <c r="B188" s="591" t="s">
        <v>1636</v>
      </c>
      <c r="C188" s="592" t="s">
        <v>490</v>
      </c>
      <c r="D188" s="593" t="s">
        <v>1637</v>
      </c>
      <c r="E188" s="592" t="s">
        <v>2275</v>
      </c>
      <c r="F188" s="593" t="s">
        <v>2276</v>
      </c>
      <c r="G188" s="592" t="s">
        <v>2141</v>
      </c>
      <c r="H188" s="592" t="s">
        <v>2142</v>
      </c>
      <c r="I188" s="594">
        <v>242</v>
      </c>
      <c r="J188" s="594">
        <v>20</v>
      </c>
      <c r="K188" s="595">
        <v>4840</v>
      </c>
    </row>
    <row r="189" spans="1:11" ht="14.4" customHeight="1" x14ac:dyDescent="0.3">
      <c r="A189" s="590" t="s">
        <v>485</v>
      </c>
      <c r="B189" s="591" t="s">
        <v>1636</v>
      </c>
      <c r="C189" s="592" t="s">
        <v>490</v>
      </c>
      <c r="D189" s="593" t="s">
        <v>1637</v>
      </c>
      <c r="E189" s="592" t="s">
        <v>2275</v>
      </c>
      <c r="F189" s="593" t="s">
        <v>2276</v>
      </c>
      <c r="G189" s="592" t="s">
        <v>2143</v>
      </c>
      <c r="H189" s="592" t="s">
        <v>2144</v>
      </c>
      <c r="I189" s="594">
        <v>229.9</v>
      </c>
      <c r="J189" s="594">
        <v>20</v>
      </c>
      <c r="K189" s="595">
        <v>4598</v>
      </c>
    </row>
    <row r="190" spans="1:11" ht="14.4" customHeight="1" x14ac:dyDescent="0.3">
      <c r="A190" s="590" t="s">
        <v>485</v>
      </c>
      <c r="B190" s="591" t="s">
        <v>1636</v>
      </c>
      <c r="C190" s="592" t="s">
        <v>490</v>
      </c>
      <c r="D190" s="593" t="s">
        <v>1637</v>
      </c>
      <c r="E190" s="592" t="s">
        <v>2275</v>
      </c>
      <c r="F190" s="593" t="s">
        <v>2276</v>
      </c>
      <c r="G190" s="592" t="s">
        <v>2145</v>
      </c>
      <c r="H190" s="592" t="s">
        <v>2146</v>
      </c>
      <c r="I190" s="594">
        <v>91.72</v>
      </c>
      <c r="J190" s="594">
        <v>60</v>
      </c>
      <c r="K190" s="595">
        <v>5503.09</v>
      </c>
    </row>
    <row r="191" spans="1:11" ht="14.4" customHeight="1" x14ac:dyDescent="0.3">
      <c r="A191" s="590" t="s">
        <v>485</v>
      </c>
      <c r="B191" s="591" t="s">
        <v>1636</v>
      </c>
      <c r="C191" s="592" t="s">
        <v>490</v>
      </c>
      <c r="D191" s="593" t="s">
        <v>1637</v>
      </c>
      <c r="E191" s="592" t="s">
        <v>2275</v>
      </c>
      <c r="F191" s="593" t="s">
        <v>2276</v>
      </c>
      <c r="G191" s="592" t="s">
        <v>2147</v>
      </c>
      <c r="H191" s="592" t="s">
        <v>2148</v>
      </c>
      <c r="I191" s="594">
        <v>68.64</v>
      </c>
      <c r="J191" s="594">
        <v>40</v>
      </c>
      <c r="K191" s="595">
        <v>2745.52</v>
      </c>
    </row>
    <row r="192" spans="1:11" ht="14.4" customHeight="1" x14ac:dyDescent="0.3">
      <c r="A192" s="590" t="s">
        <v>485</v>
      </c>
      <c r="B192" s="591" t="s">
        <v>1636</v>
      </c>
      <c r="C192" s="592" t="s">
        <v>490</v>
      </c>
      <c r="D192" s="593" t="s">
        <v>1637</v>
      </c>
      <c r="E192" s="592" t="s">
        <v>2275</v>
      </c>
      <c r="F192" s="593" t="s">
        <v>2276</v>
      </c>
      <c r="G192" s="592" t="s">
        <v>2149</v>
      </c>
      <c r="H192" s="592" t="s">
        <v>2150</v>
      </c>
      <c r="I192" s="594">
        <v>172.56</v>
      </c>
      <c r="J192" s="594">
        <v>10</v>
      </c>
      <c r="K192" s="595">
        <v>1725.56</v>
      </c>
    </row>
    <row r="193" spans="1:11" ht="14.4" customHeight="1" x14ac:dyDescent="0.3">
      <c r="A193" s="590" t="s">
        <v>485</v>
      </c>
      <c r="B193" s="591" t="s">
        <v>1636</v>
      </c>
      <c r="C193" s="592" t="s">
        <v>490</v>
      </c>
      <c r="D193" s="593" t="s">
        <v>1637</v>
      </c>
      <c r="E193" s="592" t="s">
        <v>2275</v>
      </c>
      <c r="F193" s="593" t="s">
        <v>2276</v>
      </c>
      <c r="G193" s="592" t="s">
        <v>2151</v>
      </c>
      <c r="H193" s="592" t="s">
        <v>2152</v>
      </c>
      <c r="I193" s="594">
        <v>9.59</v>
      </c>
      <c r="J193" s="594">
        <v>200</v>
      </c>
      <c r="K193" s="595">
        <v>1918</v>
      </c>
    </row>
    <row r="194" spans="1:11" ht="14.4" customHeight="1" x14ac:dyDescent="0.3">
      <c r="A194" s="590" t="s">
        <v>485</v>
      </c>
      <c r="B194" s="591" t="s">
        <v>1636</v>
      </c>
      <c r="C194" s="592" t="s">
        <v>490</v>
      </c>
      <c r="D194" s="593" t="s">
        <v>1637</v>
      </c>
      <c r="E194" s="592" t="s">
        <v>2275</v>
      </c>
      <c r="F194" s="593" t="s">
        <v>2276</v>
      </c>
      <c r="G194" s="592" t="s">
        <v>2153</v>
      </c>
      <c r="H194" s="592" t="s">
        <v>2154</v>
      </c>
      <c r="I194" s="594">
        <v>271.95999999999998</v>
      </c>
      <c r="J194" s="594">
        <v>5</v>
      </c>
      <c r="K194" s="595">
        <v>1359.8</v>
      </c>
    </row>
    <row r="195" spans="1:11" ht="14.4" customHeight="1" x14ac:dyDescent="0.3">
      <c r="A195" s="590" t="s">
        <v>485</v>
      </c>
      <c r="B195" s="591" t="s">
        <v>1636</v>
      </c>
      <c r="C195" s="592" t="s">
        <v>490</v>
      </c>
      <c r="D195" s="593" t="s">
        <v>1637</v>
      </c>
      <c r="E195" s="592" t="s">
        <v>2275</v>
      </c>
      <c r="F195" s="593" t="s">
        <v>2276</v>
      </c>
      <c r="G195" s="592" t="s">
        <v>2155</v>
      </c>
      <c r="H195" s="592" t="s">
        <v>2156</v>
      </c>
      <c r="I195" s="594">
        <v>15.76</v>
      </c>
      <c r="J195" s="594">
        <v>200</v>
      </c>
      <c r="K195" s="595">
        <v>3152.66</v>
      </c>
    </row>
    <row r="196" spans="1:11" ht="14.4" customHeight="1" x14ac:dyDescent="0.3">
      <c r="A196" s="590" t="s">
        <v>485</v>
      </c>
      <c r="B196" s="591" t="s">
        <v>1636</v>
      </c>
      <c r="C196" s="592" t="s">
        <v>490</v>
      </c>
      <c r="D196" s="593" t="s">
        <v>1637</v>
      </c>
      <c r="E196" s="592" t="s">
        <v>2275</v>
      </c>
      <c r="F196" s="593" t="s">
        <v>2276</v>
      </c>
      <c r="G196" s="592" t="s">
        <v>2157</v>
      </c>
      <c r="H196" s="592" t="s">
        <v>2158</v>
      </c>
      <c r="I196" s="594">
        <v>9.2000000000000011</v>
      </c>
      <c r="J196" s="594">
        <v>3700</v>
      </c>
      <c r="K196" s="595">
        <v>34040</v>
      </c>
    </row>
    <row r="197" spans="1:11" ht="14.4" customHeight="1" x14ac:dyDescent="0.3">
      <c r="A197" s="590" t="s">
        <v>485</v>
      </c>
      <c r="B197" s="591" t="s">
        <v>1636</v>
      </c>
      <c r="C197" s="592" t="s">
        <v>490</v>
      </c>
      <c r="D197" s="593" t="s">
        <v>1637</v>
      </c>
      <c r="E197" s="592" t="s">
        <v>2275</v>
      </c>
      <c r="F197" s="593" t="s">
        <v>2276</v>
      </c>
      <c r="G197" s="592" t="s">
        <v>2159</v>
      </c>
      <c r="H197" s="592" t="s">
        <v>2160</v>
      </c>
      <c r="I197" s="594">
        <v>172.5</v>
      </c>
      <c r="J197" s="594">
        <v>4</v>
      </c>
      <c r="K197" s="595">
        <v>690</v>
      </c>
    </row>
    <row r="198" spans="1:11" ht="14.4" customHeight="1" x14ac:dyDescent="0.3">
      <c r="A198" s="590" t="s">
        <v>485</v>
      </c>
      <c r="B198" s="591" t="s">
        <v>1636</v>
      </c>
      <c r="C198" s="592" t="s">
        <v>490</v>
      </c>
      <c r="D198" s="593" t="s">
        <v>1637</v>
      </c>
      <c r="E198" s="592" t="s">
        <v>2275</v>
      </c>
      <c r="F198" s="593" t="s">
        <v>2276</v>
      </c>
      <c r="G198" s="592" t="s">
        <v>2161</v>
      </c>
      <c r="H198" s="592" t="s">
        <v>2162</v>
      </c>
      <c r="I198" s="594">
        <v>9.68</v>
      </c>
      <c r="J198" s="594">
        <v>1600</v>
      </c>
      <c r="K198" s="595">
        <v>15488</v>
      </c>
    </row>
    <row r="199" spans="1:11" ht="14.4" customHeight="1" x14ac:dyDescent="0.3">
      <c r="A199" s="590" t="s">
        <v>485</v>
      </c>
      <c r="B199" s="591" t="s">
        <v>1636</v>
      </c>
      <c r="C199" s="592" t="s">
        <v>490</v>
      </c>
      <c r="D199" s="593" t="s">
        <v>1637</v>
      </c>
      <c r="E199" s="592" t="s">
        <v>2275</v>
      </c>
      <c r="F199" s="593" t="s">
        <v>2276</v>
      </c>
      <c r="G199" s="592" t="s">
        <v>2163</v>
      </c>
      <c r="H199" s="592" t="s">
        <v>2164</v>
      </c>
      <c r="I199" s="594">
        <v>15.73</v>
      </c>
      <c r="J199" s="594">
        <v>240</v>
      </c>
      <c r="K199" s="595">
        <v>3775.2</v>
      </c>
    </row>
    <row r="200" spans="1:11" ht="14.4" customHeight="1" x14ac:dyDescent="0.3">
      <c r="A200" s="590" t="s">
        <v>485</v>
      </c>
      <c r="B200" s="591" t="s">
        <v>1636</v>
      </c>
      <c r="C200" s="592" t="s">
        <v>490</v>
      </c>
      <c r="D200" s="593" t="s">
        <v>1637</v>
      </c>
      <c r="E200" s="592" t="s">
        <v>2275</v>
      </c>
      <c r="F200" s="593" t="s">
        <v>2276</v>
      </c>
      <c r="G200" s="592" t="s">
        <v>2165</v>
      </c>
      <c r="H200" s="592" t="s">
        <v>2166</v>
      </c>
      <c r="I200" s="594">
        <v>96.8</v>
      </c>
      <c r="J200" s="594">
        <v>100</v>
      </c>
      <c r="K200" s="595">
        <v>9680</v>
      </c>
    </row>
    <row r="201" spans="1:11" ht="14.4" customHeight="1" x14ac:dyDescent="0.3">
      <c r="A201" s="590" t="s">
        <v>485</v>
      </c>
      <c r="B201" s="591" t="s">
        <v>1636</v>
      </c>
      <c r="C201" s="592" t="s">
        <v>490</v>
      </c>
      <c r="D201" s="593" t="s">
        <v>1637</v>
      </c>
      <c r="E201" s="592" t="s">
        <v>2275</v>
      </c>
      <c r="F201" s="593" t="s">
        <v>2276</v>
      </c>
      <c r="G201" s="592" t="s">
        <v>2167</v>
      </c>
      <c r="H201" s="592" t="s">
        <v>2168</v>
      </c>
      <c r="I201" s="594">
        <v>233.44</v>
      </c>
      <c r="J201" s="594">
        <v>10</v>
      </c>
      <c r="K201" s="595">
        <v>2334.4</v>
      </c>
    </row>
    <row r="202" spans="1:11" ht="14.4" customHeight="1" x14ac:dyDescent="0.3">
      <c r="A202" s="590" t="s">
        <v>485</v>
      </c>
      <c r="B202" s="591" t="s">
        <v>1636</v>
      </c>
      <c r="C202" s="592" t="s">
        <v>490</v>
      </c>
      <c r="D202" s="593" t="s">
        <v>1637</v>
      </c>
      <c r="E202" s="592" t="s">
        <v>2275</v>
      </c>
      <c r="F202" s="593" t="s">
        <v>2276</v>
      </c>
      <c r="G202" s="592" t="s">
        <v>2169</v>
      </c>
      <c r="H202" s="592" t="s">
        <v>2170</v>
      </c>
      <c r="I202" s="594">
        <v>24.2</v>
      </c>
      <c r="J202" s="594">
        <v>120</v>
      </c>
      <c r="K202" s="595">
        <v>2904</v>
      </c>
    </row>
    <row r="203" spans="1:11" ht="14.4" customHeight="1" x14ac:dyDescent="0.3">
      <c r="A203" s="590" t="s">
        <v>485</v>
      </c>
      <c r="B203" s="591" t="s">
        <v>1636</v>
      </c>
      <c r="C203" s="592" t="s">
        <v>490</v>
      </c>
      <c r="D203" s="593" t="s">
        <v>1637</v>
      </c>
      <c r="E203" s="592" t="s">
        <v>2275</v>
      </c>
      <c r="F203" s="593" t="s">
        <v>2276</v>
      </c>
      <c r="G203" s="592" t="s">
        <v>2171</v>
      </c>
      <c r="H203" s="592" t="s">
        <v>2172</v>
      </c>
      <c r="I203" s="594">
        <v>124.63</v>
      </c>
      <c r="J203" s="594">
        <v>150</v>
      </c>
      <c r="K203" s="595">
        <v>18694.5</v>
      </c>
    </row>
    <row r="204" spans="1:11" ht="14.4" customHeight="1" x14ac:dyDescent="0.3">
      <c r="A204" s="590" t="s">
        <v>485</v>
      </c>
      <c r="B204" s="591" t="s">
        <v>1636</v>
      </c>
      <c r="C204" s="592" t="s">
        <v>490</v>
      </c>
      <c r="D204" s="593" t="s">
        <v>1637</v>
      </c>
      <c r="E204" s="592" t="s">
        <v>2275</v>
      </c>
      <c r="F204" s="593" t="s">
        <v>2276</v>
      </c>
      <c r="G204" s="592" t="s">
        <v>2173</v>
      </c>
      <c r="H204" s="592" t="s">
        <v>2174</v>
      </c>
      <c r="I204" s="594">
        <v>38</v>
      </c>
      <c r="J204" s="594">
        <v>15</v>
      </c>
      <c r="K204" s="595">
        <v>569.98</v>
      </c>
    </row>
    <row r="205" spans="1:11" ht="14.4" customHeight="1" x14ac:dyDescent="0.3">
      <c r="A205" s="590" t="s">
        <v>485</v>
      </c>
      <c r="B205" s="591" t="s">
        <v>1636</v>
      </c>
      <c r="C205" s="592" t="s">
        <v>490</v>
      </c>
      <c r="D205" s="593" t="s">
        <v>1637</v>
      </c>
      <c r="E205" s="592" t="s">
        <v>2275</v>
      </c>
      <c r="F205" s="593" t="s">
        <v>2276</v>
      </c>
      <c r="G205" s="592" t="s">
        <v>2175</v>
      </c>
      <c r="H205" s="592" t="s">
        <v>2176</v>
      </c>
      <c r="I205" s="594">
        <v>1234.2</v>
      </c>
      <c r="J205" s="594">
        <v>10</v>
      </c>
      <c r="K205" s="595">
        <v>12342</v>
      </c>
    </row>
    <row r="206" spans="1:11" ht="14.4" customHeight="1" x14ac:dyDescent="0.3">
      <c r="A206" s="590" t="s">
        <v>485</v>
      </c>
      <c r="B206" s="591" t="s">
        <v>1636</v>
      </c>
      <c r="C206" s="592" t="s">
        <v>490</v>
      </c>
      <c r="D206" s="593" t="s">
        <v>1637</v>
      </c>
      <c r="E206" s="592" t="s">
        <v>2275</v>
      </c>
      <c r="F206" s="593" t="s">
        <v>2276</v>
      </c>
      <c r="G206" s="592" t="s">
        <v>2177</v>
      </c>
      <c r="H206" s="592" t="s">
        <v>2178</v>
      </c>
      <c r="I206" s="594">
        <v>172.56000000000003</v>
      </c>
      <c r="J206" s="594">
        <v>25</v>
      </c>
      <c r="K206" s="595">
        <v>4313.96</v>
      </c>
    </row>
    <row r="207" spans="1:11" ht="14.4" customHeight="1" x14ac:dyDescent="0.3">
      <c r="A207" s="590" t="s">
        <v>485</v>
      </c>
      <c r="B207" s="591" t="s">
        <v>1636</v>
      </c>
      <c r="C207" s="592" t="s">
        <v>490</v>
      </c>
      <c r="D207" s="593" t="s">
        <v>1637</v>
      </c>
      <c r="E207" s="592" t="s">
        <v>2275</v>
      </c>
      <c r="F207" s="593" t="s">
        <v>2276</v>
      </c>
      <c r="G207" s="592" t="s">
        <v>2179</v>
      </c>
      <c r="H207" s="592" t="s">
        <v>2180</v>
      </c>
      <c r="I207" s="594">
        <v>50.6</v>
      </c>
      <c r="J207" s="594">
        <v>50</v>
      </c>
      <c r="K207" s="595">
        <v>2530</v>
      </c>
    </row>
    <row r="208" spans="1:11" ht="14.4" customHeight="1" x14ac:dyDescent="0.3">
      <c r="A208" s="590" t="s">
        <v>485</v>
      </c>
      <c r="B208" s="591" t="s">
        <v>1636</v>
      </c>
      <c r="C208" s="592" t="s">
        <v>490</v>
      </c>
      <c r="D208" s="593" t="s">
        <v>1637</v>
      </c>
      <c r="E208" s="592" t="s">
        <v>2275</v>
      </c>
      <c r="F208" s="593" t="s">
        <v>2276</v>
      </c>
      <c r="G208" s="592" t="s">
        <v>2181</v>
      </c>
      <c r="H208" s="592" t="s">
        <v>2182</v>
      </c>
      <c r="I208" s="594">
        <v>1128.25</v>
      </c>
      <c r="J208" s="594">
        <v>1</v>
      </c>
      <c r="K208" s="595">
        <v>1128.25</v>
      </c>
    </row>
    <row r="209" spans="1:11" ht="14.4" customHeight="1" x14ac:dyDescent="0.3">
      <c r="A209" s="590" t="s">
        <v>485</v>
      </c>
      <c r="B209" s="591" t="s">
        <v>1636</v>
      </c>
      <c r="C209" s="592" t="s">
        <v>490</v>
      </c>
      <c r="D209" s="593" t="s">
        <v>1637</v>
      </c>
      <c r="E209" s="592" t="s">
        <v>2275</v>
      </c>
      <c r="F209" s="593" t="s">
        <v>2276</v>
      </c>
      <c r="G209" s="592" t="s">
        <v>2183</v>
      </c>
      <c r="H209" s="592" t="s">
        <v>2184</v>
      </c>
      <c r="I209" s="594">
        <v>16</v>
      </c>
      <c r="J209" s="594">
        <v>10</v>
      </c>
      <c r="K209" s="595">
        <v>159.96</v>
      </c>
    </row>
    <row r="210" spans="1:11" ht="14.4" customHeight="1" x14ac:dyDescent="0.3">
      <c r="A210" s="590" t="s">
        <v>485</v>
      </c>
      <c r="B210" s="591" t="s">
        <v>1636</v>
      </c>
      <c r="C210" s="592" t="s">
        <v>490</v>
      </c>
      <c r="D210" s="593" t="s">
        <v>1637</v>
      </c>
      <c r="E210" s="592" t="s">
        <v>2275</v>
      </c>
      <c r="F210" s="593" t="s">
        <v>2276</v>
      </c>
      <c r="G210" s="592" t="s">
        <v>2185</v>
      </c>
      <c r="H210" s="592" t="s">
        <v>2186</v>
      </c>
      <c r="I210" s="594">
        <v>21.41</v>
      </c>
      <c r="J210" s="594">
        <v>6</v>
      </c>
      <c r="K210" s="595">
        <v>128.46</v>
      </c>
    </row>
    <row r="211" spans="1:11" ht="14.4" customHeight="1" x14ac:dyDescent="0.3">
      <c r="A211" s="590" t="s">
        <v>485</v>
      </c>
      <c r="B211" s="591" t="s">
        <v>1636</v>
      </c>
      <c r="C211" s="592" t="s">
        <v>490</v>
      </c>
      <c r="D211" s="593" t="s">
        <v>1637</v>
      </c>
      <c r="E211" s="592" t="s">
        <v>2275</v>
      </c>
      <c r="F211" s="593" t="s">
        <v>2276</v>
      </c>
      <c r="G211" s="592" t="s">
        <v>2187</v>
      </c>
      <c r="H211" s="592" t="s">
        <v>2188</v>
      </c>
      <c r="I211" s="594">
        <v>1109.27</v>
      </c>
      <c r="J211" s="594">
        <v>5</v>
      </c>
      <c r="K211" s="595">
        <v>5546.34</v>
      </c>
    </row>
    <row r="212" spans="1:11" ht="14.4" customHeight="1" x14ac:dyDescent="0.3">
      <c r="A212" s="590" t="s">
        <v>485</v>
      </c>
      <c r="B212" s="591" t="s">
        <v>1636</v>
      </c>
      <c r="C212" s="592" t="s">
        <v>490</v>
      </c>
      <c r="D212" s="593" t="s">
        <v>1637</v>
      </c>
      <c r="E212" s="592" t="s">
        <v>2275</v>
      </c>
      <c r="F212" s="593" t="s">
        <v>2276</v>
      </c>
      <c r="G212" s="592" t="s">
        <v>2189</v>
      </c>
      <c r="H212" s="592" t="s">
        <v>2190</v>
      </c>
      <c r="I212" s="594">
        <v>1647.29</v>
      </c>
      <c r="J212" s="594">
        <v>5</v>
      </c>
      <c r="K212" s="595">
        <v>8236.4699999999993</v>
      </c>
    </row>
    <row r="213" spans="1:11" ht="14.4" customHeight="1" x14ac:dyDescent="0.3">
      <c r="A213" s="590" t="s">
        <v>485</v>
      </c>
      <c r="B213" s="591" t="s">
        <v>1636</v>
      </c>
      <c r="C213" s="592" t="s">
        <v>490</v>
      </c>
      <c r="D213" s="593" t="s">
        <v>1637</v>
      </c>
      <c r="E213" s="592" t="s">
        <v>2275</v>
      </c>
      <c r="F213" s="593" t="s">
        <v>2276</v>
      </c>
      <c r="G213" s="592" t="s">
        <v>2191</v>
      </c>
      <c r="H213" s="592" t="s">
        <v>2192</v>
      </c>
      <c r="I213" s="594">
        <v>3365.01</v>
      </c>
      <c r="J213" s="594">
        <v>2</v>
      </c>
      <c r="K213" s="595">
        <v>6730.02</v>
      </c>
    </row>
    <row r="214" spans="1:11" ht="14.4" customHeight="1" x14ac:dyDescent="0.3">
      <c r="A214" s="590" t="s">
        <v>485</v>
      </c>
      <c r="B214" s="591" t="s">
        <v>1636</v>
      </c>
      <c r="C214" s="592" t="s">
        <v>490</v>
      </c>
      <c r="D214" s="593" t="s">
        <v>1637</v>
      </c>
      <c r="E214" s="592" t="s">
        <v>2275</v>
      </c>
      <c r="F214" s="593" t="s">
        <v>2276</v>
      </c>
      <c r="G214" s="592" t="s">
        <v>2193</v>
      </c>
      <c r="H214" s="592" t="s">
        <v>2194</v>
      </c>
      <c r="I214" s="594">
        <v>56.51</v>
      </c>
      <c r="J214" s="594">
        <v>32</v>
      </c>
      <c r="K214" s="595">
        <v>1808.32</v>
      </c>
    </row>
    <row r="215" spans="1:11" ht="14.4" customHeight="1" x14ac:dyDescent="0.3">
      <c r="A215" s="590" t="s">
        <v>485</v>
      </c>
      <c r="B215" s="591" t="s">
        <v>1636</v>
      </c>
      <c r="C215" s="592" t="s">
        <v>490</v>
      </c>
      <c r="D215" s="593" t="s">
        <v>1637</v>
      </c>
      <c r="E215" s="592" t="s">
        <v>2275</v>
      </c>
      <c r="F215" s="593" t="s">
        <v>2276</v>
      </c>
      <c r="G215" s="592" t="s">
        <v>2195</v>
      </c>
      <c r="H215" s="592" t="s">
        <v>2196</v>
      </c>
      <c r="I215" s="594">
        <v>37.369999999999997</v>
      </c>
      <c r="J215" s="594">
        <v>18</v>
      </c>
      <c r="K215" s="595">
        <v>672.6</v>
      </c>
    </row>
    <row r="216" spans="1:11" ht="14.4" customHeight="1" x14ac:dyDescent="0.3">
      <c r="A216" s="590" t="s">
        <v>485</v>
      </c>
      <c r="B216" s="591" t="s">
        <v>1636</v>
      </c>
      <c r="C216" s="592" t="s">
        <v>490</v>
      </c>
      <c r="D216" s="593" t="s">
        <v>1637</v>
      </c>
      <c r="E216" s="592" t="s">
        <v>2283</v>
      </c>
      <c r="F216" s="593" t="s">
        <v>2284</v>
      </c>
      <c r="G216" s="592" t="s">
        <v>2197</v>
      </c>
      <c r="H216" s="592" t="s">
        <v>2198</v>
      </c>
      <c r="I216" s="594">
        <v>155.16</v>
      </c>
      <c r="J216" s="594">
        <v>1</v>
      </c>
      <c r="K216" s="595">
        <v>155.16</v>
      </c>
    </row>
    <row r="217" spans="1:11" ht="14.4" customHeight="1" x14ac:dyDescent="0.3">
      <c r="A217" s="590" t="s">
        <v>485</v>
      </c>
      <c r="B217" s="591" t="s">
        <v>1636</v>
      </c>
      <c r="C217" s="592" t="s">
        <v>490</v>
      </c>
      <c r="D217" s="593" t="s">
        <v>1637</v>
      </c>
      <c r="E217" s="592" t="s">
        <v>2285</v>
      </c>
      <c r="F217" s="593" t="s">
        <v>2286</v>
      </c>
      <c r="G217" s="592" t="s">
        <v>2199</v>
      </c>
      <c r="H217" s="592" t="s">
        <v>2200</v>
      </c>
      <c r="I217" s="594">
        <v>160.19999999999999</v>
      </c>
      <c r="J217" s="594">
        <v>8</v>
      </c>
      <c r="K217" s="595">
        <v>1279</v>
      </c>
    </row>
    <row r="218" spans="1:11" ht="14.4" customHeight="1" x14ac:dyDescent="0.3">
      <c r="A218" s="590" t="s">
        <v>485</v>
      </c>
      <c r="B218" s="591" t="s">
        <v>1636</v>
      </c>
      <c r="C218" s="592" t="s">
        <v>490</v>
      </c>
      <c r="D218" s="593" t="s">
        <v>1637</v>
      </c>
      <c r="E218" s="592" t="s">
        <v>2287</v>
      </c>
      <c r="F218" s="593" t="s">
        <v>2288</v>
      </c>
      <c r="G218" s="592" t="s">
        <v>2201</v>
      </c>
      <c r="H218" s="592" t="s">
        <v>2202</v>
      </c>
      <c r="I218" s="594">
        <v>319.91000000000003</v>
      </c>
      <c r="J218" s="594">
        <v>60</v>
      </c>
      <c r="K218" s="595">
        <v>19194.71</v>
      </c>
    </row>
    <row r="219" spans="1:11" ht="14.4" customHeight="1" x14ac:dyDescent="0.3">
      <c r="A219" s="590" t="s">
        <v>485</v>
      </c>
      <c r="B219" s="591" t="s">
        <v>1636</v>
      </c>
      <c r="C219" s="592" t="s">
        <v>490</v>
      </c>
      <c r="D219" s="593" t="s">
        <v>1637</v>
      </c>
      <c r="E219" s="592" t="s">
        <v>2287</v>
      </c>
      <c r="F219" s="593" t="s">
        <v>2288</v>
      </c>
      <c r="G219" s="592" t="s">
        <v>2203</v>
      </c>
      <c r="H219" s="592" t="s">
        <v>2204</v>
      </c>
      <c r="I219" s="594">
        <v>568.79</v>
      </c>
      <c r="J219" s="594">
        <v>30</v>
      </c>
      <c r="K219" s="595">
        <v>17063.550000000003</v>
      </c>
    </row>
    <row r="220" spans="1:11" ht="14.4" customHeight="1" x14ac:dyDescent="0.3">
      <c r="A220" s="590" t="s">
        <v>485</v>
      </c>
      <c r="B220" s="591" t="s">
        <v>1636</v>
      </c>
      <c r="C220" s="592" t="s">
        <v>490</v>
      </c>
      <c r="D220" s="593" t="s">
        <v>1637</v>
      </c>
      <c r="E220" s="592" t="s">
        <v>2287</v>
      </c>
      <c r="F220" s="593" t="s">
        <v>2288</v>
      </c>
      <c r="G220" s="592" t="s">
        <v>2205</v>
      </c>
      <c r="H220" s="592" t="s">
        <v>2206</v>
      </c>
      <c r="I220" s="594">
        <v>442.39000000000004</v>
      </c>
      <c r="J220" s="594">
        <v>30</v>
      </c>
      <c r="K220" s="595">
        <v>13271.64</v>
      </c>
    </row>
    <row r="221" spans="1:11" ht="14.4" customHeight="1" x14ac:dyDescent="0.3">
      <c r="A221" s="590" t="s">
        <v>485</v>
      </c>
      <c r="B221" s="591" t="s">
        <v>1636</v>
      </c>
      <c r="C221" s="592" t="s">
        <v>490</v>
      </c>
      <c r="D221" s="593" t="s">
        <v>1637</v>
      </c>
      <c r="E221" s="592" t="s">
        <v>2287</v>
      </c>
      <c r="F221" s="593" t="s">
        <v>2288</v>
      </c>
      <c r="G221" s="592" t="s">
        <v>2207</v>
      </c>
      <c r="H221" s="592" t="s">
        <v>2208</v>
      </c>
      <c r="I221" s="594">
        <v>3249</v>
      </c>
      <c r="J221" s="594">
        <v>5</v>
      </c>
      <c r="K221" s="595">
        <v>16244.98</v>
      </c>
    </row>
    <row r="222" spans="1:11" ht="14.4" customHeight="1" x14ac:dyDescent="0.3">
      <c r="A222" s="590" t="s">
        <v>485</v>
      </c>
      <c r="B222" s="591" t="s">
        <v>1636</v>
      </c>
      <c r="C222" s="592" t="s">
        <v>490</v>
      </c>
      <c r="D222" s="593" t="s">
        <v>1637</v>
      </c>
      <c r="E222" s="592" t="s">
        <v>2277</v>
      </c>
      <c r="F222" s="593" t="s">
        <v>2278</v>
      </c>
      <c r="G222" s="592" t="s">
        <v>2209</v>
      </c>
      <c r="H222" s="592" t="s">
        <v>2210</v>
      </c>
      <c r="I222" s="594">
        <v>2299</v>
      </c>
      <c r="J222" s="594">
        <v>1</v>
      </c>
      <c r="K222" s="595">
        <v>2299</v>
      </c>
    </row>
    <row r="223" spans="1:11" ht="14.4" customHeight="1" x14ac:dyDescent="0.3">
      <c r="A223" s="590" t="s">
        <v>485</v>
      </c>
      <c r="B223" s="591" t="s">
        <v>1636</v>
      </c>
      <c r="C223" s="592" t="s">
        <v>490</v>
      </c>
      <c r="D223" s="593" t="s">
        <v>1637</v>
      </c>
      <c r="E223" s="592" t="s">
        <v>2277</v>
      </c>
      <c r="F223" s="593" t="s">
        <v>2278</v>
      </c>
      <c r="G223" s="592" t="s">
        <v>1821</v>
      </c>
      <c r="H223" s="592" t="s">
        <v>1822</v>
      </c>
      <c r="I223" s="594">
        <v>8.1675000000000004</v>
      </c>
      <c r="J223" s="594">
        <v>2600</v>
      </c>
      <c r="K223" s="595">
        <v>21234</v>
      </c>
    </row>
    <row r="224" spans="1:11" ht="14.4" customHeight="1" x14ac:dyDescent="0.3">
      <c r="A224" s="590" t="s">
        <v>485</v>
      </c>
      <c r="B224" s="591" t="s">
        <v>1636</v>
      </c>
      <c r="C224" s="592" t="s">
        <v>490</v>
      </c>
      <c r="D224" s="593" t="s">
        <v>1637</v>
      </c>
      <c r="E224" s="592" t="s">
        <v>2277</v>
      </c>
      <c r="F224" s="593" t="s">
        <v>2278</v>
      </c>
      <c r="G224" s="592" t="s">
        <v>1821</v>
      </c>
      <c r="H224" s="592" t="s">
        <v>2211</v>
      </c>
      <c r="I224" s="594">
        <v>8.1675000000000004</v>
      </c>
      <c r="J224" s="594">
        <v>1800</v>
      </c>
      <c r="K224" s="595">
        <v>14698</v>
      </c>
    </row>
    <row r="225" spans="1:11" ht="14.4" customHeight="1" x14ac:dyDescent="0.3">
      <c r="A225" s="590" t="s">
        <v>485</v>
      </c>
      <c r="B225" s="591" t="s">
        <v>1636</v>
      </c>
      <c r="C225" s="592" t="s">
        <v>490</v>
      </c>
      <c r="D225" s="593" t="s">
        <v>1637</v>
      </c>
      <c r="E225" s="592" t="s">
        <v>2277</v>
      </c>
      <c r="F225" s="593" t="s">
        <v>2278</v>
      </c>
      <c r="G225" s="592" t="s">
        <v>2212</v>
      </c>
      <c r="H225" s="592" t="s">
        <v>2213</v>
      </c>
      <c r="I225" s="594">
        <v>162.63</v>
      </c>
      <c r="J225" s="594">
        <v>30</v>
      </c>
      <c r="K225" s="595">
        <v>4879</v>
      </c>
    </row>
    <row r="226" spans="1:11" ht="14.4" customHeight="1" x14ac:dyDescent="0.3">
      <c r="A226" s="590" t="s">
        <v>485</v>
      </c>
      <c r="B226" s="591" t="s">
        <v>1636</v>
      </c>
      <c r="C226" s="592" t="s">
        <v>490</v>
      </c>
      <c r="D226" s="593" t="s">
        <v>1637</v>
      </c>
      <c r="E226" s="592" t="s">
        <v>2277</v>
      </c>
      <c r="F226" s="593" t="s">
        <v>2278</v>
      </c>
      <c r="G226" s="592" t="s">
        <v>2214</v>
      </c>
      <c r="H226" s="592" t="s">
        <v>2215</v>
      </c>
      <c r="I226" s="594">
        <v>6.85</v>
      </c>
      <c r="J226" s="594">
        <v>400</v>
      </c>
      <c r="K226" s="595">
        <v>2740</v>
      </c>
    </row>
    <row r="227" spans="1:11" ht="14.4" customHeight="1" x14ac:dyDescent="0.3">
      <c r="A227" s="590" t="s">
        <v>485</v>
      </c>
      <c r="B227" s="591" t="s">
        <v>1636</v>
      </c>
      <c r="C227" s="592" t="s">
        <v>490</v>
      </c>
      <c r="D227" s="593" t="s">
        <v>1637</v>
      </c>
      <c r="E227" s="592" t="s">
        <v>2279</v>
      </c>
      <c r="F227" s="593" t="s">
        <v>2280</v>
      </c>
      <c r="G227" s="592" t="s">
        <v>2216</v>
      </c>
      <c r="H227" s="592" t="s">
        <v>2217</v>
      </c>
      <c r="I227" s="594">
        <v>0.30499999999999999</v>
      </c>
      <c r="J227" s="594">
        <v>2000</v>
      </c>
      <c r="K227" s="595">
        <v>610</v>
      </c>
    </row>
    <row r="228" spans="1:11" ht="14.4" customHeight="1" x14ac:dyDescent="0.3">
      <c r="A228" s="590" t="s">
        <v>485</v>
      </c>
      <c r="B228" s="591" t="s">
        <v>1636</v>
      </c>
      <c r="C228" s="592" t="s">
        <v>490</v>
      </c>
      <c r="D228" s="593" t="s">
        <v>1637</v>
      </c>
      <c r="E228" s="592" t="s">
        <v>2279</v>
      </c>
      <c r="F228" s="593" t="s">
        <v>2280</v>
      </c>
      <c r="G228" s="592" t="s">
        <v>2218</v>
      </c>
      <c r="H228" s="592" t="s">
        <v>2219</v>
      </c>
      <c r="I228" s="594">
        <v>0.30333333333333329</v>
      </c>
      <c r="J228" s="594">
        <v>1600</v>
      </c>
      <c r="K228" s="595">
        <v>490</v>
      </c>
    </row>
    <row r="229" spans="1:11" ht="14.4" customHeight="1" x14ac:dyDescent="0.3">
      <c r="A229" s="590" t="s">
        <v>485</v>
      </c>
      <c r="B229" s="591" t="s">
        <v>1636</v>
      </c>
      <c r="C229" s="592" t="s">
        <v>490</v>
      </c>
      <c r="D229" s="593" t="s">
        <v>1637</v>
      </c>
      <c r="E229" s="592" t="s">
        <v>2279</v>
      </c>
      <c r="F229" s="593" t="s">
        <v>2280</v>
      </c>
      <c r="G229" s="592" t="s">
        <v>2220</v>
      </c>
      <c r="H229" s="592" t="s">
        <v>2221</v>
      </c>
      <c r="I229" s="594">
        <v>0.3066666666666667</v>
      </c>
      <c r="J229" s="594">
        <v>4500</v>
      </c>
      <c r="K229" s="595">
        <v>1380</v>
      </c>
    </row>
    <row r="230" spans="1:11" ht="14.4" customHeight="1" x14ac:dyDescent="0.3">
      <c r="A230" s="590" t="s">
        <v>485</v>
      </c>
      <c r="B230" s="591" t="s">
        <v>1636</v>
      </c>
      <c r="C230" s="592" t="s">
        <v>490</v>
      </c>
      <c r="D230" s="593" t="s">
        <v>1637</v>
      </c>
      <c r="E230" s="592" t="s">
        <v>2279</v>
      </c>
      <c r="F230" s="593" t="s">
        <v>2280</v>
      </c>
      <c r="G230" s="592" t="s">
        <v>2222</v>
      </c>
      <c r="H230" s="592" t="s">
        <v>2223</v>
      </c>
      <c r="I230" s="594">
        <v>0.3</v>
      </c>
      <c r="J230" s="594">
        <v>100</v>
      </c>
      <c r="K230" s="595">
        <v>30</v>
      </c>
    </row>
    <row r="231" spans="1:11" ht="14.4" customHeight="1" x14ac:dyDescent="0.3">
      <c r="A231" s="590" t="s">
        <v>485</v>
      </c>
      <c r="B231" s="591" t="s">
        <v>1636</v>
      </c>
      <c r="C231" s="592" t="s">
        <v>490</v>
      </c>
      <c r="D231" s="593" t="s">
        <v>1637</v>
      </c>
      <c r="E231" s="592" t="s">
        <v>2279</v>
      </c>
      <c r="F231" s="593" t="s">
        <v>2280</v>
      </c>
      <c r="G231" s="592" t="s">
        <v>2224</v>
      </c>
      <c r="H231" s="592" t="s">
        <v>2225</v>
      </c>
      <c r="I231" s="594">
        <v>0.68</v>
      </c>
      <c r="J231" s="594">
        <v>150</v>
      </c>
      <c r="K231" s="595">
        <v>102</v>
      </c>
    </row>
    <row r="232" spans="1:11" ht="14.4" customHeight="1" x14ac:dyDescent="0.3">
      <c r="A232" s="590" t="s">
        <v>485</v>
      </c>
      <c r="B232" s="591" t="s">
        <v>1636</v>
      </c>
      <c r="C232" s="592" t="s">
        <v>490</v>
      </c>
      <c r="D232" s="593" t="s">
        <v>1637</v>
      </c>
      <c r="E232" s="592" t="s">
        <v>2279</v>
      </c>
      <c r="F232" s="593" t="s">
        <v>2280</v>
      </c>
      <c r="G232" s="592" t="s">
        <v>2226</v>
      </c>
      <c r="H232" s="592" t="s">
        <v>2227</v>
      </c>
      <c r="I232" s="594">
        <v>10.45</v>
      </c>
      <c r="J232" s="594">
        <v>20</v>
      </c>
      <c r="K232" s="595">
        <v>209.09</v>
      </c>
    </row>
    <row r="233" spans="1:11" ht="14.4" customHeight="1" x14ac:dyDescent="0.3">
      <c r="A233" s="590" t="s">
        <v>485</v>
      </c>
      <c r="B233" s="591" t="s">
        <v>1636</v>
      </c>
      <c r="C233" s="592" t="s">
        <v>490</v>
      </c>
      <c r="D233" s="593" t="s">
        <v>1637</v>
      </c>
      <c r="E233" s="592" t="s">
        <v>2279</v>
      </c>
      <c r="F233" s="593" t="s">
        <v>2280</v>
      </c>
      <c r="G233" s="592" t="s">
        <v>2228</v>
      </c>
      <c r="H233" s="592" t="s">
        <v>2229</v>
      </c>
      <c r="I233" s="594">
        <v>0.30333333333333329</v>
      </c>
      <c r="J233" s="594">
        <v>15000</v>
      </c>
      <c r="K233" s="595">
        <v>4550</v>
      </c>
    </row>
    <row r="234" spans="1:11" ht="14.4" customHeight="1" x14ac:dyDescent="0.3">
      <c r="A234" s="590" t="s">
        <v>485</v>
      </c>
      <c r="B234" s="591" t="s">
        <v>1636</v>
      </c>
      <c r="C234" s="592" t="s">
        <v>490</v>
      </c>
      <c r="D234" s="593" t="s">
        <v>1637</v>
      </c>
      <c r="E234" s="592" t="s">
        <v>2279</v>
      </c>
      <c r="F234" s="593" t="s">
        <v>2280</v>
      </c>
      <c r="G234" s="592" t="s">
        <v>2230</v>
      </c>
      <c r="H234" s="592" t="s">
        <v>2231</v>
      </c>
      <c r="I234" s="594">
        <v>1.76</v>
      </c>
      <c r="J234" s="594">
        <v>200</v>
      </c>
      <c r="K234" s="595">
        <v>352</v>
      </c>
    </row>
    <row r="235" spans="1:11" ht="14.4" customHeight="1" x14ac:dyDescent="0.3">
      <c r="A235" s="590" t="s">
        <v>485</v>
      </c>
      <c r="B235" s="591" t="s">
        <v>1636</v>
      </c>
      <c r="C235" s="592" t="s">
        <v>490</v>
      </c>
      <c r="D235" s="593" t="s">
        <v>1637</v>
      </c>
      <c r="E235" s="592" t="s">
        <v>2279</v>
      </c>
      <c r="F235" s="593" t="s">
        <v>2280</v>
      </c>
      <c r="G235" s="592" t="s">
        <v>2232</v>
      </c>
      <c r="H235" s="592" t="s">
        <v>2233</v>
      </c>
      <c r="I235" s="594">
        <v>10.16</v>
      </c>
      <c r="J235" s="594">
        <v>20</v>
      </c>
      <c r="K235" s="595">
        <v>203.28</v>
      </c>
    </row>
    <row r="236" spans="1:11" ht="14.4" customHeight="1" x14ac:dyDescent="0.3">
      <c r="A236" s="590" t="s">
        <v>485</v>
      </c>
      <c r="B236" s="591" t="s">
        <v>1636</v>
      </c>
      <c r="C236" s="592" t="s">
        <v>490</v>
      </c>
      <c r="D236" s="593" t="s">
        <v>1637</v>
      </c>
      <c r="E236" s="592" t="s">
        <v>2281</v>
      </c>
      <c r="F236" s="593" t="s">
        <v>2282</v>
      </c>
      <c r="G236" s="592" t="s">
        <v>2234</v>
      </c>
      <c r="H236" s="592" t="s">
        <v>2235</v>
      </c>
      <c r="I236" s="594">
        <v>0.64</v>
      </c>
      <c r="J236" s="594">
        <v>15000</v>
      </c>
      <c r="K236" s="595">
        <v>9619.5</v>
      </c>
    </row>
    <row r="237" spans="1:11" ht="14.4" customHeight="1" x14ac:dyDescent="0.3">
      <c r="A237" s="590" t="s">
        <v>485</v>
      </c>
      <c r="B237" s="591" t="s">
        <v>1636</v>
      </c>
      <c r="C237" s="592" t="s">
        <v>490</v>
      </c>
      <c r="D237" s="593" t="s">
        <v>1637</v>
      </c>
      <c r="E237" s="592" t="s">
        <v>2281</v>
      </c>
      <c r="F237" s="593" t="s">
        <v>2282</v>
      </c>
      <c r="G237" s="592" t="s">
        <v>2236</v>
      </c>
      <c r="H237" s="592" t="s">
        <v>2237</v>
      </c>
      <c r="I237" s="594">
        <v>0.74</v>
      </c>
      <c r="J237" s="594">
        <v>1000</v>
      </c>
      <c r="K237" s="595">
        <v>740</v>
      </c>
    </row>
    <row r="238" spans="1:11" ht="14.4" customHeight="1" x14ac:dyDescent="0.3">
      <c r="A238" s="590" t="s">
        <v>485</v>
      </c>
      <c r="B238" s="591" t="s">
        <v>1636</v>
      </c>
      <c r="C238" s="592" t="s">
        <v>490</v>
      </c>
      <c r="D238" s="593" t="s">
        <v>1637</v>
      </c>
      <c r="E238" s="592" t="s">
        <v>2281</v>
      </c>
      <c r="F238" s="593" t="s">
        <v>2282</v>
      </c>
      <c r="G238" s="592" t="s">
        <v>1827</v>
      </c>
      <c r="H238" s="592" t="s">
        <v>1828</v>
      </c>
      <c r="I238" s="594">
        <v>7.51</v>
      </c>
      <c r="J238" s="594">
        <v>100</v>
      </c>
      <c r="K238" s="595">
        <v>751</v>
      </c>
    </row>
    <row r="239" spans="1:11" ht="14.4" customHeight="1" x14ac:dyDescent="0.3">
      <c r="A239" s="590" t="s">
        <v>485</v>
      </c>
      <c r="B239" s="591" t="s">
        <v>1636</v>
      </c>
      <c r="C239" s="592" t="s">
        <v>490</v>
      </c>
      <c r="D239" s="593" t="s">
        <v>1637</v>
      </c>
      <c r="E239" s="592" t="s">
        <v>2281</v>
      </c>
      <c r="F239" s="593" t="s">
        <v>2282</v>
      </c>
      <c r="G239" s="592" t="s">
        <v>1829</v>
      </c>
      <c r="H239" s="592" t="s">
        <v>1830</v>
      </c>
      <c r="I239" s="594">
        <v>7.5</v>
      </c>
      <c r="J239" s="594">
        <v>50</v>
      </c>
      <c r="K239" s="595">
        <v>375</v>
      </c>
    </row>
    <row r="240" spans="1:11" ht="14.4" customHeight="1" x14ac:dyDescent="0.3">
      <c r="A240" s="590" t="s">
        <v>485</v>
      </c>
      <c r="B240" s="591" t="s">
        <v>1636</v>
      </c>
      <c r="C240" s="592" t="s">
        <v>490</v>
      </c>
      <c r="D240" s="593" t="s">
        <v>1637</v>
      </c>
      <c r="E240" s="592" t="s">
        <v>2281</v>
      </c>
      <c r="F240" s="593" t="s">
        <v>2282</v>
      </c>
      <c r="G240" s="592" t="s">
        <v>2238</v>
      </c>
      <c r="H240" s="592" t="s">
        <v>2239</v>
      </c>
      <c r="I240" s="594">
        <v>11.01</v>
      </c>
      <c r="J240" s="594">
        <v>50</v>
      </c>
      <c r="K240" s="595">
        <v>550.5</v>
      </c>
    </row>
    <row r="241" spans="1:11" ht="14.4" customHeight="1" x14ac:dyDescent="0.3">
      <c r="A241" s="590" t="s">
        <v>485</v>
      </c>
      <c r="B241" s="591" t="s">
        <v>1636</v>
      </c>
      <c r="C241" s="592" t="s">
        <v>490</v>
      </c>
      <c r="D241" s="593" t="s">
        <v>1637</v>
      </c>
      <c r="E241" s="592" t="s">
        <v>2281</v>
      </c>
      <c r="F241" s="593" t="s">
        <v>2282</v>
      </c>
      <c r="G241" s="592" t="s">
        <v>2240</v>
      </c>
      <c r="H241" s="592" t="s">
        <v>2241</v>
      </c>
      <c r="I241" s="594">
        <v>11.015000000000001</v>
      </c>
      <c r="J241" s="594">
        <v>100</v>
      </c>
      <c r="K241" s="595">
        <v>1101.5</v>
      </c>
    </row>
    <row r="242" spans="1:11" ht="14.4" customHeight="1" x14ac:dyDescent="0.3">
      <c r="A242" s="590" t="s">
        <v>485</v>
      </c>
      <c r="B242" s="591" t="s">
        <v>1636</v>
      </c>
      <c r="C242" s="592" t="s">
        <v>490</v>
      </c>
      <c r="D242" s="593" t="s">
        <v>1637</v>
      </c>
      <c r="E242" s="592" t="s">
        <v>2281</v>
      </c>
      <c r="F242" s="593" t="s">
        <v>2282</v>
      </c>
      <c r="G242" s="592" t="s">
        <v>2242</v>
      </c>
      <c r="H242" s="592" t="s">
        <v>2243</v>
      </c>
      <c r="I242" s="594">
        <v>11.01</v>
      </c>
      <c r="J242" s="594">
        <v>50</v>
      </c>
      <c r="K242" s="595">
        <v>550.5</v>
      </c>
    </row>
    <row r="243" spans="1:11" ht="14.4" customHeight="1" x14ac:dyDescent="0.3">
      <c r="A243" s="590" t="s">
        <v>485</v>
      </c>
      <c r="B243" s="591" t="s">
        <v>1636</v>
      </c>
      <c r="C243" s="592" t="s">
        <v>490</v>
      </c>
      <c r="D243" s="593" t="s">
        <v>1637</v>
      </c>
      <c r="E243" s="592" t="s">
        <v>2281</v>
      </c>
      <c r="F243" s="593" t="s">
        <v>2282</v>
      </c>
      <c r="G243" s="592" t="s">
        <v>2244</v>
      </c>
      <c r="H243" s="592" t="s">
        <v>2245</v>
      </c>
      <c r="I243" s="594">
        <v>0.77500000000000013</v>
      </c>
      <c r="J243" s="594">
        <v>4000</v>
      </c>
      <c r="K243" s="595">
        <v>3100</v>
      </c>
    </row>
    <row r="244" spans="1:11" ht="14.4" customHeight="1" x14ac:dyDescent="0.3">
      <c r="A244" s="590" t="s">
        <v>485</v>
      </c>
      <c r="B244" s="591" t="s">
        <v>1636</v>
      </c>
      <c r="C244" s="592" t="s">
        <v>490</v>
      </c>
      <c r="D244" s="593" t="s">
        <v>1637</v>
      </c>
      <c r="E244" s="592" t="s">
        <v>2281</v>
      </c>
      <c r="F244" s="593" t="s">
        <v>2282</v>
      </c>
      <c r="G244" s="592" t="s">
        <v>2246</v>
      </c>
      <c r="H244" s="592" t="s">
        <v>2247</v>
      </c>
      <c r="I244" s="594">
        <v>0.77</v>
      </c>
      <c r="J244" s="594">
        <v>60000</v>
      </c>
      <c r="K244" s="595">
        <v>46200</v>
      </c>
    </row>
    <row r="245" spans="1:11" ht="14.4" customHeight="1" x14ac:dyDescent="0.3">
      <c r="A245" s="590" t="s">
        <v>485</v>
      </c>
      <c r="B245" s="591" t="s">
        <v>1636</v>
      </c>
      <c r="C245" s="592" t="s">
        <v>490</v>
      </c>
      <c r="D245" s="593" t="s">
        <v>1637</v>
      </c>
      <c r="E245" s="592" t="s">
        <v>2281</v>
      </c>
      <c r="F245" s="593" t="s">
        <v>2282</v>
      </c>
      <c r="G245" s="592" t="s">
        <v>2248</v>
      </c>
      <c r="H245" s="592" t="s">
        <v>2249</v>
      </c>
      <c r="I245" s="594">
        <v>0.71</v>
      </c>
      <c r="J245" s="594">
        <v>15000</v>
      </c>
      <c r="K245" s="595">
        <v>10650</v>
      </c>
    </row>
    <row r="246" spans="1:11" ht="14.4" customHeight="1" x14ac:dyDescent="0.3">
      <c r="A246" s="590" t="s">
        <v>485</v>
      </c>
      <c r="B246" s="591" t="s">
        <v>1636</v>
      </c>
      <c r="C246" s="592" t="s">
        <v>490</v>
      </c>
      <c r="D246" s="593" t="s">
        <v>1637</v>
      </c>
      <c r="E246" s="592" t="s">
        <v>2281</v>
      </c>
      <c r="F246" s="593" t="s">
        <v>2282</v>
      </c>
      <c r="G246" s="592" t="s">
        <v>2250</v>
      </c>
      <c r="H246" s="592" t="s">
        <v>2251</v>
      </c>
      <c r="I246" s="594">
        <v>0.71</v>
      </c>
      <c r="J246" s="594">
        <v>1000</v>
      </c>
      <c r="K246" s="595">
        <v>710</v>
      </c>
    </row>
    <row r="247" spans="1:11" ht="14.4" customHeight="1" x14ac:dyDescent="0.3">
      <c r="A247" s="590" t="s">
        <v>485</v>
      </c>
      <c r="B247" s="591" t="s">
        <v>1636</v>
      </c>
      <c r="C247" s="592" t="s">
        <v>490</v>
      </c>
      <c r="D247" s="593" t="s">
        <v>1637</v>
      </c>
      <c r="E247" s="592" t="s">
        <v>2289</v>
      </c>
      <c r="F247" s="593" t="s">
        <v>2290</v>
      </c>
      <c r="G247" s="592" t="s">
        <v>2252</v>
      </c>
      <c r="H247" s="592" t="s">
        <v>2253</v>
      </c>
      <c r="I247" s="594">
        <v>139.44</v>
      </c>
      <c r="J247" s="594">
        <v>50</v>
      </c>
      <c r="K247" s="595">
        <v>6971.9900000000007</v>
      </c>
    </row>
    <row r="248" spans="1:11" ht="14.4" customHeight="1" x14ac:dyDescent="0.3">
      <c r="A248" s="590" t="s">
        <v>485</v>
      </c>
      <c r="B248" s="591" t="s">
        <v>1636</v>
      </c>
      <c r="C248" s="592" t="s">
        <v>490</v>
      </c>
      <c r="D248" s="593" t="s">
        <v>1637</v>
      </c>
      <c r="E248" s="592" t="s">
        <v>2289</v>
      </c>
      <c r="F248" s="593" t="s">
        <v>2290</v>
      </c>
      <c r="G248" s="592" t="s">
        <v>2254</v>
      </c>
      <c r="H248" s="592" t="s">
        <v>2255</v>
      </c>
      <c r="I248" s="594">
        <v>139.43800000000002</v>
      </c>
      <c r="J248" s="594">
        <v>50</v>
      </c>
      <c r="K248" s="595">
        <v>6971.87</v>
      </c>
    </row>
    <row r="249" spans="1:11" ht="14.4" customHeight="1" x14ac:dyDescent="0.3">
      <c r="A249" s="590" t="s">
        <v>485</v>
      </c>
      <c r="B249" s="591" t="s">
        <v>1636</v>
      </c>
      <c r="C249" s="592" t="s">
        <v>490</v>
      </c>
      <c r="D249" s="593" t="s">
        <v>1637</v>
      </c>
      <c r="E249" s="592" t="s">
        <v>2289</v>
      </c>
      <c r="F249" s="593" t="s">
        <v>2290</v>
      </c>
      <c r="G249" s="592" t="s">
        <v>2256</v>
      </c>
      <c r="H249" s="592" t="s">
        <v>2257</v>
      </c>
      <c r="I249" s="594">
        <v>152.46</v>
      </c>
      <c r="J249" s="594">
        <v>13</v>
      </c>
      <c r="K249" s="595">
        <v>1981.98</v>
      </c>
    </row>
    <row r="250" spans="1:11" ht="14.4" customHeight="1" x14ac:dyDescent="0.3">
      <c r="A250" s="590" t="s">
        <v>485</v>
      </c>
      <c r="B250" s="591" t="s">
        <v>1636</v>
      </c>
      <c r="C250" s="592" t="s">
        <v>490</v>
      </c>
      <c r="D250" s="593" t="s">
        <v>1637</v>
      </c>
      <c r="E250" s="592" t="s">
        <v>2289</v>
      </c>
      <c r="F250" s="593" t="s">
        <v>2290</v>
      </c>
      <c r="G250" s="592" t="s">
        <v>2258</v>
      </c>
      <c r="H250" s="592" t="s">
        <v>2259</v>
      </c>
      <c r="I250" s="594">
        <v>2746.7</v>
      </c>
      <c r="J250" s="594">
        <v>2</v>
      </c>
      <c r="K250" s="595">
        <v>5493.4</v>
      </c>
    </row>
    <row r="251" spans="1:11" ht="14.4" customHeight="1" x14ac:dyDescent="0.3">
      <c r="A251" s="590" t="s">
        <v>485</v>
      </c>
      <c r="B251" s="591" t="s">
        <v>1636</v>
      </c>
      <c r="C251" s="592" t="s">
        <v>490</v>
      </c>
      <c r="D251" s="593" t="s">
        <v>1637</v>
      </c>
      <c r="E251" s="592" t="s">
        <v>2289</v>
      </c>
      <c r="F251" s="593" t="s">
        <v>2290</v>
      </c>
      <c r="G251" s="592" t="s">
        <v>2260</v>
      </c>
      <c r="H251" s="592" t="s">
        <v>2261</v>
      </c>
      <c r="I251" s="594">
        <v>6352.5</v>
      </c>
      <c r="J251" s="594">
        <v>5</v>
      </c>
      <c r="K251" s="595">
        <v>31762.5</v>
      </c>
    </row>
    <row r="252" spans="1:11" ht="14.4" customHeight="1" x14ac:dyDescent="0.3">
      <c r="A252" s="590" t="s">
        <v>485</v>
      </c>
      <c r="B252" s="591" t="s">
        <v>1636</v>
      </c>
      <c r="C252" s="592" t="s">
        <v>490</v>
      </c>
      <c r="D252" s="593" t="s">
        <v>1637</v>
      </c>
      <c r="E252" s="592" t="s">
        <v>2289</v>
      </c>
      <c r="F252" s="593" t="s">
        <v>2290</v>
      </c>
      <c r="G252" s="592" t="s">
        <v>2262</v>
      </c>
      <c r="H252" s="592" t="s">
        <v>2263</v>
      </c>
      <c r="I252" s="594">
        <v>8470</v>
      </c>
      <c r="J252" s="594">
        <v>6</v>
      </c>
      <c r="K252" s="595">
        <v>50820</v>
      </c>
    </row>
    <row r="253" spans="1:11" ht="14.4" customHeight="1" x14ac:dyDescent="0.3">
      <c r="A253" s="590" t="s">
        <v>485</v>
      </c>
      <c r="B253" s="591" t="s">
        <v>1636</v>
      </c>
      <c r="C253" s="592" t="s">
        <v>490</v>
      </c>
      <c r="D253" s="593" t="s">
        <v>1637</v>
      </c>
      <c r="E253" s="592" t="s">
        <v>2289</v>
      </c>
      <c r="F253" s="593" t="s">
        <v>2290</v>
      </c>
      <c r="G253" s="592" t="s">
        <v>2264</v>
      </c>
      <c r="H253" s="592" t="s">
        <v>2265</v>
      </c>
      <c r="I253" s="594">
        <v>363</v>
      </c>
      <c r="J253" s="594">
        <v>18</v>
      </c>
      <c r="K253" s="595">
        <v>6534</v>
      </c>
    </row>
    <row r="254" spans="1:11" ht="14.4" customHeight="1" x14ac:dyDescent="0.3">
      <c r="A254" s="590" t="s">
        <v>485</v>
      </c>
      <c r="B254" s="591" t="s">
        <v>1636</v>
      </c>
      <c r="C254" s="592" t="s">
        <v>490</v>
      </c>
      <c r="D254" s="593" t="s">
        <v>1637</v>
      </c>
      <c r="E254" s="592" t="s">
        <v>2289</v>
      </c>
      <c r="F254" s="593" t="s">
        <v>2290</v>
      </c>
      <c r="G254" s="592" t="s">
        <v>2266</v>
      </c>
      <c r="H254" s="592" t="s">
        <v>2267</v>
      </c>
      <c r="I254" s="594">
        <v>3630</v>
      </c>
      <c r="J254" s="594">
        <v>1</v>
      </c>
      <c r="K254" s="595">
        <v>3630</v>
      </c>
    </row>
    <row r="255" spans="1:11" ht="14.4" customHeight="1" x14ac:dyDescent="0.3">
      <c r="A255" s="590" t="s">
        <v>485</v>
      </c>
      <c r="B255" s="591" t="s">
        <v>1636</v>
      </c>
      <c r="C255" s="592" t="s">
        <v>490</v>
      </c>
      <c r="D255" s="593" t="s">
        <v>1637</v>
      </c>
      <c r="E255" s="592" t="s">
        <v>2289</v>
      </c>
      <c r="F255" s="593" t="s">
        <v>2290</v>
      </c>
      <c r="G255" s="592" t="s">
        <v>2268</v>
      </c>
      <c r="H255" s="592" t="s">
        <v>2269</v>
      </c>
      <c r="I255" s="594">
        <v>3630</v>
      </c>
      <c r="J255" s="594">
        <v>1</v>
      </c>
      <c r="K255" s="595">
        <v>3630</v>
      </c>
    </row>
    <row r="256" spans="1:11" ht="14.4" customHeight="1" thickBot="1" x14ac:dyDescent="0.35">
      <c r="A256" s="596" t="s">
        <v>485</v>
      </c>
      <c r="B256" s="597" t="s">
        <v>1636</v>
      </c>
      <c r="C256" s="598" t="s">
        <v>490</v>
      </c>
      <c r="D256" s="599" t="s">
        <v>1637</v>
      </c>
      <c r="E256" s="598" t="s">
        <v>2289</v>
      </c>
      <c r="F256" s="599" t="s">
        <v>2290</v>
      </c>
      <c r="G256" s="598" t="s">
        <v>2270</v>
      </c>
      <c r="H256" s="598" t="s">
        <v>2271</v>
      </c>
      <c r="I256" s="600">
        <v>847</v>
      </c>
      <c r="J256" s="600">
        <v>3</v>
      </c>
      <c r="K256" s="601">
        <v>2541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484" t="s">
        <v>117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</row>
    <row r="2" spans="1:34" ht="15" thickBot="1" x14ac:dyDescent="0.35">
      <c r="A2" s="364" t="s">
        <v>294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</row>
    <row r="3" spans="1:34" x14ac:dyDescent="0.3">
      <c r="A3" s="383" t="s">
        <v>247</v>
      </c>
      <c r="B3" s="485" t="s">
        <v>228</v>
      </c>
      <c r="C3" s="366">
        <v>0</v>
      </c>
      <c r="D3" s="367">
        <v>101</v>
      </c>
      <c r="E3" s="367">
        <v>102</v>
      </c>
      <c r="F3" s="386">
        <v>305</v>
      </c>
      <c r="G3" s="386">
        <v>306</v>
      </c>
      <c r="H3" s="386">
        <v>408</v>
      </c>
      <c r="I3" s="386">
        <v>409</v>
      </c>
      <c r="J3" s="386">
        <v>410</v>
      </c>
      <c r="K3" s="386">
        <v>415</v>
      </c>
      <c r="L3" s="386">
        <v>416</v>
      </c>
      <c r="M3" s="386">
        <v>418</v>
      </c>
      <c r="N3" s="386">
        <v>419</v>
      </c>
      <c r="O3" s="386">
        <v>420</v>
      </c>
      <c r="P3" s="386">
        <v>421</v>
      </c>
      <c r="Q3" s="386">
        <v>522</v>
      </c>
      <c r="R3" s="386">
        <v>523</v>
      </c>
      <c r="S3" s="386">
        <v>524</v>
      </c>
      <c r="T3" s="386">
        <v>525</v>
      </c>
      <c r="U3" s="386">
        <v>526</v>
      </c>
      <c r="V3" s="386">
        <v>527</v>
      </c>
      <c r="W3" s="386">
        <v>528</v>
      </c>
      <c r="X3" s="386">
        <v>629</v>
      </c>
      <c r="Y3" s="386">
        <v>630</v>
      </c>
      <c r="Z3" s="386">
        <v>636</v>
      </c>
      <c r="AA3" s="386">
        <v>637</v>
      </c>
      <c r="AB3" s="386">
        <v>640</v>
      </c>
      <c r="AC3" s="386">
        <v>642</v>
      </c>
      <c r="AD3" s="386">
        <v>743</v>
      </c>
      <c r="AE3" s="367">
        <v>745</v>
      </c>
      <c r="AF3" s="367">
        <v>746</v>
      </c>
      <c r="AG3" s="635">
        <v>930</v>
      </c>
      <c r="AH3" s="650"/>
    </row>
    <row r="4" spans="1:34" ht="36.6" outlineLevel="1" thickBot="1" x14ac:dyDescent="0.35">
      <c r="A4" s="384">
        <v>2014</v>
      </c>
      <c r="B4" s="486"/>
      <c r="C4" s="368" t="s">
        <v>229</v>
      </c>
      <c r="D4" s="369" t="s">
        <v>230</v>
      </c>
      <c r="E4" s="369" t="s">
        <v>231</v>
      </c>
      <c r="F4" s="387" t="s">
        <v>259</v>
      </c>
      <c r="G4" s="387" t="s">
        <v>260</v>
      </c>
      <c r="H4" s="387" t="s">
        <v>261</v>
      </c>
      <c r="I4" s="387" t="s">
        <v>262</v>
      </c>
      <c r="J4" s="387" t="s">
        <v>263</v>
      </c>
      <c r="K4" s="387" t="s">
        <v>264</v>
      </c>
      <c r="L4" s="387" t="s">
        <v>265</v>
      </c>
      <c r="M4" s="387" t="s">
        <v>266</v>
      </c>
      <c r="N4" s="387" t="s">
        <v>267</v>
      </c>
      <c r="O4" s="387" t="s">
        <v>268</v>
      </c>
      <c r="P4" s="387" t="s">
        <v>269</v>
      </c>
      <c r="Q4" s="387" t="s">
        <v>270</v>
      </c>
      <c r="R4" s="387" t="s">
        <v>271</v>
      </c>
      <c r="S4" s="387" t="s">
        <v>272</v>
      </c>
      <c r="T4" s="387" t="s">
        <v>273</v>
      </c>
      <c r="U4" s="387" t="s">
        <v>274</v>
      </c>
      <c r="V4" s="387" t="s">
        <v>275</v>
      </c>
      <c r="W4" s="387" t="s">
        <v>284</v>
      </c>
      <c r="X4" s="387" t="s">
        <v>276</v>
      </c>
      <c r="Y4" s="387" t="s">
        <v>285</v>
      </c>
      <c r="Z4" s="387" t="s">
        <v>277</v>
      </c>
      <c r="AA4" s="387" t="s">
        <v>278</v>
      </c>
      <c r="AB4" s="387" t="s">
        <v>279</v>
      </c>
      <c r="AC4" s="387" t="s">
        <v>280</v>
      </c>
      <c r="AD4" s="387" t="s">
        <v>281</v>
      </c>
      <c r="AE4" s="369" t="s">
        <v>282</v>
      </c>
      <c r="AF4" s="369" t="s">
        <v>283</v>
      </c>
      <c r="AG4" s="636" t="s">
        <v>249</v>
      </c>
      <c r="AH4" s="650"/>
    </row>
    <row r="5" spans="1:34" x14ac:dyDescent="0.3">
      <c r="A5" s="370" t="s">
        <v>232</v>
      </c>
      <c r="B5" s="406"/>
      <c r="C5" s="407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637"/>
      <c r="AH5" s="650"/>
    </row>
    <row r="6" spans="1:34" ht="15" collapsed="1" thickBot="1" x14ac:dyDescent="0.35">
      <c r="A6" s="371" t="s">
        <v>81</v>
      </c>
      <c r="B6" s="409">
        <f xml:space="preserve">
TRUNC(IF($A$4&lt;=12,SUMIFS('ON Data'!F:F,'ON Data'!$D:$D,$A$4,'ON Data'!$E:$E,1),SUMIFS('ON Data'!F:F,'ON Data'!$E:$E,1)/'ON Data'!$D$3),1)</f>
        <v>54.7</v>
      </c>
      <c r="C6" s="410">
        <f xml:space="preserve">
TRUNC(IF($A$4&lt;=12,SUMIFS('ON Data'!G:G,'ON Data'!$D:$D,$A$4,'ON Data'!$E:$E,1),SUMIFS('ON Data'!G:G,'ON Data'!$E:$E,1)/'ON Data'!$D$3),1)</f>
        <v>0</v>
      </c>
      <c r="D6" s="411">
        <f xml:space="preserve">
TRUNC(IF($A$4&lt;=12,SUMIFS('ON Data'!H:H,'ON Data'!$D:$D,$A$4,'ON Data'!$E:$E,1),SUMIFS('ON Data'!H:H,'ON Data'!$E:$E,1)/'ON Data'!$D$3),1)</f>
        <v>7.6</v>
      </c>
      <c r="E6" s="411">
        <f xml:space="preserve">
TRUNC(IF($A$4&lt;=12,SUMIFS('ON Data'!I:I,'ON Data'!$D:$D,$A$4,'ON Data'!$E:$E,1),SUMIFS('ON Data'!I:I,'ON Data'!$E:$E,1)/'ON Data'!$D$3),1)</f>
        <v>0</v>
      </c>
      <c r="F6" s="411">
        <f xml:space="preserve">
TRUNC(IF($A$4&lt;=12,SUMIFS('ON Data'!K:K,'ON Data'!$D:$D,$A$4,'ON Data'!$E:$E,1),SUMIFS('ON Data'!K:K,'ON Data'!$E:$E,1)/'ON Data'!$D$3),1)</f>
        <v>42.1</v>
      </c>
      <c r="G6" s="411">
        <f xml:space="preserve">
TRUNC(IF($A$4&lt;=12,SUMIFS('ON Data'!L:L,'ON Data'!$D:$D,$A$4,'ON Data'!$E:$E,1),SUMIFS('ON Data'!L:L,'ON Data'!$E:$E,1)/'ON Data'!$D$3),1)</f>
        <v>0</v>
      </c>
      <c r="H6" s="411">
        <f xml:space="preserve">
TRUNC(IF($A$4&lt;=12,SUMIFS('ON Data'!M:M,'ON Data'!$D:$D,$A$4,'ON Data'!$E:$E,1),SUMIFS('ON Data'!M:M,'ON Data'!$E:$E,1)/'ON Data'!$D$3),1)</f>
        <v>0</v>
      </c>
      <c r="I6" s="411">
        <f xml:space="preserve">
TRUNC(IF($A$4&lt;=12,SUMIFS('ON Data'!N:N,'ON Data'!$D:$D,$A$4,'ON Data'!$E:$E,1),SUMIFS('ON Data'!N:N,'ON Data'!$E:$E,1)/'ON Data'!$D$3),1)</f>
        <v>0</v>
      </c>
      <c r="J6" s="411">
        <f xml:space="preserve">
TRUNC(IF($A$4&lt;=12,SUMIFS('ON Data'!O:O,'ON Data'!$D:$D,$A$4,'ON Data'!$E:$E,1),SUMIFS('ON Data'!O:O,'ON Data'!$E:$E,1)/'ON Data'!$D$3),1)</f>
        <v>0</v>
      </c>
      <c r="K6" s="411">
        <f xml:space="preserve">
TRUNC(IF($A$4&lt;=12,SUMIFS('ON Data'!P:P,'ON Data'!$D:$D,$A$4,'ON Data'!$E:$E,1),SUMIFS('ON Data'!P:P,'ON Data'!$E:$E,1)/'ON Data'!$D$3),1)</f>
        <v>0</v>
      </c>
      <c r="L6" s="411">
        <f xml:space="preserve">
TRUNC(IF($A$4&lt;=12,SUMIFS('ON Data'!Q:Q,'ON Data'!$D:$D,$A$4,'ON Data'!$E:$E,1),SUMIFS('ON Data'!Q:Q,'ON Data'!$E:$E,1)/'ON Data'!$D$3),1)</f>
        <v>0</v>
      </c>
      <c r="M6" s="411">
        <f xml:space="preserve">
TRUNC(IF($A$4&lt;=12,SUMIFS('ON Data'!R:R,'ON Data'!$D:$D,$A$4,'ON Data'!$E:$E,1),SUMIFS('ON Data'!R:R,'ON Data'!$E:$E,1)/'ON Data'!$D$3),1)</f>
        <v>0</v>
      </c>
      <c r="N6" s="411">
        <f xml:space="preserve">
TRUNC(IF($A$4&lt;=12,SUMIFS('ON Data'!S:S,'ON Data'!$D:$D,$A$4,'ON Data'!$E:$E,1),SUMIFS('ON Data'!S:S,'ON Data'!$E:$E,1)/'ON Data'!$D$3),1)</f>
        <v>0</v>
      </c>
      <c r="O6" s="411">
        <f xml:space="preserve">
TRUNC(IF($A$4&lt;=12,SUMIFS('ON Data'!T:T,'ON Data'!$D:$D,$A$4,'ON Data'!$E:$E,1),SUMIFS('ON Data'!T:T,'ON Data'!$E:$E,1)/'ON Data'!$D$3),1)</f>
        <v>0</v>
      </c>
      <c r="P6" s="411">
        <f xml:space="preserve">
TRUNC(IF($A$4&lt;=12,SUMIFS('ON Data'!U:U,'ON Data'!$D:$D,$A$4,'ON Data'!$E:$E,1),SUMIFS('ON Data'!U:U,'ON Data'!$E:$E,1)/'ON Data'!$D$3),1)</f>
        <v>0</v>
      </c>
      <c r="Q6" s="411">
        <f xml:space="preserve">
TRUNC(IF($A$4&lt;=12,SUMIFS('ON Data'!V:V,'ON Data'!$D:$D,$A$4,'ON Data'!$E:$E,1),SUMIFS('ON Data'!V:V,'ON Data'!$E:$E,1)/'ON Data'!$D$3),1)</f>
        <v>0</v>
      </c>
      <c r="R6" s="411">
        <f xml:space="preserve">
TRUNC(IF($A$4&lt;=12,SUMIFS('ON Data'!W:W,'ON Data'!$D:$D,$A$4,'ON Data'!$E:$E,1),SUMIFS('ON Data'!W:W,'ON Data'!$E:$E,1)/'ON Data'!$D$3),1)</f>
        <v>0</v>
      </c>
      <c r="S6" s="411">
        <f xml:space="preserve">
TRUNC(IF($A$4&lt;=12,SUMIFS('ON Data'!X:X,'ON Data'!$D:$D,$A$4,'ON Data'!$E:$E,1),SUMIFS('ON Data'!X:X,'ON Data'!$E:$E,1)/'ON Data'!$D$3),1)</f>
        <v>0</v>
      </c>
      <c r="T6" s="411">
        <f xml:space="preserve">
TRUNC(IF($A$4&lt;=12,SUMIFS('ON Data'!Y:Y,'ON Data'!$D:$D,$A$4,'ON Data'!$E:$E,1),SUMIFS('ON Data'!Y:Y,'ON Data'!$E:$E,1)/'ON Data'!$D$3),1)</f>
        <v>0</v>
      </c>
      <c r="U6" s="411">
        <f xml:space="preserve">
TRUNC(IF($A$4&lt;=12,SUMIFS('ON Data'!Z:Z,'ON Data'!$D:$D,$A$4,'ON Data'!$E:$E,1),SUMIFS('ON Data'!Z:Z,'ON Data'!$E:$E,1)/'ON Data'!$D$3),1)</f>
        <v>0</v>
      </c>
      <c r="V6" s="411">
        <f xml:space="preserve">
TRUNC(IF($A$4&lt;=12,SUMIFS('ON Data'!AA:AA,'ON Data'!$D:$D,$A$4,'ON Data'!$E:$E,1),SUMIFS('ON Data'!AA:AA,'ON Data'!$E:$E,1)/'ON Data'!$D$3),1)</f>
        <v>0</v>
      </c>
      <c r="W6" s="411">
        <f xml:space="preserve">
TRUNC(IF($A$4&lt;=12,SUMIFS('ON Data'!AB:AB,'ON Data'!$D:$D,$A$4,'ON Data'!$E:$E,1),SUMIFS('ON Data'!AB:AB,'ON Data'!$E:$E,1)/'ON Data'!$D$3),1)</f>
        <v>0</v>
      </c>
      <c r="X6" s="411">
        <f xml:space="preserve">
TRUNC(IF($A$4&lt;=12,SUMIFS('ON Data'!AC:AC,'ON Data'!$D:$D,$A$4,'ON Data'!$E:$E,1),SUMIFS('ON Data'!AC:AC,'ON Data'!$E:$E,1)/'ON Data'!$D$3),1)</f>
        <v>0</v>
      </c>
      <c r="Y6" s="411">
        <f xml:space="preserve">
TRUNC(IF($A$4&lt;=12,SUMIFS('ON Data'!AD:AD,'ON Data'!$D:$D,$A$4,'ON Data'!$E:$E,1),SUMIFS('ON Data'!AD:AD,'ON Data'!$E:$E,1)/'ON Data'!$D$3),1)</f>
        <v>0</v>
      </c>
      <c r="Z6" s="411">
        <f xml:space="preserve">
TRUNC(IF($A$4&lt;=12,SUMIFS('ON Data'!AE:AE,'ON Data'!$D:$D,$A$4,'ON Data'!$E:$E,1),SUMIFS('ON Data'!AE:AE,'ON Data'!$E:$E,1)/'ON Data'!$D$3),1)</f>
        <v>2</v>
      </c>
      <c r="AA6" s="411">
        <f xml:space="preserve">
TRUNC(IF($A$4&lt;=12,SUMIFS('ON Data'!AF:AF,'ON Data'!$D:$D,$A$4,'ON Data'!$E:$E,1),SUMIFS('ON Data'!AF:AF,'ON Data'!$E:$E,1)/'ON Data'!$D$3),1)</f>
        <v>0</v>
      </c>
      <c r="AB6" s="411">
        <f xml:space="preserve">
TRUNC(IF($A$4&lt;=12,SUMIFS('ON Data'!AG:AG,'ON Data'!$D:$D,$A$4,'ON Data'!$E:$E,1),SUMIFS('ON Data'!AG:AG,'ON Data'!$E:$E,1)/'ON Data'!$D$3),1)</f>
        <v>0</v>
      </c>
      <c r="AC6" s="411">
        <f xml:space="preserve">
TRUNC(IF($A$4&lt;=12,SUMIFS('ON Data'!AH:AH,'ON Data'!$D:$D,$A$4,'ON Data'!$E:$E,1),SUMIFS('ON Data'!AH:AH,'ON Data'!$E:$E,1)/'ON Data'!$D$3),1)</f>
        <v>2</v>
      </c>
      <c r="AD6" s="411">
        <f xml:space="preserve">
TRUNC(IF($A$4&lt;=12,SUMIFS('ON Data'!AI:AI,'ON Data'!$D:$D,$A$4,'ON Data'!$E:$E,1),SUMIFS('ON Data'!AI:AI,'ON Data'!$E:$E,1)/'ON Data'!$D$3),1)</f>
        <v>0</v>
      </c>
      <c r="AE6" s="411">
        <f xml:space="preserve">
TRUNC(IF($A$4&lt;=12,SUMIFS('ON Data'!AJ:AJ,'ON Data'!$D:$D,$A$4,'ON Data'!$E:$E,1),SUMIFS('ON Data'!AJ:AJ,'ON Data'!$E:$E,1)/'ON Data'!$D$3),1)</f>
        <v>0</v>
      </c>
      <c r="AF6" s="411">
        <f xml:space="preserve">
TRUNC(IF($A$4&lt;=12,SUMIFS('ON Data'!AK:AK,'ON Data'!$D:$D,$A$4,'ON Data'!$E:$E,1),SUMIFS('ON Data'!AK:AK,'ON Data'!$E:$E,1)/'ON Data'!$D$3),1)</f>
        <v>0</v>
      </c>
      <c r="AG6" s="638">
        <f xml:space="preserve">
TRUNC(IF($A$4&lt;=12,SUMIFS('ON Data'!AM:AM,'ON Data'!$D:$D,$A$4,'ON Data'!$E:$E,1),SUMIFS('ON Data'!AM:AM,'ON Data'!$E:$E,1)/'ON Data'!$D$3),1)</f>
        <v>1</v>
      </c>
      <c r="AH6" s="650"/>
    </row>
    <row r="7" spans="1:34" ht="15" hidden="1" outlineLevel="1" thickBot="1" x14ac:dyDescent="0.35">
      <c r="A7" s="371" t="s">
        <v>118</v>
      </c>
      <c r="B7" s="409"/>
      <c r="C7" s="412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638"/>
      <c r="AH7" s="650"/>
    </row>
    <row r="8" spans="1:34" ht="15" hidden="1" outlineLevel="1" thickBot="1" x14ac:dyDescent="0.35">
      <c r="A8" s="371" t="s">
        <v>83</v>
      </c>
      <c r="B8" s="409"/>
      <c r="C8" s="412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638"/>
      <c r="AH8" s="650"/>
    </row>
    <row r="9" spans="1:34" ht="15" hidden="1" outlineLevel="1" thickBot="1" x14ac:dyDescent="0.35">
      <c r="A9" s="372" t="s">
        <v>56</v>
      </c>
      <c r="B9" s="413"/>
      <c r="C9" s="414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639"/>
      <c r="AH9" s="650"/>
    </row>
    <row r="10" spans="1:34" x14ac:dyDescent="0.3">
      <c r="A10" s="373" t="s">
        <v>233</v>
      </c>
      <c r="B10" s="388"/>
      <c r="C10" s="389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640"/>
      <c r="AH10" s="650"/>
    </row>
    <row r="11" spans="1:34" x14ac:dyDescent="0.3">
      <c r="A11" s="374" t="s">
        <v>234</v>
      </c>
      <c r="B11" s="391">
        <f xml:space="preserve">
IF($A$4&lt;=12,SUMIFS('ON Data'!F:F,'ON Data'!$D:$D,$A$4,'ON Data'!$E:$E,2),SUMIFS('ON Data'!F:F,'ON Data'!$E:$E,2))</f>
        <v>37719.240000000005</v>
      </c>
      <c r="C11" s="392">
        <f xml:space="preserve">
IF($A$4&lt;=12,SUMIFS('ON Data'!G:G,'ON Data'!$D:$D,$A$4,'ON Data'!$E:$E,2),SUMIFS('ON Data'!G:G,'ON Data'!$E:$E,2))</f>
        <v>0</v>
      </c>
      <c r="D11" s="393">
        <f xml:space="preserve">
IF($A$4&lt;=12,SUMIFS('ON Data'!H:H,'ON Data'!$D:$D,$A$4,'ON Data'!$E:$E,2),SUMIFS('ON Data'!H:H,'ON Data'!$E:$E,2))</f>
        <v>6262.6</v>
      </c>
      <c r="E11" s="393">
        <f xml:space="preserve">
IF($A$4&lt;=12,SUMIFS('ON Data'!I:I,'ON Data'!$D:$D,$A$4,'ON Data'!$E:$E,2),SUMIFS('ON Data'!I:I,'ON Data'!$E:$E,2))</f>
        <v>0</v>
      </c>
      <c r="F11" s="393">
        <f xml:space="preserve">
IF($A$4&lt;=12,SUMIFS('ON Data'!K:K,'ON Data'!$D:$D,$A$4,'ON Data'!$E:$E,2),SUMIFS('ON Data'!K:K,'ON Data'!$E:$E,2))</f>
        <v>27539.890000000003</v>
      </c>
      <c r="G11" s="393">
        <f xml:space="preserve">
IF($A$4&lt;=12,SUMIFS('ON Data'!L:L,'ON Data'!$D:$D,$A$4,'ON Data'!$E:$E,2),SUMIFS('ON Data'!L:L,'ON Data'!$E:$E,2))</f>
        <v>0</v>
      </c>
      <c r="H11" s="393">
        <f xml:space="preserve">
IF($A$4&lt;=12,SUMIFS('ON Data'!M:M,'ON Data'!$D:$D,$A$4,'ON Data'!$E:$E,2),SUMIFS('ON Data'!M:M,'ON Data'!$E:$E,2))</f>
        <v>0</v>
      </c>
      <c r="I11" s="393">
        <f xml:space="preserve">
IF($A$4&lt;=12,SUMIFS('ON Data'!N:N,'ON Data'!$D:$D,$A$4,'ON Data'!$E:$E,2),SUMIFS('ON Data'!N:N,'ON Data'!$E:$E,2))</f>
        <v>0</v>
      </c>
      <c r="J11" s="393">
        <f xml:space="preserve">
IF($A$4&lt;=12,SUMIFS('ON Data'!O:O,'ON Data'!$D:$D,$A$4,'ON Data'!$E:$E,2),SUMIFS('ON Data'!O:O,'ON Data'!$E:$E,2))</f>
        <v>0</v>
      </c>
      <c r="K11" s="393">
        <f xml:space="preserve">
IF($A$4&lt;=12,SUMIFS('ON Data'!P:P,'ON Data'!$D:$D,$A$4,'ON Data'!$E:$E,2),SUMIFS('ON Data'!P:P,'ON Data'!$E:$E,2))</f>
        <v>0</v>
      </c>
      <c r="L11" s="393">
        <f xml:space="preserve">
IF($A$4&lt;=12,SUMIFS('ON Data'!Q:Q,'ON Data'!$D:$D,$A$4,'ON Data'!$E:$E,2),SUMIFS('ON Data'!Q:Q,'ON Data'!$E:$E,2))</f>
        <v>0</v>
      </c>
      <c r="M11" s="393">
        <f xml:space="preserve">
IF($A$4&lt;=12,SUMIFS('ON Data'!R:R,'ON Data'!$D:$D,$A$4,'ON Data'!$E:$E,2),SUMIFS('ON Data'!R:R,'ON Data'!$E:$E,2))</f>
        <v>0</v>
      </c>
      <c r="N11" s="393">
        <f xml:space="preserve">
IF($A$4&lt;=12,SUMIFS('ON Data'!S:S,'ON Data'!$D:$D,$A$4,'ON Data'!$E:$E,2),SUMIFS('ON Data'!S:S,'ON Data'!$E:$E,2))</f>
        <v>0</v>
      </c>
      <c r="O11" s="393">
        <f xml:space="preserve">
IF($A$4&lt;=12,SUMIFS('ON Data'!T:T,'ON Data'!$D:$D,$A$4,'ON Data'!$E:$E,2),SUMIFS('ON Data'!T:T,'ON Data'!$E:$E,2))</f>
        <v>0</v>
      </c>
      <c r="P11" s="393">
        <f xml:space="preserve">
IF($A$4&lt;=12,SUMIFS('ON Data'!U:U,'ON Data'!$D:$D,$A$4,'ON Data'!$E:$E,2),SUMIFS('ON Data'!U:U,'ON Data'!$E:$E,2))</f>
        <v>0</v>
      </c>
      <c r="Q11" s="393">
        <f xml:space="preserve">
IF($A$4&lt;=12,SUMIFS('ON Data'!V:V,'ON Data'!$D:$D,$A$4,'ON Data'!$E:$E,2),SUMIFS('ON Data'!V:V,'ON Data'!$E:$E,2))</f>
        <v>0</v>
      </c>
      <c r="R11" s="393">
        <f xml:space="preserve">
IF($A$4&lt;=12,SUMIFS('ON Data'!W:W,'ON Data'!$D:$D,$A$4,'ON Data'!$E:$E,2),SUMIFS('ON Data'!W:W,'ON Data'!$E:$E,2))</f>
        <v>0</v>
      </c>
      <c r="S11" s="393">
        <f xml:space="preserve">
IF($A$4&lt;=12,SUMIFS('ON Data'!X:X,'ON Data'!$D:$D,$A$4,'ON Data'!$E:$E,2),SUMIFS('ON Data'!X:X,'ON Data'!$E:$E,2))</f>
        <v>0</v>
      </c>
      <c r="T11" s="393">
        <f xml:space="preserve">
IF($A$4&lt;=12,SUMIFS('ON Data'!Y:Y,'ON Data'!$D:$D,$A$4,'ON Data'!$E:$E,2),SUMIFS('ON Data'!Y:Y,'ON Data'!$E:$E,2))</f>
        <v>0</v>
      </c>
      <c r="U11" s="393">
        <f xml:space="preserve">
IF($A$4&lt;=12,SUMIFS('ON Data'!Z:Z,'ON Data'!$D:$D,$A$4,'ON Data'!$E:$E,2),SUMIFS('ON Data'!Z:Z,'ON Data'!$E:$E,2))</f>
        <v>0</v>
      </c>
      <c r="V11" s="393">
        <f xml:space="preserve">
IF($A$4&lt;=12,SUMIFS('ON Data'!AA:AA,'ON Data'!$D:$D,$A$4,'ON Data'!$E:$E,2),SUMIFS('ON Data'!AA:AA,'ON Data'!$E:$E,2))</f>
        <v>0</v>
      </c>
      <c r="W11" s="393">
        <f xml:space="preserve">
IF($A$4&lt;=12,SUMIFS('ON Data'!AB:AB,'ON Data'!$D:$D,$A$4,'ON Data'!$E:$E,2),SUMIFS('ON Data'!AB:AB,'ON Data'!$E:$E,2))</f>
        <v>0</v>
      </c>
      <c r="X11" s="393">
        <f xml:space="preserve">
IF($A$4&lt;=12,SUMIFS('ON Data'!AC:AC,'ON Data'!$D:$D,$A$4,'ON Data'!$E:$E,2),SUMIFS('ON Data'!AC:AC,'ON Data'!$E:$E,2))</f>
        <v>0</v>
      </c>
      <c r="Y11" s="393">
        <f xml:space="preserve">
IF($A$4&lt;=12,SUMIFS('ON Data'!AD:AD,'ON Data'!$D:$D,$A$4,'ON Data'!$E:$E,2),SUMIFS('ON Data'!AD:AD,'ON Data'!$E:$E,2))</f>
        <v>0</v>
      </c>
      <c r="Z11" s="393">
        <f xml:space="preserve">
IF($A$4&lt;=12,SUMIFS('ON Data'!AE:AE,'ON Data'!$D:$D,$A$4,'ON Data'!$E:$E,2),SUMIFS('ON Data'!AE:AE,'ON Data'!$E:$E,2))</f>
        <v>1495.75</v>
      </c>
      <c r="AA11" s="393">
        <f xml:space="preserve">
IF($A$4&lt;=12,SUMIFS('ON Data'!AF:AF,'ON Data'!$D:$D,$A$4,'ON Data'!$E:$E,2),SUMIFS('ON Data'!AF:AF,'ON Data'!$E:$E,2))</f>
        <v>0</v>
      </c>
      <c r="AB11" s="393">
        <f xml:space="preserve">
IF($A$4&lt;=12,SUMIFS('ON Data'!AG:AG,'ON Data'!$D:$D,$A$4,'ON Data'!$E:$E,2),SUMIFS('ON Data'!AG:AG,'ON Data'!$E:$E,2))</f>
        <v>0</v>
      </c>
      <c r="AC11" s="393">
        <f xml:space="preserve">
IF($A$4&lt;=12,SUMIFS('ON Data'!AH:AH,'ON Data'!$D:$D,$A$4,'ON Data'!$E:$E,2),SUMIFS('ON Data'!AH:AH,'ON Data'!$E:$E,2))</f>
        <v>1581</v>
      </c>
      <c r="AD11" s="393">
        <f xml:space="preserve">
IF($A$4&lt;=12,SUMIFS('ON Data'!AI:AI,'ON Data'!$D:$D,$A$4,'ON Data'!$E:$E,2),SUMIFS('ON Data'!AI:AI,'ON Data'!$E:$E,2))</f>
        <v>0</v>
      </c>
      <c r="AE11" s="393">
        <f xml:space="preserve">
IF($A$4&lt;=12,SUMIFS('ON Data'!AJ:AJ,'ON Data'!$D:$D,$A$4,'ON Data'!$E:$E,2),SUMIFS('ON Data'!AJ:AJ,'ON Data'!$E:$E,2))</f>
        <v>0</v>
      </c>
      <c r="AF11" s="393">
        <f xml:space="preserve">
IF($A$4&lt;=12,SUMIFS('ON Data'!AK:AK,'ON Data'!$D:$D,$A$4,'ON Data'!$E:$E,2),SUMIFS('ON Data'!AK:AK,'ON Data'!$E:$E,2))</f>
        <v>0</v>
      </c>
      <c r="AG11" s="641">
        <f xml:space="preserve">
IF($A$4&lt;=12,SUMIFS('ON Data'!AM:AM,'ON Data'!$D:$D,$A$4,'ON Data'!$E:$E,2),SUMIFS('ON Data'!AM:AM,'ON Data'!$E:$E,2))</f>
        <v>840</v>
      </c>
      <c r="AH11" s="650"/>
    </row>
    <row r="12" spans="1:34" x14ac:dyDescent="0.3">
      <c r="A12" s="374" t="s">
        <v>235</v>
      </c>
      <c r="B12" s="391">
        <f xml:space="preserve">
IF($A$4&lt;=12,SUMIFS('ON Data'!F:F,'ON Data'!$D:$D,$A$4,'ON Data'!$E:$E,3),SUMIFS('ON Data'!F:F,'ON Data'!$E:$E,3))</f>
        <v>645</v>
      </c>
      <c r="C12" s="392">
        <f xml:space="preserve">
IF($A$4&lt;=12,SUMIFS('ON Data'!G:G,'ON Data'!$D:$D,$A$4,'ON Data'!$E:$E,3),SUMIFS('ON Data'!G:G,'ON Data'!$E:$E,3))</f>
        <v>0</v>
      </c>
      <c r="D12" s="393">
        <f xml:space="preserve">
IF($A$4&lt;=12,SUMIFS('ON Data'!H:H,'ON Data'!$D:$D,$A$4,'ON Data'!$E:$E,3),SUMIFS('ON Data'!H:H,'ON Data'!$E:$E,3))</f>
        <v>50</v>
      </c>
      <c r="E12" s="393">
        <f xml:space="preserve">
IF($A$4&lt;=12,SUMIFS('ON Data'!I:I,'ON Data'!$D:$D,$A$4,'ON Data'!$E:$E,3),SUMIFS('ON Data'!I:I,'ON Data'!$E:$E,3))</f>
        <v>0</v>
      </c>
      <c r="F12" s="393">
        <f xml:space="preserve">
IF($A$4&lt;=12,SUMIFS('ON Data'!K:K,'ON Data'!$D:$D,$A$4,'ON Data'!$E:$E,3),SUMIFS('ON Data'!K:K,'ON Data'!$E:$E,3))</f>
        <v>595</v>
      </c>
      <c r="G12" s="393">
        <f xml:space="preserve">
IF($A$4&lt;=12,SUMIFS('ON Data'!L:L,'ON Data'!$D:$D,$A$4,'ON Data'!$E:$E,3),SUMIFS('ON Data'!L:L,'ON Data'!$E:$E,3))</f>
        <v>0</v>
      </c>
      <c r="H12" s="393">
        <f xml:space="preserve">
IF($A$4&lt;=12,SUMIFS('ON Data'!M:M,'ON Data'!$D:$D,$A$4,'ON Data'!$E:$E,3),SUMIFS('ON Data'!M:M,'ON Data'!$E:$E,3))</f>
        <v>0</v>
      </c>
      <c r="I12" s="393">
        <f xml:space="preserve">
IF($A$4&lt;=12,SUMIFS('ON Data'!N:N,'ON Data'!$D:$D,$A$4,'ON Data'!$E:$E,3),SUMIFS('ON Data'!N:N,'ON Data'!$E:$E,3))</f>
        <v>0</v>
      </c>
      <c r="J12" s="393">
        <f xml:space="preserve">
IF($A$4&lt;=12,SUMIFS('ON Data'!O:O,'ON Data'!$D:$D,$A$4,'ON Data'!$E:$E,3),SUMIFS('ON Data'!O:O,'ON Data'!$E:$E,3))</f>
        <v>0</v>
      </c>
      <c r="K12" s="393">
        <f xml:space="preserve">
IF($A$4&lt;=12,SUMIFS('ON Data'!P:P,'ON Data'!$D:$D,$A$4,'ON Data'!$E:$E,3),SUMIFS('ON Data'!P:P,'ON Data'!$E:$E,3))</f>
        <v>0</v>
      </c>
      <c r="L12" s="393">
        <f xml:space="preserve">
IF($A$4&lt;=12,SUMIFS('ON Data'!Q:Q,'ON Data'!$D:$D,$A$4,'ON Data'!$E:$E,3),SUMIFS('ON Data'!Q:Q,'ON Data'!$E:$E,3))</f>
        <v>0</v>
      </c>
      <c r="M12" s="393">
        <f xml:space="preserve">
IF($A$4&lt;=12,SUMIFS('ON Data'!R:R,'ON Data'!$D:$D,$A$4,'ON Data'!$E:$E,3),SUMIFS('ON Data'!R:R,'ON Data'!$E:$E,3))</f>
        <v>0</v>
      </c>
      <c r="N12" s="393">
        <f xml:space="preserve">
IF($A$4&lt;=12,SUMIFS('ON Data'!S:S,'ON Data'!$D:$D,$A$4,'ON Data'!$E:$E,3),SUMIFS('ON Data'!S:S,'ON Data'!$E:$E,3))</f>
        <v>0</v>
      </c>
      <c r="O12" s="393">
        <f xml:space="preserve">
IF($A$4&lt;=12,SUMIFS('ON Data'!T:T,'ON Data'!$D:$D,$A$4,'ON Data'!$E:$E,3),SUMIFS('ON Data'!T:T,'ON Data'!$E:$E,3))</f>
        <v>0</v>
      </c>
      <c r="P12" s="393">
        <f xml:space="preserve">
IF($A$4&lt;=12,SUMIFS('ON Data'!U:U,'ON Data'!$D:$D,$A$4,'ON Data'!$E:$E,3),SUMIFS('ON Data'!U:U,'ON Data'!$E:$E,3))</f>
        <v>0</v>
      </c>
      <c r="Q12" s="393">
        <f xml:space="preserve">
IF($A$4&lt;=12,SUMIFS('ON Data'!V:V,'ON Data'!$D:$D,$A$4,'ON Data'!$E:$E,3),SUMIFS('ON Data'!V:V,'ON Data'!$E:$E,3))</f>
        <v>0</v>
      </c>
      <c r="R12" s="393">
        <f xml:space="preserve">
IF($A$4&lt;=12,SUMIFS('ON Data'!W:W,'ON Data'!$D:$D,$A$4,'ON Data'!$E:$E,3),SUMIFS('ON Data'!W:W,'ON Data'!$E:$E,3))</f>
        <v>0</v>
      </c>
      <c r="S12" s="393">
        <f xml:space="preserve">
IF($A$4&lt;=12,SUMIFS('ON Data'!X:X,'ON Data'!$D:$D,$A$4,'ON Data'!$E:$E,3),SUMIFS('ON Data'!X:X,'ON Data'!$E:$E,3))</f>
        <v>0</v>
      </c>
      <c r="T12" s="393">
        <f xml:space="preserve">
IF($A$4&lt;=12,SUMIFS('ON Data'!Y:Y,'ON Data'!$D:$D,$A$4,'ON Data'!$E:$E,3),SUMIFS('ON Data'!Y:Y,'ON Data'!$E:$E,3))</f>
        <v>0</v>
      </c>
      <c r="U12" s="393">
        <f xml:space="preserve">
IF($A$4&lt;=12,SUMIFS('ON Data'!Z:Z,'ON Data'!$D:$D,$A$4,'ON Data'!$E:$E,3),SUMIFS('ON Data'!Z:Z,'ON Data'!$E:$E,3))</f>
        <v>0</v>
      </c>
      <c r="V12" s="393">
        <f xml:space="preserve">
IF($A$4&lt;=12,SUMIFS('ON Data'!AA:AA,'ON Data'!$D:$D,$A$4,'ON Data'!$E:$E,3),SUMIFS('ON Data'!AA:AA,'ON Data'!$E:$E,3))</f>
        <v>0</v>
      </c>
      <c r="W12" s="393">
        <f xml:space="preserve">
IF($A$4&lt;=12,SUMIFS('ON Data'!AB:AB,'ON Data'!$D:$D,$A$4,'ON Data'!$E:$E,3),SUMIFS('ON Data'!AB:AB,'ON Data'!$E:$E,3))</f>
        <v>0</v>
      </c>
      <c r="X12" s="393">
        <f xml:space="preserve">
IF($A$4&lt;=12,SUMIFS('ON Data'!AC:AC,'ON Data'!$D:$D,$A$4,'ON Data'!$E:$E,3),SUMIFS('ON Data'!AC:AC,'ON Data'!$E:$E,3))</f>
        <v>0</v>
      </c>
      <c r="Y12" s="393">
        <f xml:space="preserve">
IF($A$4&lt;=12,SUMIFS('ON Data'!AD:AD,'ON Data'!$D:$D,$A$4,'ON Data'!$E:$E,3),SUMIFS('ON Data'!AD:AD,'ON Data'!$E:$E,3))</f>
        <v>0</v>
      </c>
      <c r="Z12" s="393">
        <f xml:space="preserve">
IF($A$4&lt;=12,SUMIFS('ON Data'!AE:AE,'ON Data'!$D:$D,$A$4,'ON Data'!$E:$E,3),SUMIFS('ON Data'!AE:AE,'ON Data'!$E:$E,3))</f>
        <v>0</v>
      </c>
      <c r="AA12" s="393">
        <f xml:space="preserve">
IF($A$4&lt;=12,SUMIFS('ON Data'!AF:AF,'ON Data'!$D:$D,$A$4,'ON Data'!$E:$E,3),SUMIFS('ON Data'!AF:AF,'ON Data'!$E:$E,3))</f>
        <v>0</v>
      </c>
      <c r="AB12" s="393">
        <f xml:space="preserve">
IF($A$4&lt;=12,SUMIFS('ON Data'!AG:AG,'ON Data'!$D:$D,$A$4,'ON Data'!$E:$E,3),SUMIFS('ON Data'!AG:AG,'ON Data'!$E:$E,3))</f>
        <v>0</v>
      </c>
      <c r="AC12" s="393">
        <f xml:space="preserve">
IF($A$4&lt;=12,SUMIFS('ON Data'!AH:AH,'ON Data'!$D:$D,$A$4,'ON Data'!$E:$E,3),SUMIFS('ON Data'!AH:AH,'ON Data'!$E:$E,3))</f>
        <v>0</v>
      </c>
      <c r="AD12" s="393">
        <f xml:space="preserve">
IF($A$4&lt;=12,SUMIFS('ON Data'!AI:AI,'ON Data'!$D:$D,$A$4,'ON Data'!$E:$E,3),SUMIFS('ON Data'!AI:AI,'ON Data'!$E:$E,3))</f>
        <v>0</v>
      </c>
      <c r="AE12" s="393">
        <f xml:space="preserve">
IF($A$4&lt;=12,SUMIFS('ON Data'!AJ:AJ,'ON Data'!$D:$D,$A$4,'ON Data'!$E:$E,3),SUMIFS('ON Data'!AJ:AJ,'ON Data'!$E:$E,3))</f>
        <v>0</v>
      </c>
      <c r="AF12" s="393">
        <f xml:space="preserve">
IF($A$4&lt;=12,SUMIFS('ON Data'!AK:AK,'ON Data'!$D:$D,$A$4,'ON Data'!$E:$E,3),SUMIFS('ON Data'!AK:AK,'ON Data'!$E:$E,3))</f>
        <v>0</v>
      </c>
      <c r="AG12" s="641">
        <f xml:space="preserve">
IF($A$4&lt;=12,SUMIFS('ON Data'!AM:AM,'ON Data'!$D:$D,$A$4,'ON Data'!$E:$E,3),SUMIFS('ON Data'!AM:AM,'ON Data'!$E:$E,3))</f>
        <v>0</v>
      </c>
      <c r="AH12" s="650"/>
    </row>
    <row r="13" spans="1:34" x14ac:dyDescent="0.3">
      <c r="A13" s="374" t="s">
        <v>242</v>
      </c>
      <c r="B13" s="391">
        <f xml:space="preserve">
IF($A$4&lt;=12,SUMIFS('ON Data'!F:F,'ON Data'!$D:$D,$A$4,'ON Data'!$E:$E,4),SUMIFS('ON Data'!F:F,'ON Data'!$E:$E,4))</f>
        <v>2800</v>
      </c>
      <c r="C13" s="392">
        <f xml:space="preserve">
IF($A$4&lt;=12,SUMIFS('ON Data'!G:G,'ON Data'!$D:$D,$A$4,'ON Data'!$E:$E,4),SUMIFS('ON Data'!G:G,'ON Data'!$E:$E,4))</f>
        <v>0</v>
      </c>
      <c r="D13" s="393">
        <f xml:space="preserve">
IF($A$4&lt;=12,SUMIFS('ON Data'!H:H,'ON Data'!$D:$D,$A$4,'ON Data'!$E:$E,4),SUMIFS('ON Data'!H:H,'ON Data'!$E:$E,4))</f>
        <v>492</v>
      </c>
      <c r="E13" s="393">
        <f xml:space="preserve">
IF($A$4&lt;=12,SUMIFS('ON Data'!I:I,'ON Data'!$D:$D,$A$4,'ON Data'!$E:$E,4),SUMIFS('ON Data'!I:I,'ON Data'!$E:$E,4))</f>
        <v>0</v>
      </c>
      <c r="F13" s="393">
        <f xml:space="preserve">
IF($A$4&lt;=12,SUMIFS('ON Data'!K:K,'ON Data'!$D:$D,$A$4,'ON Data'!$E:$E,4),SUMIFS('ON Data'!K:K,'ON Data'!$E:$E,4))</f>
        <v>2127</v>
      </c>
      <c r="G13" s="393">
        <f xml:space="preserve">
IF($A$4&lt;=12,SUMIFS('ON Data'!L:L,'ON Data'!$D:$D,$A$4,'ON Data'!$E:$E,4),SUMIFS('ON Data'!L:L,'ON Data'!$E:$E,4))</f>
        <v>0</v>
      </c>
      <c r="H13" s="393">
        <f xml:space="preserve">
IF($A$4&lt;=12,SUMIFS('ON Data'!M:M,'ON Data'!$D:$D,$A$4,'ON Data'!$E:$E,4),SUMIFS('ON Data'!M:M,'ON Data'!$E:$E,4))</f>
        <v>0</v>
      </c>
      <c r="I13" s="393">
        <f xml:space="preserve">
IF($A$4&lt;=12,SUMIFS('ON Data'!N:N,'ON Data'!$D:$D,$A$4,'ON Data'!$E:$E,4),SUMIFS('ON Data'!N:N,'ON Data'!$E:$E,4))</f>
        <v>0</v>
      </c>
      <c r="J13" s="393">
        <f xml:space="preserve">
IF($A$4&lt;=12,SUMIFS('ON Data'!O:O,'ON Data'!$D:$D,$A$4,'ON Data'!$E:$E,4),SUMIFS('ON Data'!O:O,'ON Data'!$E:$E,4))</f>
        <v>0</v>
      </c>
      <c r="K13" s="393">
        <f xml:space="preserve">
IF($A$4&lt;=12,SUMIFS('ON Data'!P:P,'ON Data'!$D:$D,$A$4,'ON Data'!$E:$E,4),SUMIFS('ON Data'!P:P,'ON Data'!$E:$E,4))</f>
        <v>0</v>
      </c>
      <c r="L13" s="393">
        <f xml:space="preserve">
IF($A$4&lt;=12,SUMIFS('ON Data'!Q:Q,'ON Data'!$D:$D,$A$4,'ON Data'!$E:$E,4),SUMIFS('ON Data'!Q:Q,'ON Data'!$E:$E,4))</f>
        <v>0</v>
      </c>
      <c r="M13" s="393">
        <f xml:space="preserve">
IF($A$4&lt;=12,SUMIFS('ON Data'!R:R,'ON Data'!$D:$D,$A$4,'ON Data'!$E:$E,4),SUMIFS('ON Data'!R:R,'ON Data'!$E:$E,4))</f>
        <v>0</v>
      </c>
      <c r="N13" s="393">
        <f xml:space="preserve">
IF($A$4&lt;=12,SUMIFS('ON Data'!S:S,'ON Data'!$D:$D,$A$4,'ON Data'!$E:$E,4),SUMIFS('ON Data'!S:S,'ON Data'!$E:$E,4))</f>
        <v>0</v>
      </c>
      <c r="O13" s="393">
        <f xml:space="preserve">
IF($A$4&lt;=12,SUMIFS('ON Data'!T:T,'ON Data'!$D:$D,$A$4,'ON Data'!$E:$E,4),SUMIFS('ON Data'!T:T,'ON Data'!$E:$E,4))</f>
        <v>0</v>
      </c>
      <c r="P13" s="393">
        <f xml:space="preserve">
IF($A$4&lt;=12,SUMIFS('ON Data'!U:U,'ON Data'!$D:$D,$A$4,'ON Data'!$E:$E,4),SUMIFS('ON Data'!U:U,'ON Data'!$E:$E,4))</f>
        <v>0</v>
      </c>
      <c r="Q13" s="393">
        <f xml:space="preserve">
IF($A$4&lt;=12,SUMIFS('ON Data'!V:V,'ON Data'!$D:$D,$A$4,'ON Data'!$E:$E,4),SUMIFS('ON Data'!V:V,'ON Data'!$E:$E,4))</f>
        <v>0</v>
      </c>
      <c r="R13" s="393">
        <f xml:space="preserve">
IF($A$4&lt;=12,SUMIFS('ON Data'!W:W,'ON Data'!$D:$D,$A$4,'ON Data'!$E:$E,4),SUMIFS('ON Data'!W:W,'ON Data'!$E:$E,4))</f>
        <v>0</v>
      </c>
      <c r="S13" s="393">
        <f xml:space="preserve">
IF($A$4&lt;=12,SUMIFS('ON Data'!X:X,'ON Data'!$D:$D,$A$4,'ON Data'!$E:$E,4),SUMIFS('ON Data'!X:X,'ON Data'!$E:$E,4))</f>
        <v>0</v>
      </c>
      <c r="T13" s="393">
        <f xml:space="preserve">
IF($A$4&lt;=12,SUMIFS('ON Data'!Y:Y,'ON Data'!$D:$D,$A$4,'ON Data'!$E:$E,4),SUMIFS('ON Data'!Y:Y,'ON Data'!$E:$E,4))</f>
        <v>0</v>
      </c>
      <c r="U13" s="393">
        <f xml:space="preserve">
IF($A$4&lt;=12,SUMIFS('ON Data'!Z:Z,'ON Data'!$D:$D,$A$4,'ON Data'!$E:$E,4),SUMIFS('ON Data'!Z:Z,'ON Data'!$E:$E,4))</f>
        <v>0</v>
      </c>
      <c r="V13" s="393">
        <f xml:space="preserve">
IF($A$4&lt;=12,SUMIFS('ON Data'!AA:AA,'ON Data'!$D:$D,$A$4,'ON Data'!$E:$E,4),SUMIFS('ON Data'!AA:AA,'ON Data'!$E:$E,4))</f>
        <v>0</v>
      </c>
      <c r="W13" s="393">
        <f xml:space="preserve">
IF($A$4&lt;=12,SUMIFS('ON Data'!AB:AB,'ON Data'!$D:$D,$A$4,'ON Data'!$E:$E,4),SUMIFS('ON Data'!AB:AB,'ON Data'!$E:$E,4))</f>
        <v>0</v>
      </c>
      <c r="X13" s="393">
        <f xml:space="preserve">
IF($A$4&lt;=12,SUMIFS('ON Data'!AC:AC,'ON Data'!$D:$D,$A$4,'ON Data'!$E:$E,4),SUMIFS('ON Data'!AC:AC,'ON Data'!$E:$E,4))</f>
        <v>0</v>
      </c>
      <c r="Y13" s="393">
        <f xml:space="preserve">
IF($A$4&lt;=12,SUMIFS('ON Data'!AD:AD,'ON Data'!$D:$D,$A$4,'ON Data'!$E:$E,4),SUMIFS('ON Data'!AD:AD,'ON Data'!$E:$E,4))</f>
        <v>0</v>
      </c>
      <c r="Z13" s="393">
        <f xml:space="preserve">
IF($A$4&lt;=12,SUMIFS('ON Data'!AE:AE,'ON Data'!$D:$D,$A$4,'ON Data'!$E:$E,4),SUMIFS('ON Data'!AE:AE,'ON Data'!$E:$E,4))</f>
        <v>89</v>
      </c>
      <c r="AA13" s="393">
        <f xml:space="preserve">
IF($A$4&lt;=12,SUMIFS('ON Data'!AF:AF,'ON Data'!$D:$D,$A$4,'ON Data'!$E:$E,4),SUMIFS('ON Data'!AF:AF,'ON Data'!$E:$E,4))</f>
        <v>0</v>
      </c>
      <c r="AB13" s="393">
        <f xml:space="preserve">
IF($A$4&lt;=12,SUMIFS('ON Data'!AG:AG,'ON Data'!$D:$D,$A$4,'ON Data'!$E:$E,4),SUMIFS('ON Data'!AG:AG,'ON Data'!$E:$E,4))</f>
        <v>0</v>
      </c>
      <c r="AC13" s="393">
        <f xml:space="preserve">
IF($A$4&lt;=12,SUMIFS('ON Data'!AH:AH,'ON Data'!$D:$D,$A$4,'ON Data'!$E:$E,4),SUMIFS('ON Data'!AH:AH,'ON Data'!$E:$E,4))</f>
        <v>92</v>
      </c>
      <c r="AD13" s="393">
        <f xml:space="preserve">
IF($A$4&lt;=12,SUMIFS('ON Data'!AI:AI,'ON Data'!$D:$D,$A$4,'ON Data'!$E:$E,4),SUMIFS('ON Data'!AI:AI,'ON Data'!$E:$E,4))</f>
        <v>0</v>
      </c>
      <c r="AE13" s="393">
        <f xml:space="preserve">
IF($A$4&lt;=12,SUMIFS('ON Data'!AJ:AJ,'ON Data'!$D:$D,$A$4,'ON Data'!$E:$E,4),SUMIFS('ON Data'!AJ:AJ,'ON Data'!$E:$E,4))</f>
        <v>0</v>
      </c>
      <c r="AF13" s="393">
        <f xml:space="preserve">
IF($A$4&lt;=12,SUMIFS('ON Data'!AK:AK,'ON Data'!$D:$D,$A$4,'ON Data'!$E:$E,4),SUMIFS('ON Data'!AK:AK,'ON Data'!$E:$E,4))</f>
        <v>0</v>
      </c>
      <c r="AG13" s="641">
        <f xml:space="preserve">
IF($A$4&lt;=12,SUMIFS('ON Data'!AM:AM,'ON Data'!$D:$D,$A$4,'ON Data'!$E:$E,4),SUMIFS('ON Data'!AM:AM,'ON Data'!$E:$E,4))</f>
        <v>0</v>
      </c>
      <c r="AH13" s="650"/>
    </row>
    <row r="14" spans="1:34" ht="15" thickBot="1" x14ac:dyDescent="0.35">
      <c r="A14" s="375" t="s">
        <v>236</v>
      </c>
      <c r="B14" s="394">
        <f xml:space="preserve">
IF($A$4&lt;=12,SUMIFS('ON Data'!F:F,'ON Data'!$D:$D,$A$4,'ON Data'!$E:$E,5),SUMIFS('ON Data'!F:F,'ON Data'!$E:$E,5))</f>
        <v>172</v>
      </c>
      <c r="C14" s="395">
        <f xml:space="preserve">
IF($A$4&lt;=12,SUMIFS('ON Data'!G:G,'ON Data'!$D:$D,$A$4,'ON Data'!$E:$E,5),SUMIFS('ON Data'!G:G,'ON Data'!$E:$E,5))</f>
        <v>172</v>
      </c>
      <c r="D14" s="396">
        <f xml:space="preserve">
IF($A$4&lt;=12,SUMIFS('ON Data'!H:H,'ON Data'!$D:$D,$A$4,'ON Data'!$E:$E,5),SUMIFS('ON Data'!H:H,'ON Data'!$E:$E,5))</f>
        <v>0</v>
      </c>
      <c r="E14" s="396">
        <f xml:space="preserve">
IF($A$4&lt;=12,SUMIFS('ON Data'!I:I,'ON Data'!$D:$D,$A$4,'ON Data'!$E:$E,5),SUMIFS('ON Data'!I:I,'ON Data'!$E:$E,5))</f>
        <v>0</v>
      </c>
      <c r="F14" s="396">
        <f xml:space="preserve">
IF($A$4&lt;=12,SUMIFS('ON Data'!K:K,'ON Data'!$D:$D,$A$4,'ON Data'!$E:$E,5),SUMIFS('ON Data'!K:K,'ON Data'!$E:$E,5))</f>
        <v>0</v>
      </c>
      <c r="G14" s="396">
        <f xml:space="preserve">
IF($A$4&lt;=12,SUMIFS('ON Data'!L:L,'ON Data'!$D:$D,$A$4,'ON Data'!$E:$E,5),SUMIFS('ON Data'!L:L,'ON Data'!$E:$E,5))</f>
        <v>0</v>
      </c>
      <c r="H14" s="396">
        <f xml:space="preserve">
IF($A$4&lt;=12,SUMIFS('ON Data'!M:M,'ON Data'!$D:$D,$A$4,'ON Data'!$E:$E,5),SUMIFS('ON Data'!M:M,'ON Data'!$E:$E,5))</f>
        <v>0</v>
      </c>
      <c r="I14" s="396">
        <f xml:space="preserve">
IF($A$4&lt;=12,SUMIFS('ON Data'!N:N,'ON Data'!$D:$D,$A$4,'ON Data'!$E:$E,5),SUMIFS('ON Data'!N:N,'ON Data'!$E:$E,5))</f>
        <v>0</v>
      </c>
      <c r="J14" s="396">
        <f xml:space="preserve">
IF($A$4&lt;=12,SUMIFS('ON Data'!O:O,'ON Data'!$D:$D,$A$4,'ON Data'!$E:$E,5),SUMIFS('ON Data'!O:O,'ON Data'!$E:$E,5))</f>
        <v>0</v>
      </c>
      <c r="K14" s="396">
        <f xml:space="preserve">
IF($A$4&lt;=12,SUMIFS('ON Data'!P:P,'ON Data'!$D:$D,$A$4,'ON Data'!$E:$E,5),SUMIFS('ON Data'!P:P,'ON Data'!$E:$E,5))</f>
        <v>0</v>
      </c>
      <c r="L14" s="396">
        <f xml:space="preserve">
IF($A$4&lt;=12,SUMIFS('ON Data'!Q:Q,'ON Data'!$D:$D,$A$4,'ON Data'!$E:$E,5),SUMIFS('ON Data'!Q:Q,'ON Data'!$E:$E,5))</f>
        <v>0</v>
      </c>
      <c r="M14" s="396">
        <f xml:space="preserve">
IF($A$4&lt;=12,SUMIFS('ON Data'!R:R,'ON Data'!$D:$D,$A$4,'ON Data'!$E:$E,5),SUMIFS('ON Data'!R:R,'ON Data'!$E:$E,5))</f>
        <v>0</v>
      </c>
      <c r="N14" s="396">
        <f xml:space="preserve">
IF($A$4&lt;=12,SUMIFS('ON Data'!S:S,'ON Data'!$D:$D,$A$4,'ON Data'!$E:$E,5),SUMIFS('ON Data'!S:S,'ON Data'!$E:$E,5))</f>
        <v>0</v>
      </c>
      <c r="O14" s="396">
        <f xml:space="preserve">
IF($A$4&lt;=12,SUMIFS('ON Data'!T:T,'ON Data'!$D:$D,$A$4,'ON Data'!$E:$E,5),SUMIFS('ON Data'!T:T,'ON Data'!$E:$E,5))</f>
        <v>0</v>
      </c>
      <c r="P14" s="396">
        <f xml:space="preserve">
IF($A$4&lt;=12,SUMIFS('ON Data'!U:U,'ON Data'!$D:$D,$A$4,'ON Data'!$E:$E,5),SUMIFS('ON Data'!U:U,'ON Data'!$E:$E,5))</f>
        <v>0</v>
      </c>
      <c r="Q14" s="396">
        <f xml:space="preserve">
IF($A$4&lt;=12,SUMIFS('ON Data'!V:V,'ON Data'!$D:$D,$A$4,'ON Data'!$E:$E,5),SUMIFS('ON Data'!V:V,'ON Data'!$E:$E,5))</f>
        <v>0</v>
      </c>
      <c r="R14" s="396">
        <f xml:space="preserve">
IF($A$4&lt;=12,SUMIFS('ON Data'!W:W,'ON Data'!$D:$D,$A$4,'ON Data'!$E:$E,5),SUMIFS('ON Data'!W:W,'ON Data'!$E:$E,5))</f>
        <v>0</v>
      </c>
      <c r="S14" s="396">
        <f xml:space="preserve">
IF($A$4&lt;=12,SUMIFS('ON Data'!X:X,'ON Data'!$D:$D,$A$4,'ON Data'!$E:$E,5),SUMIFS('ON Data'!X:X,'ON Data'!$E:$E,5))</f>
        <v>0</v>
      </c>
      <c r="T14" s="396">
        <f xml:space="preserve">
IF($A$4&lt;=12,SUMIFS('ON Data'!Y:Y,'ON Data'!$D:$D,$A$4,'ON Data'!$E:$E,5),SUMIFS('ON Data'!Y:Y,'ON Data'!$E:$E,5))</f>
        <v>0</v>
      </c>
      <c r="U14" s="396">
        <f xml:space="preserve">
IF($A$4&lt;=12,SUMIFS('ON Data'!Z:Z,'ON Data'!$D:$D,$A$4,'ON Data'!$E:$E,5),SUMIFS('ON Data'!Z:Z,'ON Data'!$E:$E,5))</f>
        <v>0</v>
      </c>
      <c r="V14" s="396">
        <f xml:space="preserve">
IF($A$4&lt;=12,SUMIFS('ON Data'!AA:AA,'ON Data'!$D:$D,$A$4,'ON Data'!$E:$E,5),SUMIFS('ON Data'!AA:AA,'ON Data'!$E:$E,5))</f>
        <v>0</v>
      </c>
      <c r="W14" s="396">
        <f xml:space="preserve">
IF($A$4&lt;=12,SUMIFS('ON Data'!AB:AB,'ON Data'!$D:$D,$A$4,'ON Data'!$E:$E,5),SUMIFS('ON Data'!AB:AB,'ON Data'!$E:$E,5))</f>
        <v>0</v>
      </c>
      <c r="X14" s="396">
        <f xml:space="preserve">
IF($A$4&lt;=12,SUMIFS('ON Data'!AC:AC,'ON Data'!$D:$D,$A$4,'ON Data'!$E:$E,5),SUMIFS('ON Data'!AC:AC,'ON Data'!$E:$E,5))</f>
        <v>0</v>
      </c>
      <c r="Y14" s="396">
        <f xml:space="preserve">
IF($A$4&lt;=12,SUMIFS('ON Data'!AD:AD,'ON Data'!$D:$D,$A$4,'ON Data'!$E:$E,5),SUMIFS('ON Data'!AD:AD,'ON Data'!$E:$E,5))</f>
        <v>0</v>
      </c>
      <c r="Z14" s="396">
        <f xml:space="preserve">
IF($A$4&lt;=12,SUMIFS('ON Data'!AE:AE,'ON Data'!$D:$D,$A$4,'ON Data'!$E:$E,5),SUMIFS('ON Data'!AE:AE,'ON Data'!$E:$E,5))</f>
        <v>0</v>
      </c>
      <c r="AA14" s="396">
        <f xml:space="preserve">
IF($A$4&lt;=12,SUMIFS('ON Data'!AF:AF,'ON Data'!$D:$D,$A$4,'ON Data'!$E:$E,5),SUMIFS('ON Data'!AF:AF,'ON Data'!$E:$E,5))</f>
        <v>0</v>
      </c>
      <c r="AB14" s="396">
        <f xml:space="preserve">
IF($A$4&lt;=12,SUMIFS('ON Data'!AG:AG,'ON Data'!$D:$D,$A$4,'ON Data'!$E:$E,5),SUMIFS('ON Data'!AG:AG,'ON Data'!$E:$E,5))</f>
        <v>0</v>
      </c>
      <c r="AC14" s="396">
        <f xml:space="preserve">
IF($A$4&lt;=12,SUMIFS('ON Data'!AH:AH,'ON Data'!$D:$D,$A$4,'ON Data'!$E:$E,5),SUMIFS('ON Data'!AH:AH,'ON Data'!$E:$E,5))</f>
        <v>0</v>
      </c>
      <c r="AD14" s="396">
        <f xml:space="preserve">
IF($A$4&lt;=12,SUMIFS('ON Data'!AI:AI,'ON Data'!$D:$D,$A$4,'ON Data'!$E:$E,5),SUMIFS('ON Data'!AI:AI,'ON Data'!$E:$E,5))</f>
        <v>0</v>
      </c>
      <c r="AE14" s="396">
        <f xml:space="preserve">
IF($A$4&lt;=12,SUMIFS('ON Data'!AJ:AJ,'ON Data'!$D:$D,$A$4,'ON Data'!$E:$E,5),SUMIFS('ON Data'!AJ:AJ,'ON Data'!$E:$E,5))</f>
        <v>0</v>
      </c>
      <c r="AF14" s="396">
        <f xml:space="preserve">
IF($A$4&lt;=12,SUMIFS('ON Data'!AK:AK,'ON Data'!$D:$D,$A$4,'ON Data'!$E:$E,5),SUMIFS('ON Data'!AK:AK,'ON Data'!$E:$E,5))</f>
        <v>0</v>
      </c>
      <c r="AG14" s="642">
        <f xml:space="preserve">
IF($A$4&lt;=12,SUMIFS('ON Data'!AM:AM,'ON Data'!$D:$D,$A$4,'ON Data'!$E:$E,5),SUMIFS('ON Data'!AM:AM,'ON Data'!$E:$E,5))</f>
        <v>0</v>
      </c>
      <c r="AH14" s="650"/>
    </row>
    <row r="15" spans="1:34" x14ac:dyDescent="0.3">
      <c r="A15" s="274" t="s">
        <v>246</v>
      </c>
      <c r="B15" s="397"/>
      <c r="C15" s="398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643"/>
      <c r="AH15" s="650"/>
    </row>
    <row r="16" spans="1:34" x14ac:dyDescent="0.3">
      <c r="A16" s="376" t="s">
        <v>237</v>
      </c>
      <c r="B16" s="391">
        <f xml:space="preserve">
IF($A$4&lt;=12,SUMIFS('ON Data'!F:F,'ON Data'!$D:$D,$A$4,'ON Data'!$E:$E,7),SUMIFS('ON Data'!F:F,'ON Data'!$E:$E,7))</f>
        <v>0</v>
      </c>
      <c r="C16" s="392">
        <f xml:space="preserve">
IF($A$4&lt;=12,SUMIFS('ON Data'!G:G,'ON Data'!$D:$D,$A$4,'ON Data'!$E:$E,7),SUMIFS('ON Data'!G:G,'ON Data'!$E:$E,7))</f>
        <v>0</v>
      </c>
      <c r="D16" s="393">
        <f xml:space="preserve">
IF($A$4&lt;=12,SUMIFS('ON Data'!H:H,'ON Data'!$D:$D,$A$4,'ON Data'!$E:$E,7),SUMIFS('ON Data'!H:H,'ON Data'!$E:$E,7))</f>
        <v>0</v>
      </c>
      <c r="E16" s="393">
        <f xml:space="preserve">
IF($A$4&lt;=12,SUMIFS('ON Data'!I:I,'ON Data'!$D:$D,$A$4,'ON Data'!$E:$E,7),SUMIFS('ON Data'!I:I,'ON Data'!$E:$E,7))</f>
        <v>0</v>
      </c>
      <c r="F16" s="393">
        <f xml:space="preserve">
IF($A$4&lt;=12,SUMIFS('ON Data'!K:K,'ON Data'!$D:$D,$A$4,'ON Data'!$E:$E,7),SUMIFS('ON Data'!K:K,'ON Data'!$E:$E,7))</f>
        <v>0</v>
      </c>
      <c r="G16" s="393">
        <f xml:space="preserve">
IF($A$4&lt;=12,SUMIFS('ON Data'!L:L,'ON Data'!$D:$D,$A$4,'ON Data'!$E:$E,7),SUMIFS('ON Data'!L:L,'ON Data'!$E:$E,7))</f>
        <v>0</v>
      </c>
      <c r="H16" s="393">
        <f xml:space="preserve">
IF($A$4&lt;=12,SUMIFS('ON Data'!M:M,'ON Data'!$D:$D,$A$4,'ON Data'!$E:$E,7),SUMIFS('ON Data'!M:M,'ON Data'!$E:$E,7))</f>
        <v>0</v>
      </c>
      <c r="I16" s="393">
        <f xml:space="preserve">
IF($A$4&lt;=12,SUMIFS('ON Data'!N:N,'ON Data'!$D:$D,$A$4,'ON Data'!$E:$E,7),SUMIFS('ON Data'!N:N,'ON Data'!$E:$E,7))</f>
        <v>0</v>
      </c>
      <c r="J16" s="393">
        <f xml:space="preserve">
IF($A$4&lt;=12,SUMIFS('ON Data'!O:O,'ON Data'!$D:$D,$A$4,'ON Data'!$E:$E,7),SUMIFS('ON Data'!O:O,'ON Data'!$E:$E,7))</f>
        <v>0</v>
      </c>
      <c r="K16" s="393">
        <f xml:space="preserve">
IF($A$4&lt;=12,SUMIFS('ON Data'!P:P,'ON Data'!$D:$D,$A$4,'ON Data'!$E:$E,7),SUMIFS('ON Data'!P:P,'ON Data'!$E:$E,7))</f>
        <v>0</v>
      </c>
      <c r="L16" s="393">
        <f xml:space="preserve">
IF($A$4&lt;=12,SUMIFS('ON Data'!Q:Q,'ON Data'!$D:$D,$A$4,'ON Data'!$E:$E,7),SUMIFS('ON Data'!Q:Q,'ON Data'!$E:$E,7))</f>
        <v>0</v>
      </c>
      <c r="M16" s="393">
        <f xml:space="preserve">
IF($A$4&lt;=12,SUMIFS('ON Data'!R:R,'ON Data'!$D:$D,$A$4,'ON Data'!$E:$E,7),SUMIFS('ON Data'!R:R,'ON Data'!$E:$E,7))</f>
        <v>0</v>
      </c>
      <c r="N16" s="393">
        <f xml:space="preserve">
IF($A$4&lt;=12,SUMIFS('ON Data'!S:S,'ON Data'!$D:$D,$A$4,'ON Data'!$E:$E,7),SUMIFS('ON Data'!S:S,'ON Data'!$E:$E,7))</f>
        <v>0</v>
      </c>
      <c r="O16" s="393">
        <f xml:space="preserve">
IF($A$4&lt;=12,SUMIFS('ON Data'!T:T,'ON Data'!$D:$D,$A$4,'ON Data'!$E:$E,7),SUMIFS('ON Data'!T:T,'ON Data'!$E:$E,7))</f>
        <v>0</v>
      </c>
      <c r="P16" s="393">
        <f xml:space="preserve">
IF($A$4&lt;=12,SUMIFS('ON Data'!U:U,'ON Data'!$D:$D,$A$4,'ON Data'!$E:$E,7),SUMIFS('ON Data'!U:U,'ON Data'!$E:$E,7))</f>
        <v>0</v>
      </c>
      <c r="Q16" s="393">
        <f xml:space="preserve">
IF($A$4&lt;=12,SUMIFS('ON Data'!V:V,'ON Data'!$D:$D,$A$4,'ON Data'!$E:$E,7),SUMIFS('ON Data'!V:V,'ON Data'!$E:$E,7))</f>
        <v>0</v>
      </c>
      <c r="R16" s="393">
        <f xml:space="preserve">
IF($A$4&lt;=12,SUMIFS('ON Data'!W:W,'ON Data'!$D:$D,$A$4,'ON Data'!$E:$E,7),SUMIFS('ON Data'!W:W,'ON Data'!$E:$E,7))</f>
        <v>0</v>
      </c>
      <c r="S16" s="393">
        <f xml:space="preserve">
IF($A$4&lt;=12,SUMIFS('ON Data'!X:X,'ON Data'!$D:$D,$A$4,'ON Data'!$E:$E,7),SUMIFS('ON Data'!X:X,'ON Data'!$E:$E,7))</f>
        <v>0</v>
      </c>
      <c r="T16" s="393">
        <f xml:space="preserve">
IF($A$4&lt;=12,SUMIFS('ON Data'!Y:Y,'ON Data'!$D:$D,$A$4,'ON Data'!$E:$E,7),SUMIFS('ON Data'!Y:Y,'ON Data'!$E:$E,7))</f>
        <v>0</v>
      </c>
      <c r="U16" s="393">
        <f xml:space="preserve">
IF($A$4&lt;=12,SUMIFS('ON Data'!Z:Z,'ON Data'!$D:$D,$A$4,'ON Data'!$E:$E,7),SUMIFS('ON Data'!Z:Z,'ON Data'!$E:$E,7))</f>
        <v>0</v>
      </c>
      <c r="V16" s="393">
        <f xml:space="preserve">
IF($A$4&lt;=12,SUMIFS('ON Data'!AA:AA,'ON Data'!$D:$D,$A$4,'ON Data'!$E:$E,7),SUMIFS('ON Data'!AA:AA,'ON Data'!$E:$E,7))</f>
        <v>0</v>
      </c>
      <c r="W16" s="393">
        <f xml:space="preserve">
IF($A$4&lt;=12,SUMIFS('ON Data'!AB:AB,'ON Data'!$D:$D,$A$4,'ON Data'!$E:$E,7),SUMIFS('ON Data'!AB:AB,'ON Data'!$E:$E,7))</f>
        <v>0</v>
      </c>
      <c r="X16" s="393">
        <f xml:space="preserve">
IF($A$4&lt;=12,SUMIFS('ON Data'!AC:AC,'ON Data'!$D:$D,$A$4,'ON Data'!$E:$E,7),SUMIFS('ON Data'!AC:AC,'ON Data'!$E:$E,7))</f>
        <v>0</v>
      </c>
      <c r="Y16" s="393">
        <f xml:space="preserve">
IF($A$4&lt;=12,SUMIFS('ON Data'!AD:AD,'ON Data'!$D:$D,$A$4,'ON Data'!$E:$E,7),SUMIFS('ON Data'!AD:AD,'ON Data'!$E:$E,7))</f>
        <v>0</v>
      </c>
      <c r="Z16" s="393">
        <f xml:space="preserve">
IF($A$4&lt;=12,SUMIFS('ON Data'!AE:AE,'ON Data'!$D:$D,$A$4,'ON Data'!$E:$E,7),SUMIFS('ON Data'!AE:AE,'ON Data'!$E:$E,7))</f>
        <v>0</v>
      </c>
      <c r="AA16" s="393">
        <f xml:space="preserve">
IF($A$4&lt;=12,SUMIFS('ON Data'!AF:AF,'ON Data'!$D:$D,$A$4,'ON Data'!$E:$E,7),SUMIFS('ON Data'!AF:AF,'ON Data'!$E:$E,7))</f>
        <v>0</v>
      </c>
      <c r="AB16" s="393">
        <f xml:space="preserve">
IF($A$4&lt;=12,SUMIFS('ON Data'!AG:AG,'ON Data'!$D:$D,$A$4,'ON Data'!$E:$E,7),SUMIFS('ON Data'!AG:AG,'ON Data'!$E:$E,7))</f>
        <v>0</v>
      </c>
      <c r="AC16" s="393">
        <f xml:space="preserve">
IF($A$4&lt;=12,SUMIFS('ON Data'!AH:AH,'ON Data'!$D:$D,$A$4,'ON Data'!$E:$E,7),SUMIFS('ON Data'!AH:AH,'ON Data'!$E:$E,7))</f>
        <v>0</v>
      </c>
      <c r="AD16" s="393">
        <f xml:space="preserve">
IF($A$4&lt;=12,SUMIFS('ON Data'!AI:AI,'ON Data'!$D:$D,$A$4,'ON Data'!$E:$E,7),SUMIFS('ON Data'!AI:AI,'ON Data'!$E:$E,7))</f>
        <v>0</v>
      </c>
      <c r="AE16" s="393">
        <f xml:space="preserve">
IF($A$4&lt;=12,SUMIFS('ON Data'!AJ:AJ,'ON Data'!$D:$D,$A$4,'ON Data'!$E:$E,7),SUMIFS('ON Data'!AJ:AJ,'ON Data'!$E:$E,7))</f>
        <v>0</v>
      </c>
      <c r="AF16" s="393">
        <f xml:space="preserve">
IF($A$4&lt;=12,SUMIFS('ON Data'!AK:AK,'ON Data'!$D:$D,$A$4,'ON Data'!$E:$E,7),SUMIFS('ON Data'!AK:AK,'ON Data'!$E:$E,7))</f>
        <v>0</v>
      </c>
      <c r="AG16" s="641">
        <f xml:space="preserve">
IF($A$4&lt;=12,SUMIFS('ON Data'!AM:AM,'ON Data'!$D:$D,$A$4,'ON Data'!$E:$E,7),SUMIFS('ON Data'!AM:AM,'ON Data'!$E:$E,7))</f>
        <v>0</v>
      </c>
      <c r="AH16" s="650"/>
    </row>
    <row r="17" spans="1:34" x14ac:dyDescent="0.3">
      <c r="A17" s="376" t="s">
        <v>238</v>
      </c>
      <c r="B17" s="391">
        <f xml:space="preserve">
IF($A$4&lt;=12,SUMIFS('ON Data'!F:F,'ON Data'!$D:$D,$A$4,'ON Data'!$E:$E,8),SUMIFS('ON Data'!F:F,'ON Data'!$E:$E,8))</f>
        <v>0</v>
      </c>
      <c r="C17" s="392">
        <f xml:space="preserve">
IF($A$4&lt;=12,SUMIFS('ON Data'!G:G,'ON Data'!$D:$D,$A$4,'ON Data'!$E:$E,8),SUMIFS('ON Data'!G:G,'ON Data'!$E:$E,8))</f>
        <v>0</v>
      </c>
      <c r="D17" s="393">
        <f xml:space="preserve">
IF($A$4&lt;=12,SUMIFS('ON Data'!H:H,'ON Data'!$D:$D,$A$4,'ON Data'!$E:$E,8),SUMIFS('ON Data'!H:H,'ON Data'!$E:$E,8))</f>
        <v>0</v>
      </c>
      <c r="E17" s="393">
        <f xml:space="preserve">
IF($A$4&lt;=12,SUMIFS('ON Data'!I:I,'ON Data'!$D:$D,$A$4,'ON Data'!$E:$E,8),SUMIFS('ON Data'!I:I,'ON Data'!$E:$E,8))</f>
        <v>0</v>
      </c>
      <c r="F17" s="393">
        <f xml:space="preserve">
IF($A$4&lt;=12,SUMIFS('ON Data'!K:K,'ON Data'!$D:$D,$A$4,'ON Data'!$E:$E,8),SUMIFS('ON Data'!K:K,'ON Data'!$E:$E,8))</f>
        <v>0</v>
      </c>
      <c r="G17" s="393">
        <f xml:space="preserve">
IF($A$4&lt;=12,SUMIFS('ON Data'!L:L,'ON Data'!$D:$D,$A$4,'ON Data'!$E:$E,8),SUMIFS('ON Data'!L:L,'ON Data'!$E:$E,8))</f>
        <v>0</v>
      </c>
      <c r="H17" s="393">
        <f xml:space="preserve">
IF($A$4&lt;=12,SUMIFS('ON Data'!M:M,'ON Data'!$D:$D,$A$4,'ON Data'!$E:$E,8),SUMIFS('ON Data'!M:M,'ON Data'!$E:$E,8))</f>
        <v>0</v>
      </c>
      <c r="I17" s="393">
        <f xml:space="preserve">
IF($A$4&lt;=12,SUMIFS('ON Data'!N:N,'ON Data'!$D:$D,$A$4,'ON Data'!$E:$E,8),SUMIFS('ON Data'!N:N,'ON Data'!$E:$E,8))</f>
        <v>0</v>
      </c>
      <c r="J17" s="393">
        <f xml:space="preserve">
IF($A$4&lt;=12,SUMIFS('ON Data'!O:O,'ON Data'!$D:$D,$A$4,'ON Data'!$E:$E,8),SUMIFS('ON Data'!O:O,'ON Data'!$E:$E,8))</f>
        <v>0</v>
      </c>
      <c r="K17" s="393">
        <f xml:space="preserve">
IF($A$4&lt;=12,SUMIFS('ON Data'!P:P,'ON Data'!$D:$D,$A$4,'ON Data'!$E:$E,8),SUMIFS('ON Data'!P:P,'ON Data'!$E:$E,8))</f>
        <v>0</v>
      </c>
      <c r="L17" s="393">
        <f xml:space="preserve">
IF($A$4&lt;=12,SUMIFS('ON Data'!Q:Q,'ON Data'!$D:$D,$A$4,'ON Data'!$E:$E,8),SUMIFS('ON Data'!Q:Q,'ON Data'!$E:$E,8))</f>
        <v>0</v>
      </c>
      <c r="M17" s="393">
        <f xml:space="preserve">
IF($A$4&lt;=12,SUMIFS('ON Data'!R:R,'ON Data'!$D:$D,$A$4,'ON Data'!$E:$E,8),SUMIFS('ON Data'!R:R,'ON Data'!$E:$E,8))</f>
        <v>0</v>
      </c>
      <c r="N17" s="393">
        <f xml:space="preserve">
IF($A$4&lt;=12,SUMIFS('ON Data'!S:S,'ON Data'!$D:$D,$A$4,'ON Data'!$E:$E,8),SUMIFS('ON Data'!S:S,'ON Data'!$E:$E,8))</f>
        <v>0</v>
      </c>
      <c r="O17" s="393">
        <f xml:space="preserve">
IF($A$4&lt;=12,SUMIFS('ON Data'!T:T,'ON Data'!$D:$D,$A$4,'ON Data'!$E:$E,8),SUMIFS('ON Data'!T:T,'ON Data'!$E:$E,8))</f>
        <v>0</v>
      </c>
      <c r="P17" s="393">
        <f xml:space="preserve">
IF($A$4&lt;=12,SUMIFS('ON Data'!U:U,'ON Data'!$D:$D,$A$4,'ON Data'!$E:$E,8),SUMIFS('ON Data'!U:U,'ON Data'!$E:$E,8))</f>
        <v>0</v>
      </c>
      <c r="Q17" s="393">
        <f xml:space="preserve">
IF($A$4&lt;=12,SUMIFS('ON Data'!V:V,'ON Data'!$D:$D,$A$4,'ON Data'!$E:$E,8),SUMIFS('ON Data'!V:V,'ON Data'!$E:$E,8))</f>
        <v>0</v>
      </c>
      <c r="R17" s="393">
        <f xml:space="preserve">
IF($A$4&lt;=12,SUMIFS('ON Data'!W:W,'ON Data'!$D:$D,$A$4,'ON Data'!$E:$E,8),SUMIFS('ON Data'!W:W,'ON Data'!$E:$E,8))</f>
        <v>0</v>
      </c>
      <c r="S17" s="393">
        <f xml:space="preserve">
IF($A$4&lt;=12,SUMIFS('ON Data'!X:X,'ON Data'!$D:$D,$A$4,'ON Data'!$E:$E,8),SUMIFS('ON Data'!X:X,'ON Data'!$E:$E,8))</f>
        <v>0</v>
      </c>
      <c r="T17" s="393">
        <f xml:space="preserve">
IF($A$4&lt;=12,SUMIFS('ON Data'!Y:Y,'ON Data'!$D:$D,$A$4,'ON Data'!$E:$E,8),SUMIFS('ON Data'!Y:Y,'ON Data'!$E:$E,8))</f>
        <v>0</v>
      </c>
      <c r="U17" s="393">
        <f xml:space="preserve">
IF($A$4&lt;=12,SUMIFS('ON Data'!Z:Z,'ON Data'!$D:$D,$A$4,'ON Data'!$E:$E,8),SUMIFS('ON Data'!Z:Z,'ON Data'!$E:$E,8))</f>
        <v>0</v>
      </c>
      <c r="V17" s="393">
        <f xml:space="preserve">
IF($A$4&lt;=12,SUMIFS('ON Data'!AA:AA,'ON Data'!$D:$D,$A$4,'ON Data'!$E:$E,8),SUMIFS('ON Data'!AA:AA,'ON Data'!$E:$E,8))</f>
        <v>0</v>
      </c>
      <c r="W17" s="393">
        <f xml:space="preserve">
IF($A$4&lt;=12,SUMIFS('ON Data'!AB:AB,'ON Data'!$D:$D,$A$4,'ON Data'!$E:$E,8),SUMIFS('ON Data'!AB:AB,'ON Data'!$E:$E,8))</f>
        <v>0</v>
      </c>
      <c r="X17" s="393">
        <f xml:space="preserve">
IF($A$4&lt;=12,SUMIFS('ON Data'!AC:AC,'ON Data'!$D:$D,$A$4,'ON Data'!$E:$E,8),SUMIFS('ON Data'!AC:AC,'ON Data'!$E:$E,8))</f>
        <v>0</v>
      </c>
      <c r="Y17" s="393">
        <f xml:space="preserve">
IF($A$4&lt;=12,SUMIFS('ON Data'!AD:AD,'ON Data'!$D:$D,$A$4,'ON Data'!$E:$E,8),SUMIFS('ON Data'!AD:AD,'ON Data'!$E:$E,8))</f>
        <v>0</v>
      </c>
      <c r="Z17" s="393">
        <f xml:space="preserve">
IF($A$4&lt;=12,SUMIFS('ON Data'!AE:AE,'ON Data'!$D:$D,$A$4,'ON Data'!$E:$E,8),SUMIFS('ON Data'!AE:AE,'ON Data'!$E:$E,8))</f>
        <v>0</v>
      </c>
      <c r="AA17" s="393">
        <f xml:space="preserve">
IF($A$4&lt;=12,SUMIFS('ON Data'!AF:AF,'ON Data'!$D:$D,$A$4,'ON Data'!$E:$E,8),SUMIFS('ON Data'!AF:AF,'ON Data'!$E:$E,8))</f>
        <v>0</v>
      </c>
      <c r="AB17" s="393">
        <f xml:space="preserve">
IF($A$4&lt;=12,SUMIFS('ON Data'!AG:AG,'ON Data'!$D:$D,$A$4,'ON Data'!$E:$E,8),SUMIFS('ON Data'!AG:AG,'ON Data'!$E:$E,8))</f>
        <v>0</v>
      </c>
      <c r="AC17" s="393">
        <f xml:space="preserve">
IF($A$4&lt;=12,SUMIFS('ON Data'!AH:AH,'ON Data'!$D:$D,$A$4,'ON Data'!$E:$E,8),SUMIFS('ON Data'!AH:AH,'ON Data'!$E:$E,8))</f>
        <v>0</v>
      </c>
      <c r="AD17" s="393">
        <f xml:space="preserve">
IF($A$4&lt;=12,SUMIFS('ON Data'!AI:AI,'ON Data'!$D:$D,$A$4,'ON Data'!$E:$E,8),SUMIFS('ON Data'!AI:AI,'ON Data'!$E:$E,8))</f>
        <v>0</v>
      </c>
      <c r="AE17" s="393">
        <f xml:space="preserve">
IF($A$4&lt;=12,SUMIFS('ON Data'!AJ:AJ,'ON Data'!$D:$D,$A$4,'ON Data'!$E:$E,8),SUMIFS('ON Data'!AJ:AJ,'ON Data'!$E:$E,8))</f>
        <v>0</v>
      </c>
      <c r="AF17" s="393">
        <f xml:space="preserve">
IF($A$4&lt;=12,SUMIFS('ON Data'!AK:AK,'ON Data'!$D:$D,$A$4,'ON Data'!$E:$E,8),SUMIFS('ON Data'!AK:AK,'ON Data'!$E:$E,8))</f>
        <v>0</v>
      </c>
      <c r="AG17" s="641">
        <f xml:space="preserve">
IF($A$4&lt;=12,SUMIFS('ON Data'!AM:AM,'ON Data'!$D:$D,$A$4,'ON Data'!$E:$E,8),SUMIFS('ON Data'!AM:AM,'ON Data'!$E:$E,8))</f>
        <v>0</v>
      </c>
      <c r="AH17" s="650"/>
    </row>
    <row r="18" spans="1:34" x14ac:dyDescent="0.3">
      <c r="A18" s="376" t="s">
        <v>239</v>
      </c>
      <c r="B18" s="391">
        <f xml:space="preserve">
B19-B16-B17</f>
        <v>47208</v>
      </c>
      <c r="C18" s="392">
        <f t="shared" ref="C18" si="0" xml:space="preserve">
C19-C16-C17</f>
        <v>0</v>
      </c>
      <c r="D18" s="393">
        <f t="shared" ref="D18:AG18" si="1" xml:space="preserve">
D19-D16-D17</f>
        <v>0</v>
      </c>
      <c r="E18" s="393">
        <f t="shared" si="1"/>
        <v>0</v>
      </c>
      <c r="F18" s="393">
        <f t="shared" si="1"/>
        <v>47208</v>
      </c>
      <c r="G18" s="393">
        <f t="shared" si="1"/>
        <v>0</v>
      </c>
      <c r="H18" s="393">
        <f t="shared" si="1"/>
        <v>0</v>
      </c>
      <c r="I18" s="393">
        <f t="shared" si="1"/>
        <v>0</v>
      </c>
      <c r="J18" s="393">
        <f t="shared" si="1"/>
        <v>0</v>
      </c>
      <c r="K18" s="393">
        <f t="shared" si="1"/>
        <v>0</v>
      </c>
      <c r="L18" s="393">
        <f t="shared" si="1"/>
        <v>0</v>
      </c>
      <c r="M18" s="393">
        <f t="shared" si="1"/>
        <v>0</v>
      </c>
      <c r="N18" s="393">
        <f t="shared" si="1"/>
        <v>0</v>
      </c>
      <c r="O18" s="393">
        <f t="shared" si="1"/>
        <v>0</v>
      </c>
      <c r="P18" s="393">
        <f t="shared" si="1"/>
        <v>0</v>
      </c>
      <c r="Q18" s="393">
        <f t="shared" si="1"/>
        <v>0</v>
      </c>
      <c r="R18" s="393">
        <f t="shared" si="1"/>
        <v>0</v>
      </c>
      <c r="S18" s="393">
        <f t="shared" si="1"/>
        <v>0</v>
      </c>
      <c r="T18" s="393">
        <f t="shared" si="1"/>
        <v>0</v>
      </c>
      <c r="U18" s="393">
        <f t="shared" si="1"/>
        <v>0</v>
      </c>
      <c r="V18" s="393">
        <f t="shared" si="1"/>
        <v>0</v>
      </c>
      <c r="W18" s="393">
        <f t="shared" si="1"/>
        <v>0</v>
      </c>
      <c r="X18" s="393">
        <f t="shared" si="1"/>
        <v>0</v>
      </c>
      <c r="Y18" s="393">
        <f t="shared" si="1"/>
        <v>0</v>
      </c>
      <c r="Z18" s="393">
        <f t="shared" si="1"/>
        <v>0</v>
      </c>
      <c r="AA18" s="393">
        <f t="shared" si="1"/>
        <v>0</v>
      </c>
      <c r="AB18" s="393">
        <f t="shared" si="1"/>
        <v>0</v>
      </c>
      <c r="AC18" s="393">
        <f t="shared" si="1"/>
        <v>0</v>
      </c>
      <c r="AD18" s="393">
        <f t="shared" si="1"/>
        <v>0</v>
      </c>
      <c r="AE18" s="393">
        <f t="shared" si="1"/>
        <v>0</v>
      </c>
      <c r="AF18" s="393">
        <f t="shared" si="1"/>
        <v>0</v>
      </c>
      <c r="AG18" s="641">
        <f t="shared" si="1"/>
        <v>0</v>
      </c>
      <c r="AH18" s="650"/>
    </row>
    <row r="19" spans="1:34" ht="15" thickBot="1" x14ac:dyDescent="0.35">
      <c r="A19" s="377" t="s">
        <v>240</v>
      </c>
      <c r="B19" s="400">
        <f xml:space="preserve">
IF($A$4&lt;=12,SUMIFS('ON Data'!F:F,'ON Data'!$D:$D,$A$4,'ON Data'!$E:$E,9),SUMIFS('ON Data'!F:F,'ON Data'!$E:$E,9))</f>
        <v>47208</v>
      </c>
      <c r="C19" s="401">
        <f xml:space="preserve">
IF($A$4&lt;=12,SUMIFS('ON Data'!G:G,'ON Data'!$D:$D,$A$4,'ON Data'!$E:$E,9),SUMIFS('ON Data'!G:G,'ON Data'!$E:$E,9))</f>
        <v>0</v>
      </c>
      <c r="D19" s="402">
        <f xml:space="preserve">
IF($A$4&lt;=12,SUMIFS('ON Data'!H:H,'ON Data'!$D:$D,$A$4,'ON Data'!$E:$E,9),SUMIFS('ON Data'!H:H,'ON Data'!$E:$E,9))</f>
        <v>0</v>
      </c>
      <c r="E19" s="402">
        <f xml:space="preserve">
IF($A$4&lt;=12,SUMIFS('ON Data'!I:I,'ON Data'!$D:$D,$A$4,'ON Data'!$E:$E,9),SUMIFS('ON Data'!I:I,'ON Data'!$E:$E,9))</f>
        <v>0</v>
      </c>
      <c r="F19" s="402">
        <f xml:space="preserve">
IF($A$4&lt;=12,SUMIFS('ON Data'!K:K,'ON Data'!$D:$D,$A$4,'ON Data'!$E:$E,9),SUMIFS('ON Data'!K:K,'ON Data'!$E:$E,9))</f>
        <v>47208</v>
      </c>
      <c r="G19" s="402">
        <f xml:space="preserve">
IF($A$4&lt;=12,SUMIFS('ON Data'!L:L,'ON Data'!$D:$D,$A$4,'ON Data'!$E:$E,9),SUMIFS('ON Data'!L:L,'ON Data'!$E:$E,9))</f>
        <v>0</v>
      </c>
      <c r="H19" s="402">
        <f xml:space="preserve">
IF($A$4&lt;=12,SUMIFS('ON Data'!M:M,'ON Data'!$D:$D,$A$4,'ON Data'!$E:$E,9),SUMIFS('ON Data'!M:M,'ON Data'!$E:$E,9))</f>
        <v>0</v>
      </c>
      <c r="I19" s="402">
        <f xml:space="preserve">
IF($A$4&lt;=12,SUMIFS('ON Data'!N:N,'ON Data'!$D:$D,$A$4,'ON Data'!$E:$E,9),SUMIFS('ON Data'!N:N,'ON Data'!$E:$E,9))</f>
        <v>0</v>
      </c>
      <c r="J19" s="402">
        <f xml:space="preserve">
IF($A$4&lt;=12,SUMIFS('ON Data'!O:O,'ON Data'!$D:$D,$A$4,'ON Data'!$E:$E,9),SUMIFS('ON Data'!O:O,'ON Data'!$E:$E,9))</f>
        <v>0</v>
      </c>
      <c r="K19" s="402">
        <f xml:space="preserve">
IF($A$4&lt;=12,SUMIFS('ON Data'!P:P,'ON Data'!$D:$D,$A$4,'ON Data'!$E:$E,9),SUMIFS('ON Data'!P:P,'ON Data'!$E:$E,9))</f>
        <v>0</v>
      </c>
      <c r="L19" s="402">
        <f xml:space="preserve">
IF($A$4&lt;=12,SUMIFS('ON Data'!Q:Q,'ON Data'!$D:$D,$A$4,'ON Data'!$E:$E,9),SUMIFS('ON Data'!Q:Q,'ON Data'!$E:$E,9))</f>
        <v>0</v>
      </c>
      <c r="M19" s="402">
        <f xml:space="preserve">
IF($A$4&lt;=12,SUMIFS('ON Data'!R:R,'ON Data'!$D:$D,$A$4,'ON Data'!$E:$E,9),SUMIFS('ON Data'!R:R,'ON Data'!$E:$E,9))</f>
        <v>0</v>
      </c>
      <c r="N19" s="402">
        <f xml:space="preserve">
IF($A$4&lt;=12,SUMIFS('ON Data'!S:S,'ON Data'!$D:$D,$A$4,'ON Data'!$E:$E,9),SUMIFS('ON Data'!S:S,'ON Data'!$E:$E,9))</f>
        <v>0</v>
      </c>
      <c r="O19" s="402">
        <f xml:space="preserve">
IF($A$4&lt;=12,SUMIFS('ON Data'!T:T,'ON Data'!$D:$D,$A$4,'ON Data'!$E:$E,9),SUMIFS('ON Data'!T:T,'ON Data'!$E:$E,9))</f>
        <v>0</v>
      </c>
      <c r="P19" s="402">
        <f xml:space="preserve">
IF($A$4&lt;=12,SUMIFS('ON Data'!U:U,'ON Data'!$D:$D,$A$4,'ON Data'!$E:$E,9),SUMIFS('ON Data'!U:U,'ON Data'!$E:$E,9))</f>
        <v>0</v>
      </c>
      <c r="Q19" s="402">
        <f xml:space="preserve">
IF($A$4&lt;=12,SUMIFS('ON Data'!V:V,'ON Data'!$D:$D,$A$4,'ON Data'!$E:$E,9),SUMIFS('ON Data'!V:V,'ON Data'!$E:$E,9))</f>
        <v>0</v>
      </c>
      <c r="R19" s="402">
        <f xml:space="preserve">
IF($A$4&lt;=12,SUMIFS('ON Data'!W:W,'ON Data'!$D:$D,$A$4,'ON Data'!$E:$E,9),SUMIFS('ON Data'!W:W,'ON Data'!$E:$E,9))</f>
        <v>0</v>
      </c>
      <c r="S19" s="402">
        <f xml:space="preserve">
IF($A$4&lt;=12,SUMIFS('ON Data'!X:X,'ON Data'!$D:$D,$A$4,'ON Data'!$E:$E,9),SUMIFS('ON Data'!X:X,'ON Data'!$E:$E,9))</f>
        <v>0</v>
      </c>
      <c r="T19" s="402">
        <f xml:space="preserve">
IF($A$4&lt;=12,SUMIFS('ON Data'!Y:Y,'ON Data'!$D:$D,$A$4,'ON Data'!$E:$E,9),SUMIFS('ON Data'!Y:Y,'ON Data'!$E:$E,9))</f>
        <v>0</v>
      </c>
      <c r="U19" s="402">
        <f xml:space="preserve">
IF($A$4&lt;=12,SUMIFS('ON Data'!Z:Z,'ON Data'!$D:$D,$A$4,'ON Data'!$E:$E,9),SUMIFS('ON Data'!Z:Z,'ON Data'!$E:$E,9))</f>
        <v>0</v>
      </c>
      <c r="V19" s="402">
        <f xml:space="preserve">
IF($A$4&lt;=12,SUMIFS('ON Data'!AA:AA,'ON Data'!$D:$D,$A$4,'ON Data'!$E:$E,9),SUMIFS('ON Data'!AA:AA,'ON Data'!$E:$E,9))</f>
        <v>0</v>
      </c>
      <c r="W19" s="402">
        <f xml:space="preserve">
IF($A$4&lt;=12,SUMIFS('ON Data'!AB:AB,'ON Data'!$D:$D,$A$4,'ON Data'!$E:$E,9),SUMIFS('ON Data'!AB:AB,'ON Data'!$E:$E,9))</f>
        <v>0</v>
      </c>
      <c r="X19" s="402">
        <f xml:space="preserve">
IF($A$4&lt;=12,SUMIFS('ON Data'!AC:AC,'ON Data'!$D:$D,$A$4,'ON Data'!$E:$E,9),SUMIFS('ON Data'!AC:AC,'ON Data'!$E:$E,9))</f>
        <v>0</v>
      </c>
      <c r="Y19" s="402">
        <f xml:space="preserve">
IF($A$4&lt;=12,SUMIFS('ON Data'!AD:AD,'ON Data'!$D:$D,$A$4,'ON Data'!$E:$E,9),SUMIFS('ON Data'!AD:AD,'ON Data'!$E:$E,9))</f>
        <v>0</v>
      </c>
      <c r="Z19" s="402">
        <f xml:space="preserve">
IF($A$4&lt;=12,SUMIFS('ON Data'!AE:AE,'ON Data'!$D:$D,$A$4,'ON Data'!$E:$E,9),SUMIFS('ON Data'!AE:AE,'ON Data'!$E:$E,9))</f>
        <v>0</v>
      </c>
      <c r="AA19" s="402">
        <f xml:space="preserve">
IF($A$4&lt;=12,SUMIFS('ON Data'!AF:AF,'ON Data'!$D:$D,$A$4,'ON Data'!$E:$E,9),SUMIFS('ON Data'!AF:AF,'ON Data'!$E:$E,9))</f>
        <v>0</v>
      </c>
      <c r="AB19" s="402">
        <f xml:space="preserve">
IF($A$4&lt;=12,SUMIFS('ON Data'!AG:AG,'ON Data'!$D:$D,$A$4,'ON Data'!$E:$E,9),SUMIFS('ON Data'!AG:AG,'ON Data'!$E:$E,9))</f>
        <v>0</v>
      </c>
      <c r="AC19" s="402">
        <f xml:space="preserve">
IF($A$4&lt;=12,SUMIFS('ON Data'!AH:AH,'ON Data'!$D:$D,$A$4,'ON Data'!$E:$E,9),SUMIFS('ON Data'!AH:AH,'ON Data'!$E:$E,9))</f>
        <v>0</v>
      </c>
      <c r="AD19" s="402">
        <f xml:space="preserve">
IF($A$4&lt;=12,SUMIFS('ON Data'!AI:AI,'ON Data'!$D:$D,$A$4,'ON Data'!$E:$E,9),SUMIFS('ON Data'!AI:AI,'ON Data'!$E:$E,9))</f>
        <v>0</v>
      </c>
      <c r="AE19" s="402">
        <f xml:space="preserve">
IF($A$4&lt;=12,SUMIFS('ON Data'!AJ:AJ,'ON Data'!$D:$D,$A$4,'ON Data'!$E:$E,9),SUMIFS('ON Data'!AJ:AJ,'ON Data'!$E:$E,9))</f>
        <v>0</v>
      </c>
      <c r="AF19" s="402">
        <f xml:space="preserve">
IF($A$4&lt;=12,SUMIFS('ON Data'!AK:AK,'ON Data'!$D:$D,$A$4,'ON Data'!$E:$E,9),SUMIFS('ON Data'!AK:AK,'ON Data'!$E:$E,9))</f>
        <v>0</v>
      </c>
      <c r="AG19" s="644">
        <f xml:space="preserve">
IF($A$4&lt;=12,SUMIFS('ON Data'!AM:AM,'ON Data'!$D:$D,$A$4,'ON Data'!$E:$E,9),SUMIFS('ON Data'!AM:AM,'ON Data'!$E:$E,9))</f>
        <v>0</v>
      </c>
      <c r="AH19" s="650"/>
    </row>
    <row r="20" spans="1:34" ht="15" collapsed="1" thickBot="1" x14ac:dyDescent="0.35">
      <c r="A20" s="378" t="s">
        <v>81</v>
      </c>
      <c r="B20" s="403">
        <f xml:space="preserve">
IF($A$4&lt;=12,SUMIFS('ON Data'!F:F,'ON Data'!$D:$D,$A$4,'ON Data'!$E:$E,6),SUMIFS('ON Data'!F:F,'ON Data'!$E:$E,6))</f>
        <v>9627474</v>
      </c>
      <c r="C20" s="404">
        <f xml:space="preserve">
IF($A$4&lt;=12,SUMIFS('ON Data'!G:G,'ON Data'!$D:$D,$A$4,'ON Data'!$E:$E,6),SUMIFS('ON Data'!G:G,'ON Data'!$E:$E,6))</f>
        <v>62900</v>
      </c>
      <c r="D20" s="405">
        <f xml:space="preserve">
IF($A$4&lt;=12,SUMIFS('ON Data'!H:H,'ON Data'!$D:$D,$A$4,'ON Data'!$E:$E,6),SUMIFS('ON Data'!H:H,'ON Data'!$E:$E,6))</f>
        <v>2632022</v>
      </c>
      <c r="E20" s="405">
        <f xml:space="preserve">
IF($A$4&lt;=12,SUMIFS('ON Data'!I:I,'ON Data'!$D:$D,$A$4,'ON Data'!$E:$E,6),SUMIFS('ON Data'!I:I,'ON Data'!$E:$E,6))</f>
        <v>0</v>
      </c>
      <c r="F20" s="405">
        <f xml:space="preserve">
IF($A$4&lt;=12,SUMIFS('ON Data'!K:K,'ON Data'!$D:$D,$A$4,'ON Data'!$E:$E,6),SUMIFS('ON Data'!K:K,'ON Data'!$E:$E,6))</f>
        <v>6399615</v>
      </c>
      <c r="G20" s="405">
        <f xml:space="preserve">
IF($A$4&lt;=12,SUMIFS('ON Data'!L:L,'ON Data'!$D:$D,$A$4,'ON Data'!$E:$E,6),SUMIFS('ON Data'!L:L,'ON Data'!$E:$E,6))</f>
        <v>0</v>
      </c>
      <c r="H20" s="405">
        <f xml:space="preserve">
IF($A$4&lt;=12,SUMIFS('ON Data'!M:M,'ON Data'!$D:$D,$A$4,'ON Data'!$E:$E,6),SUMIFS('ON Data'!M:M,'ON Data'!$E:$E,6))</f>
        <v>0</v>
      </c>
      <c r="I20" s="405">
        <f xml:space="preserve">
IF($A$4&lt;=12,SUMIFS('ON Data'!N:N,'ON Data'!$D:$D,$A$4,'ON Data'!$E:$E,6),SUMIFS('ON Data'!N:N,'ON Data'!$E:$E,6))</f>
        <v>0</v>
      </c>
      <c r="J20" s="405">
        <f xml:space="preserve">
IF($A$4&lt;=12,SUMIFS('ON Data'!O:O,'ON Data'!$D:$D,$A$4,'ON Data'!$E:$E,6),SUMIFS('ON Data'!O:O,'ON Data'!$E:$E,6))</f>
        <v>0</v>
      </c>
      <c r="K20" s="405">
        <f xml:space="preserve">
IF($A$4&lt;=12,SUMIFS('ON Data'!P:P,'ON Data'!$D:$D,$A$4,'ON Data'!$E:$E,6),SUMIFS('ON Data'!P:P,'ON Data'!$E:$E,6))</f>
        <v>0</v>
      </c>
      <c r="L20" s="405">
        <f xml:space="preserve">
IF($A$4&lt;=12,SUMIFS('ON Data'!Q:Q,'ON Data'!$D:$D,$A$4,'ON Data'!$E:$E,6),SUMIFS('ON Data'!Q:Q,'ON Data'!$E:$E,6))</f>
        <v>0</v>
      </c>
      <c r="M20" s="405">
        <f xml:space="preserve">
IF($A$4&lt;=12,SUMIFS('ON Data'!R:R,'ON Data'!$D:$D,$A$4,'ON Data'!$E:$E,6),SUMIFS('ON Data'!R:R,'ON Data'!$E:$E,6))</f>
        <v>0</v>
      </c>
      <c r="N20" s="405">
        <f xml:space="preserve">
IF($A$4&lt;=12,SUMIFS('ON Data'!S:S,'ON Data'!$D:$D,$A$4,'ON Data'!$E:$E,6),SUMIFS('ON Data'!S:S,'ON Data'!$E:$E,6))</f>
        <v>0</v>
      </c>
      <c r="O20" s="405">
        <f xml:space="preserve">
IF($A$4&lt;=12,SUMIFS('ON Data'!T:T,'ON Data'!$D:$D,$A$4,'ON Data'!$E:$E,6),SUMIFS('ON Data'!T:T,'ON Data'!$E:$E,6))</f>
        <v>0</v>
      </c>
      <c r="P20" s="405">
        <f xml:space="preserve">
IF($A$4&lt;=12,SUMIFS('ON Data'!U:U,'ON Data'!$D:$D,$A$4,'ON Data'!$E:$E,6),SUMIFS('ON Data'!U:U,'ON Data'!$E:$E,6))</f>
        <v>0</v>
      </c>
      <c r="Q20" s="405">
        <f xml:space="preserve">
IF($A$4&lt;=12,SUMIFS('ON Data'!V:V,'ON Data'!$D:$D,$A$4,'ON Data'!$E:$E,6),SUMIFS('ON Data'!V:V,'ON Data'!$E:$E,6))</f>
        <v>0</v>
      </c>
      <c r="R20" s="405">
        <f xml:space="preserve">
IF($A$4&lt;=12,SUMIFS('ON Data'!W:W,'ON Data'!$D:$D,$A$4,'ON Data'!$E:$E,6),SUMIFS('ON Data'!W:W,'ON Data'!$E:$E,6))</f>
        <v>0</v>
      </c>
      <c r="S20" s="405">
        <f xml:space="preserve">
IF($A$4&lt;=12,SUMIFS('ON Data'!X:X,'ON Data'!$D:$D,$A$4,'ON Data'!$E:$E,6),SUMIFS('ON Data'!X:X,'ON Data'!$E:$E,6))</f>
        <v>0</v>
      </c>
      <c r="T20" s="405">
        <f xml:space="preserve">
IF($A$4&lt;=12,SUMIFS('ON Data'!Y:Y,'ON Data'!$D:$D,$A$4,'ON Data'!$E:$E,6),SUMIFS('ON Data'!Y:Y,'ON Data'!$E:$E,6))</f>
        <v>0</v>
      </c>
      <c r="U20" s="405">
        <f xml:space="preserve">
IF($A$4&lt;=12,SUMIFS('ON Data'!Z:Z,'ON Data'!$D:$D,$A$4,'ON Data'!$E:$E,6),SUMIFS('ON Data'!Z:Z,'ON Data'!$E:$E,6))</f>
        <v>0</v>
      </c>
      <c r="V20" s="405">
        <f xml:space="preserve">
IF($A$4&lt;=12,SUMIFS('ON Data'!AA:AA,'ON Data'!$D:$D,$A$4,'ON Data'!$E:$E,6),SUMIFS('ON Data'!AA:AA,'ON Data'!$E:$E,6))</f>
        <v>0</v>
      </c>
      <c r="W20" s="405">
        <f xml:space="preserve">
IF($A$4&lt;=12,SUMIFS('ON Data'!AB:AB,'ON Data'!$D:$D,$A$4,'ON Data'!$E:$E,6),SUMIFS('ON Data'!AB:AB,'ON Data'!$E:$E,6))</f>
        <v>0</v>
      </c>
      <c r="X20" s="405">
        <f xml:space="preserve">
IF($A$4&lt;=12,SUMIFS('ON Data'!AC:AC,'ON Data'!$D:$D,$A$4,'ON Data'!$E:$E,6),SUMIFS('ON Data'!AC:AC,'ON Data'!$E:$E,6))</f>
        <v>0</v>
      </c>
      <c r="Y20" s="405">
        <f xml:space="preserve">
IF($A$4&lt;=12,SUMIFS('ON Data'!AD:AD,'ON Data'!$D:$D,$A$4,'ON Data'!$E:$E,6),SUMIFS('ON Data'!AD:AD,'ON Data'!$E:$E,6))</f>
        <v>0</v>
      </c>
      <c r="Z20" s="405">
        <f xml:space="preserve">
IF($A$4&lt;=12,SUMIFS('ON Data'!AE:AE,'ON Data'!$D:$D,$A$4,'ON Data'!$E:$E,6),SUMIFS('ON Data'!AE:AE,'ON Data'!$E:$E,6))</f>
        <v>218512</v>
      </c>
      <c r="AA20" s="405">
        <f xml:space="preserve">
IF($A$4&lt;=12,SUMIFS('ON Data'!AF:AF,'ON Data'!$D:$D,$A$4,'ON Data'!$E:$E,6),SUMIFS('ON Data'!AF:AF,'ON Data'!$E:$E,6))</f>
        <v>0</v>
      </c>
      <c r="AB20" s="405">
        <f xml:space="preserve">
IF($A$4&lt;=12,SUMIFS('ON Data'!AG:AG,'ON Data'!$D:$D,$A$4,'ON Data'!$E:$E,6),SUMIFS('ON Data'!AG:AG,'ON Data'!$E:$E,6))</f>
        <v>0</v>
      </c>
      <c r="AC20" s="405">
        <f xml:space="preserve">
IF($A$4&lt;=12,SUMIFS('ON Data'!AH:AH,'ON Data'!$D:$D,$A$4,'ON Data'!$E:$E,6),SUMIFS('ON Data'!AH:AH,'ON Data'!$E:$E,6))</f>
        <v>201577</v>
      </c>
      <c r="AD20" s="405">
        <f xml:space="preserve">
IF($A$4&lt;=12,SUMIFS('ON Data'!AI:AI,'ON Data'!$D:$D,$A$4,'ON Data'!$E:$E,6),SUMIFS('ON Data'!AI:AI,'ON Data'!$E:$E,6))</f>
        <v>0</v>
      </c>
      <c r="AE20" s="405">
        <f xml:space="preserve">
IF($A$4&lt;=12,SUMIFS('ON Data'!AJ:AJ,'ON Data'!$D:$D,$A$4,'ON Data'!$E:$E,6),SUMIFS('ON Data'!AJ:AJ,'ON Data'!$E:$E,6))</f>
        <v>0</v>
      </c>
      <c r="AF20" s="405">
        <f xml:space="preserve">
IF($A$4&lt;=12,SUMIFS('ON Data'!AK:AK,'ON Data'!$D:$D,$A$4,'ON Data'!$E:$E,6),SUMIFS('ON Data'!AK:AK,'ON Data'!$E:$E,6))</f>
        <v>0</v>
      </c>
      <c r="AG20" s="645">
        <f xml:space="preserve">
IF($A$4&lt;=12,SUMIFS('ON Data'!AM:AM,'ON Data'!$D:$D,$A$4,'ON Data'!$E:$E,6),SUMIFS('ON Data'!AM:AM,'ON Data'!$E:$E,6))</f>
        <v>112848</v>
      </c>
      <c r="AH20" s="650"/>
    </row>
    <row r="21" spans="1:34" ht="15" hidden="1" outlineLevel="1" thickBot="1" x14ac:dyDescent="0.35">
      <c r="A21" s="371" t="s">
        <v>118</v>
      </c>
      <c r="B21" s="391"/>
      <c r="C21" s="392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3"/>
      <c r="AF21" s="393"/>
      <c r="AG21" s="641"/>
      <c r="AH21" s="650"/>
    </row>
    <row r="22" spans="1:34" ht="15" hidden="1" outlineLevel="1" thickBot="1" x14ac:dyDescent="0.35">
      <c r="A22" s="371" t="s">
        <v>83</v>
      </c>
      <c r="B22" s="391"/>
      <c r="C22" s="392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641"/>
      <c r="AH22" s="650"/>
    </row>
    <row r="23" spans="1:34" ht="15" hidden="1" outlineLevel="1" thickBot="1" x14ac:dyDescent="0.35">
      <c r="A23" s="379" t="s">
        <v>56</v>
      </c>
      <c r="B23" s="394"/>
      <c r="C23" s="395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642"/>
      <c r="AH23" s="650"/>
    </row>
    <row r="24" spans="1:34" x14ac:dyDescent="0.3">
      <c r="A24" s="373" t="s">
        <v>241</v>
      </c>
      <c r="B24" s="420" t="s">
        <v>3</v>
      </c>
      <c r="C24" s="651" t="s">
        <v>252</v>
      </c>
      <c r="D24" s="626"/>
      <c r="E24" s="627"/>
      <c r="F24" s="627" t="s">
        <v>253</v>
      </c>
      <c r="G24" s="627"/>
      <c r="H24" s="627"/>
      <c r="I24" s="627"/>
      <c r="J24" s="627"/>
      <c r="K24" s="627"/>
      <c r="L24" s="627"/>
      <c r="M24" s="627"/>
      <c r="N24" s="627"/>
      <c r="O24" s="627"/>
      <c r="P24" s="627"/>
      <c r="Q24" s="627"/>
      <c r="R24" s="627"/>
      <c r="S24" s="627"/>
      <c r="T24" s="627"/>
      <c r="U24" s="627"/>
      <c r="V24" s="627"/>
      <c r="W24" s="627"/>
      <c r="X24" s="627"/>
      <c r="Y24" s="627"/>
      <c r="Z24" s="627"/>
      <c r="AA24" s="627"/>
      <c r="AB24" s="627"/>
      <c r="AC24" s="627"/>
      <c r="AD24" s="627"/>
      <c r="AE24" s="627"/>
      <c r="AF24" s="627"/>
      <c r="AG24" s="646" t="s">
        <v>254</v>
      </c>
      <c r="AH24" s="650"/>
    </row>
    <row r="25" spans="1:34" x14ac:dyDescent="0.3">
      <c r="A25" s="374" t="s">
        <v>81</v>
      </c>
      <c r="B25" s="391">
        <f xml:space="preserve">
SUM(C25:AG25)</f>
        <v>11270</v>
      </c>
      <c r="C25" s="652">
        <f xml:space="preserve">
IF($A$4&lt;=12,SUMIFS('ON Data'!H:H,'ON Data'!$D:$D,$A$4,'ON Data'!$E:$E,10),SUMIFS('ON Data'!H:H,'ON Data'!$E:$E,10))</f>
        <v>2800</v>
      </c>
      <c r="D25" s="628"/>
      <c r="E25" s="629"/>
      <c r="F25" s="629">
        <f xml:space="preserve">
IF($A$4&lt;=12,SUMIFS('ON Data'!K:K,'ON Data'!$D:$D,$A$4,'ON Data'!$E:$E,10),SUMIFS('ON Data'!K:K,'ON Data'!$E:$E,10))</f>
        <v>8470</v>
      </c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629"/>
      <c r="AB25" s="629"/>
      <c r="AC25" s="629"/>
      <c r="AD25" s="629"/>
      <c r="AE25" s="629"/>
      <c r="AF25" s="629"/>
      <c r="AG25" s="647">
        <f xml:space="preserve">
IF($A$4&lt;=12,SUMIFS('ON Data'!AM:AM,'ON Data'!$D:$D,$A$4,'ON Data'!$E:$E,10),SUMIFS('ON Data'!AM:AM,'ON Data'!$E:$E,10))</f>
        <v>0</v>
      </c>
      <c r="AH25" s="650"/>
    </row>
    <row r="26" spans="1:34" x14ac:dyDescent="0.3">
      <c r="A26" s="380" t="s">
        <v>251</v>
      </c>
      <c r="B26" s="400">
        <f xml:space="preserve">
SUM(C26:AG26)</f>
        <v>17444.583333333336</v>
      </c>
      <c r="C26" s="652">
        <f xml:space="preserve">
IF($A$4&lt;=12,SUMIFS('ON Data'!H:H,'ON Data'!$D:$D,$A$4,'ON Data'!$E:$E,11),SUMIFS('ON Data'!H:H,'ON Data'!$E:$E,11))</f>
        <v>13277.916666666668</v>
      </c>
      <c r="D26" s="628"/>
      <c r="E26" s="629"/>
      <c r="F26" s="630">
        <f xml:space="preserve">
IF($A$4&lt;=12,SUMIFS('ON Data'!K:K,'ON Data'!$D:$D,$A$4,'ON Data'!$E:$E,11),SUMIFS('ON Data'!K:K,'ON Data'!$E:$E,11))</f>
        <v>4166.666666666667</v>
      </c>
      <c r="G26" s="630"/>
      <c r="H26" s="630"/>
      <c r="I26" s="630"/>
      <c r="J26" s="630"/>
      <c r="K26" s="630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F26" s="630"/>
      <c r="AG26" s="647">
        <f xml:space="preserve">
IF($A$4&lt;=12,SUMIFS('ON Data'!AM:AM,'ON Data'!$D:$D,$A$4,'ON Data'!$E:$E,11),SUMIFS('ON Data'!AM:AM,'ON Data'!$E:$E,11))</f>
        <v>0</v>
      </c>
      <c r="AH26" s="650"/>
    </row>
    <row r="27" spans="1:34" x14ac:dyDescent="0.3">
      <c r="A27" s="380" t="s">
        <v>83</v>
      </c>
      <c r="B27" s="421">
        <f xml:space="preserve">
IF(B26=0,0,B25/B26)</f>
        <v>0.64604581173716757</v>
      </c>
      <c r="C27" s="653">
        <f xml:space="preserve">
IF(C26=0,0,C25/C26)</f>
        <v>0.2108764552672043</v>
      </c>
      <c r="D27" s="631"/>
      <c r="E27" s="632"/>
      <c r="F27" s="632">
        <f xml:space="preserve">
IF(F26=0,0,F25/F26)</f>
        <v>2.0327999999999999</v>
      </c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2"/>
      <c r="X27" s="632"/>
      <c r="Y27" s="632"/>
      <c r="Z27" s="632"/>
      <c r="AA27" s="632"/>
      <c r="AB27" s="632"/>
      <c r="AC27" s="632"/>
      <c r="AD27" s="632"/>
      <c r="AE27" s="632"/>
      <c r="AF27" s="632"/>
      <c r="AG27" s="648">
        <f xml:space="preserve">
IF(AG26=0,0,AG25/AG26)</f>
        <v>0</v>
      </c>
      <c r="AH27" s="650"/>
    </row>
    <row r="28" spans="1:34" ht="15" thickBot="1" x14ac:dyDescent="0.35">
      <c r="A28" s="380" t="s">
        <v>250</v>
      </c>
      <c r="B28" s="400">
        <f xml:space="preserve">
SUM(C28:AG28)</f>
        <v>6174.5833333333348</v>
      </c>
      <c r="C28" s="654">
        <f xml:space="preserve">
C26-C25</f>
        <v>10477.916666666668</v>
      </c>
      <c r="D28" s="633"/>
      <c r="E28" s="634"/>
      <c r="F28" s="634">
        <f xml:space="preserve">
F26-F25</f>
        <v>-4303.333333333333</v>
      </c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  <c r="AG28" s="649">
        <f xml:space="preserve">
AG26-AG25</f>
        <v>0</v>
      </c>
      <c r="AH28" s="650"/>
    </row>
    <row r="29" spans="1:34" x14ac:dyDescent="0.3">
      <c r="A29" s="381"/>
      <c r="B29" s="381"/>
      <c r="C29" s="382"/>
      <c r="D29" s="381"/>
      <c r="E29" s="381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1"/>
      <c r="AF29" s="381"/>
      <c r="AG29" s="381"/>
    </row>
    <row r="30" spans="1:34" x14ac:dyDescent="0.3">
      <c r="A30" s="213" t="s">
        <v>177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62"/>
    </row>
    <row r="31" spans="1:34" x14ac:dyDescent="0.3">
      <c r="A31" s="214" t="s">
        <v>248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62"/>
    </row>
    <row r="32" spans="1:34" ht="14.4" customHeight="1" x14ac:dyDescent="0.3">
      <c r="A32" s="417" t="s">
        <v>245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</row>
    <row r="33" spans="1:1" x14ac:dyDescent="0.3">
      <c r="A33" s="419" t="s">
        <v>255</v>
      </c>
    </row>
    <row r="34" spans="1:1" x14ac:dyDescent="0.3">
      <c r="A34" s="419" t="s">
        <v>256</v>
      </c>
    </row>
    <row r="35" spans="1:1" x14ac:dyDescent="0.3">
      <c r="A35" s="419" t="s">
        <v>257</v>
      </c>
    </row>
    <row r="36" spans="1:1" x14ac:dyDescent="0.3">
      <c r="A36" s="419" t="s">
        <v>258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19" priority="2" operator="greaterThan">
      <formula>1</formula>
    </cfRule>
  </conditionalFormatting>
  <conditionalFormatting sqref="C28 AG28 F28">
    <cfRule type="cellIs" dxfId="18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6"/>
  <sheetViews>
    <sheetView showGridLines="0" showRowColHeaders="0" workbookViewId="0"/>
  </sheetViews>
  <sheetFormatPr defaultRowHeight="14.4" x14ac:dyDescent="0.3"/>
  <cols>
    <col min="1" max="16384" width="8.88671875" style="360"/>
  </cols>
  <sheetData>
    <row r="1" spans="1:40" x14ac:dyDescent="0.3">
      <c r="A1" s="360" t="s">
        <v>2292</v>
      </c>
    </row>
    <row r="2" spans="1:40" x14ac:dyDescent="0.3">
      <c r="A2" s="364" t="s">
        <v>294</v>
      </c>
    </row>
    <row r="3" spans="1:40" x14ac:dyDescent="0.3">
      <c r="A3" s="360" t="s">
        <v>215</v>
      </c>
      <c r="B3" s="385">
        <v>2014</v>
      </c>
      <c r="D3" s="361">
        <f>MAX(D5:D1048576)</f>
        <v>5</v>
      </c>
      <c r="F3" s="361">
        <f>SUMIF($E5:$E1048576,"&lt;10",F5:F1048576)</f>
        <v>9716291.7399999984</v>
      </c>
      <c r="G3" s="361">
        <f t="shared" ref="G3:AN3" si="0">SUMIF($E5:$E1048576,"&lt;10",G5:G1048576)</f>
        <v>63072</v>
      </c>
      <c r="H3" s="361">
        <f t="shared" si="0"/>
        <v>2638864.6000000006</v>
      </c>
      <c r="I3" s="361">
        <f t="shared" si="0"/>
        <v>0</v>
      </c>
      <c r="J3" s="361">
        <f t="shared" si="0"/>
        <v>0</v>
      </c>
      <c r="K3" s="361">
        <f t="shared" si="0"/>
        <v>6477295.3899999997</v>
      </c>
      <c r="L3" s="361">
        <f t="shared" si="0"/>
        <v>0</v>
      </c>
      <c r="M3" s="361">
        <f t="shared" si="0"/>
        <v>0</v>
      </c>
      <c r="N3" s="361">
        <f t="shared" si="0"/>
        <v>0</v>
      </c>
      <c r="O3" s="361">
        <f t="shared" si="0"/>
        <v>0</v>
      </c>
      <c r="P3" s="361">
        <f t="shared" si="0"/>
        <v>0</v>
      </c>
      <c r="Q3" s="361">
        <f t="shared" si="0"/>
        <v>0</v>
      </c>
      <c r="R3" s="361">
        <f t="shared" si="0"/>
        <v>0</v>
      </c>
      <c r="S3" s="361">
        <f t="shared" si="0"/>
        <v>0</v>
      </c>
      <c r="T3" s="361">
        <f t="shared" si="0"/>
        <v>0</v>
      </c>
      <c r="U3" s="361">
        <f t="shared" si="0"/>
        <v>0</v>
      </c>
      <c r="V3" s="361">
        <f t="shared" si="0"/>
        <v>0</v>
      </c>
      <c r="W3" s="361">
        <f t="shared" si="0"/>
        <v>0</v>
      </c>
      <c r="X3" s="361">
        <f t="shared" si="0"/>
        <v>0</v>
      </c>
      <c r="Y3" s="361">
        <f t="shared" si="0"/>
        <v>0</v>
      </c>
      <c r="Z3" s="361">
        <f t="shared" si="0"/>
        <v>0</v>
      </c>
      <c r="AA3" s="361">
        <f t="shared" si="0"/>
        <v>0</v>
      </c>
      <c r="AB3" s="361">
        <f t="shared" si="0"/>
        <v>0</v>
      </c>
      <c r="AC3" s="361">
        <f t="shared" si="0"/>
        <v>0</v>
      </c>
      <c r="AD3" s="361">
        <f t="shared" si="0"/>
        <v>0</v>
      </c>
      <c r="AE3" s="361">
        <f t="shared" si="0"/>
        <v>220106.75</v>
      </c>
      <c r="AF3" s="361">
        <f t="shared" si="0"/>
        <v>0</v>
      </c>
      <c r="AG3" s="361">
        <f t="shared" si="0"/>
        <v>0</v>
      </c>
      <c r="AH3" s="361">
        <f t="shared" si="0"/>
        <v>203260</v>
      </c>
      <c r="AI3" s="361">
        <f t="shared" si="0"/>
        <v>0</v>
      </c>
      <c r="AJ3" s="361">
        <f t="shared" si="0"/>
        <v>0</v>
      </c>
      <c r="AK3" s="361">
        <f t="shared" si="0"/>
        <v>0</v>
      </c>
      <c r="AL3" s="361">
        <f t="shared" si="0"/>
        <v>0</v>
      </c>
      <c r="AM3" s="361">
        <f t="shared" si="0"/>
        <v>113693</v>
      </c>
      <c r="AN3" s="361">
        <f t="shared" si="0"/>
        <v>0</v>
      </c>
    </row>
    <row r="4" spans="1:40" x14ac:dyDescent="0.3">
      <c r="A4" s="360" t="s">
        <v>216</v>
      </c>
      <c r="B4" s="385">
        <v>1</v>
      </c>
      <c r="C4" s="362" t="s">
        <v>5</v>
      </c>
      <c r="D4" s="363" t="s">
        <v>55</v>
      </c>
      <c r="E4" s="363" t="s">
        <v>210</v>
      </c>
      <c r="F4" s="363" t="s">
        <v>3</v>
      </c>
      <c r="G4" s="363" t="s">
        <v>211</v>
      </c>
      <c r="H4" s="363" t="s">
        <v>212</v>
      </c>
      <c r="I4" s="363" t="s">
        <v>213</v>
      </c>
      <c r="J4" s="363" t="s">
        <v>214</v>
      </c>
      <c r="K4" s="363">
        <v>305</v>
      </c>
      <c r="L4" s="363">
        <v>306</v>
      </c>
      <c r="M4" s="363">
        <v>408</v>
      </c>
      <c r="N4" s="363">
        <v>409</v>
      </c>
      <c r="O4" s="363">
        <v>410</v>
      </c>
      <c r="P4" s="363">
        <v>415</v>
      </c>
      <c r="Q4" s="363">
        <v>416</v>
      </c>
      <c r="R4" s="363">
        <v>418</v>
      </c>
      <c r="S4" s="363">
        <v>419</v>
      </c>
      <c r="T4" s="363">
        <v>420</v>
      </c>
      <c r="U4" s="363">
        <v>421</v>
      </c>
      <c r="V4" s="363">
        <v>522</v>
      </c>
      <c r="W4" s="363">
        <v>523</v>
      </c>
      <c r="X4" s="363">
        <v>524</v>
      </c>
      <c r="Y4" s="363">
        <v>525</v>
      </c>
      <c r="Z4" s="363">
        <v>526</v>
      </c>
      <c r="AA4" s="363">
        <v>527</v>
      </c>
      <c r="AB4" s="363">
        <v>528</v>
      </c>
      <c r="AC4" s="363">
        <v>629</v>
      </c>
      <c r="AD4" s="363">
        <v>630</v>
      </c>
      <c r="AE4" s="363">
        <v>636</v>
      </c>
      <c r="AF4" s="363">
        <v>637</v>
      </c>
      <c r="AG4" s="363">
        <v>640</v>
      </c>
      <c r="AH4" s="363">
        <v>642</v>
      </c>
      <c r="AI4" s="363">
        <v>743</v>
      </c>
      <c r="AJ4" s="363">
        <v>745</v>
      </c>
      <c r="AK4" s="363">
        <v>746</v>
      </c>
      <c r="AL4" s="363">
        <v>747</v>
      </c>
      <c r="AM4" s="363">
        <v>930</v>
      </c>
      <c r="AN4" s="363">
        <v>940</v>
      </c>
    </row>
    <row r="5" spans="1:40" x14ac:dyDescent="0.3">
      <c r="A5" s="360" t="s">
        <v>217</v>
      </c>
      <c r="B5" s="385">
        <v>2</v>
      </c>
      <c r="C5" s="360">
        <v>59</v>
      </c>
      <c r="D5" s="360">
        <v>1</v>
      </c>
      <c r="E5" s="360">
        <v>1</v>
      </c>
      <c r="F5" s="360">
        <v>53.1</v>
      </c>
      <c r="G5" s="360">
        <v>0</v>
      </c>
      <c r="H5" s="360">
        <v>7.6</v>
      </c>
      <c r="I5" s="360">
        <v>0</v>
      </c>
      <c r="J5" s="360">
        <v>0</v>
      </c>
      <c r="K5" s="360">
        <v>40.5</v>
      </c>
      <c r="L5" s="360">
        <v>0</v>
      </c>
      <c r="M5" s="360">
        <v>0</v>
      </c>
      <c r="N5" s="360">
        <v>0</v>
      </c>
      <c r="O5" s="360">
        <v>0</v>
      </c>
      <c r="P5" s="360">
        <v>0</v>
      </c>
      <c r="Q5" s="360">
        <v>0</v>
      </c>
      <c r="R5" s="360">
        <v>0</v>
      </c>
      <c r="S5" s="360">
        <v>0</v>
      </c>
      <c r="T5" s="360">
        <v>0</v>
      </c>
      <c r="U5" s="360">
        <v>0</v>
      </c>
      <c r="V5" s="360">
        <v>0</v>
      </c>
      <c r="W5" s="360">
        <v>0</v>
      </c>
      <c r="X5" s="360">
        <v>0</v>
      </c>
      <c r="Y5" s="360">
        <v>0</v>
      </c>
      <c r="Z5" s="360">
        <v>0</v>
      </c>
      <c r="AA5" s="360">
        <v>0</v>
      </c>
      <c r="AB5" s="360">
        <v>0</v>
      </c>
      <c r="AC5" s="360">
        <v>0</v>
      </c>
      <c r="AD5" s="360">
        <v>0</v>
      </c>
      <c r="AE5" s="360">
        <v>2</v>
      </c>
      <c r="AF5" s="360">
        <v>0</v>
      </c>
      <c r="AG5" s="360">
        <v>0</v>
      </c>
      <c r="AH5" s="360">
        <v>2</v>
      </c>
      <c r="AI5" s="360">
        <v>0</v>
      </c>
      <c r="AJ5" s="360">
        <v>0</v>
      </c>
      <c r="AK5" s="360">
        <v>0</v>
      </c>
      <c r="AL5" s="360">
        <v>0</v>
      </c>
      <c r="AM5" s="360">
        <v>1</v>
      </c>
      <c r="AN5" s="360">
        <v>0</v>
      </c>
    </row>
    <row r="6" spans="1:40" x14ac:dyDescent="0.3">
      <c r="A6" s="360" t="s">
        <v>218</v>
      </c>
      <c r="B6" s="385">
        <v>3</v>
      </c>
      <c r="C6" s="360">
        <v>59</v>
      </c>
      <c r="D6" s="360">
        <v>1</v>
      </c>
      <c r="E6" s="360">
        <v>2</v>
      </c>
      <c r="F6" s="360">
        <v>7880.25</v>
      </c>
      <c r="G6" s="360">
        <v>0</v>
      </c>
      <c r="H6" s="360">
        <v>1264</v>
      </c>
      <c r="I6" s="360">
        <v>0</v>
      </c>
      <c r="J6" s="360">
        <v>0</v>
      </c>
      <c r="K6" s="360">
        <v>5789.5</v>
      </c>
      <c r="L6" s="360">
        <v>0</v>
      </c>
      <c r="M6" s="360">
        <v>0</v>
      </c>
      <c r="N6" s="360">
        <v>0</v>
      </c>
      <c r="O6" s="360">
        <v>0</v>
      </c>
      <c r="P6" s="360">
        <v>0</v>
      </c>
      <c r="Q6" s="360">
        <v>0</v>
      </c>
      <c r="R6" s="360">
        <v>0</v>
      </c>
      <c r="S6" s="360">
        <v>0</v>
      </c>
      <c r="T6" s="360">
        <v>0</v>
      </c>
      <c r="U6" s="360">
        <v>0</v>
      </c>
      <c r="V6" s="360">
        <v>0</v>
      </c>
      <c r="W6" s="360">
        <v>0</v>
      </c>
      <c r="X6" s="360">
        <v>0</v>
      </c>
      <c r="Y6" s="360">
        <v>0</v>
      </c>
      <c r="Z6" s="360">
        <v>0</v>
      </c>
      <c r="AA6" s="360">
        <v>0</v>
      </c>
      <c r="AB6" s="360">
        <v>0</v>
      </c>
      <c r="AC6" s="360">
        <v>0</v>
      </c>
      <c r="AD6" s="360">
        <v>0</v>
      </c>
      <c r="AE6" s="360">
        <v>325.5</v>
      </c>
      <c r="AF6" s="360">
        <v>0</v>
      </c>
      <c r="AG6" s="360">
        <v>0</v>
      </c>
      <c r="AH6" s="360">
        <v>333.25</v>
      </c>
      <c r="AI6" s="360">
        <v>0</v>
      </c>
      <c r="AJ6" s="360">
        <v>0</v>
      </c>
      <c r="AK6" s="360">
        <v>0</v>
      </c>
      <c r="AL6" s="360">
        <v>0</v>
      </c>
      <c r="AM6" s="360">
        <v>168</v>
      </c>
      <c r="AN6" s="360">
        <v>0</v>
      </c>
    </row>
    <row r="7" spans="1:40" x14ac:dyDescent="0.3">
      <c r="A7" s="360" t="s">
        <v>219</v>
      </c>
      <c r="B7" s="385">
        <v>4</v>
      </c>
      <c r="C7" s="360">
        <v>59</v>
      </c>
      <c r="D7" s="360">
        <v>1</v>
      </c>
      <c r="E7" s="360">
        <v>3</v>
      </c>
      <c r="F7" s="360">
        <v>84</v>
      </c>
      <c r="G7" s="360">
        <v>0</v>
      </c>
      <c r="H7" s="360">
        <v>9</v>
      </c>
      <c r="I7" s="360">
        <v>0</v>
      </c>
      <c r="J7" s="360">
        <v>0</v>
      </c>
      <c r="K7" s="360">
        <v>75</v>
      </c>
      <c r="L7" s="360">
        <v>0</v>
      </c>
      <c r="M7" s="360">
        <v>0</v>
      </c>
      <c r="N7" s="360">
        <v>0</v>
      </c>
      <c r="O7" s="360">
        <v>0</v>
      </c>
      <c r="P7" s="360">
        <v>0</v>
      </c>
      <c r="Q7" s="360">
        <v>0</v>
      </c>
      <c r="R7" s="360">
        <v>0</v>
      </c>
      <c r="S7" s="360">
        <v>0</v>
      </c>
      <c r="T7" s="360">
        <v>0</v>
      </c>
      <c r="U7" s="360">
        <v>0</v>
      </c>
      <c r="V7" s="360">
        <v>0</v>
      </c>
      <c r="W7" s="360">
        <v>0</v>
      </c>
      <c r="X7" s="360">
        <v>0</v>
      </c>
      <c r="Y7" s="360">
        <v>0</v>
      </c>
      <c r="Z7" s="360">
        <v>0</v>
      </c>
      <c r="AA7" s="360">
        <v>0</v>
      </c>
      <c r="AB7" s="360">
        <v>0</v>
      </c>
      <c r="AC7" s="360">
        <v>0</v>
      </c>
      <c r="AD7" s="360">
        <v>0</v>
      </c>
      <c r="AE7" s="360">
        <v>0</v>
      </c>
      <c r="AF7" s="360">
        <v>0</v>
      </c>
      <c r="AG7" s="360">
        <v>0</v>
      </c>
      <c r="AH7" s="360">
        <v>0</v>
      </c>
      <c r="AI7" s="360">
        <v>0</v>
      </c>
      <c r="AJ7" s="360">
        <v>0</v>
      </c>
      <c r="AK7" s="360">
        <v>0</v>
      </c>
      <c r="AL7" s="360">
        <v>0</v>
      </c>
      <c r="AM7" s="360">
        <v>0</v>
      </c>
      <c r="AN7" s="360">
        <v>0</v>
      </c>
    </row>
    <row r="8" spans="1:40" x14ac:dyDescent="0.3">
      <c r="A8" s="360" t="s">
        <v>220</v>
      </c>
      <c r="B8" s="385">
        <v>5</v>
      </c>
      <c r="C8" s="360">
        <v>59</v>
      </c>
      <c r="D8" s="360">
        <v>1</v>
      </c>
      <c r="E8" s="360">
        <v>4</v>
      </c>
      <c r="F8" s="360">
        <v>254</v>
      </c>
      <c r="G8" s="360">
        <v>0</v>
      </c>
      <c r="H8" s="360">
        <v>86</v>
      </c>
      <c r="I8" s="360">
        <v>0</v>
      </c>
      <c r="J8" s="360">
        <v>0</v>
      </c>
      <c r="K8" s="360">
        <v>168</v>
      </c>
      <c r="L8" s="360">
        <v>0</v>
      </c>
      <c r="M8" s="360">
        <v>0</v>
      </c>
      <c r="N8" s="360">
        <v>0</v>
      </c>
      <c r="O8" s="360">
        <v>0</v>
      </c>
      <c r="P8" s="360">
        <v>0</v>
      </c>
      <c r="Q8" s="360">
        <v>0</v>
      </c>
      <c r="R8" s="360">
        <v>0</v>
      </c>
      <c r="S8" s="360">
        <v>0</v>
      </c>
      <c r="T8" s="360">
        <v>0</v>
      </c>
      <c r="U8" s="360">
        <v>0</v>
      </c>
      <c r="V8" s="360">
        <v>0</v>
      </c>
      <c r="W8" s="360">
        <v>0</v>
      </c>
      <c r="X8" s="360">
        <v>0</v>
      </c>
      <c r="Y8" s="360">
        <v>0</v>
      </c>
      <c r="Z8" s="360">
        <v>0</v>
      </c>
      <c r="AA8" s="360">
        <v>0</v>
      </c>
      <c r="AB8" s="360">
        <v>0</v>
      </c>
      <c r="AC8" s="360">
        <v>0</v>
      </c>
      <c r="AD8" s="360">
        <v>0</v>
      </c>
      <c r="AE8" s="360">
        <v>0</v>
      </c>
      <c r="AF8" s="360">
        <v>0</v>
      </c>
      <c r="AG8" s="360">
        <v>0</v>
      </c>
      <c r="AH8" s="360">
        <v>0</v>
      </c>
      <c r="AI8" s="360">
        <v>0</v>
      </c>
      <c r="AJ8" s="360">
        <v>0</v>
      </c>
      <c r="AK8" s="360">
        <v>0</v>
      </c>
      <c r="AL8" s="360">
        <v>0</v>
      </c>
      <c r="AM8" s="360">
        <v>0</v>
      </c>
      <c r="AN8" s="360">
        <v>0</v>
      </c>
    </row>
    <row r="9" spans="1:40" x14ac:dyDescent="0.3">
      <c r="A9" s="360" t="s">
        <v>221</v>
      </c>
      <c r="B9" s="385">
        <v>6</v>
      </c>
      <c r="C9" s="360">
        <v>59</v>
      </c>
      <c r="D9" s="360">
        <v>1</v>
      </c>
      <c r="E9" s="360">
        <v>5</v>
      </c>
      <c r="F9" s="360">
        <v>32</v>
      </c>
      <c r="G9" s="360">
        <v>32</v>
      </c>
      <c r="H9" s="360">
        <v>0</v>
      </c>
      <c r="I9" s="360">
        <v>0</v>
      </c>
      <c r="J9" s="360">
        <v>0</v>
      </c>
      <c r="K9" s="360">
        <v>0</v>
      </c>
      <c r="L9" s="360">
        <v>0</v>
      </c>
      <c r="M9" s="360">
        <v>0</v>
      </c>
      <c r="N9" s="360">
        <v>0</v>
      </c>
      <c r="O9" s="360">
        <v>0</v>
      </c>
      <c r="P9" s="360">
        <v>0</v>
      </c>
      <c r="Q9" s="360">
        <v>0</v>
      </c>
      <c r="R9" s="360">
        <v>0</v>
      </c>
      <c r="S9" s="360">
        <v>0</v>
      </c>
      <c r="T9" s="360">
        <v>0</v>
      </c>
      <c r="U9" s="360">
        <v>0</v>
      </c>
      <c r="V9" s="360">
        <v>0</v>
      </c>
      <c r="W9" s="360">
        <v>0</v>
      </c>
      <c r="X9" s="360">
        <v>0</v>
      </c>
      <c r="Y9" s="360">
        <v>0</v>
      </c>
      <c r="Z9" s="360">
        <v>0</v>
      </c>
      <c r="AA9" s="360">
        <v>0</v>
      </c>
      <c r="AB9" s="360">
        <v>0</v>
      </c>
      <c r="AC9" s="360">
        <v>0</v>
      </c>
      <c r="AD9" s="360">
        <v>0</v>
      </c>
      <c r="AE9" s="360">
        <v>0</v>
      </c>
      <c r="AF9" s="360">
        <v>0</v>
      </c>
      <c r="AG9" s="360">
        <v>0</v>
      </c>
      <c r="AH9" s="360">
        <v>0</v>
      </c>
      <c r="AI9" s="360">
        <v>0</v>
      </c>
      <c r="AJ9" s="360">
        <v>0</v>
      </c>
      <c r="AK9" s="360">
        <v>0</v>
      </c>
      <c r="AL9" s="360">
        <v>0</v>
      </c>
      <c r="AM9" s="360">
        <v>0</v>
      </c>
      <c r="AN9" s="360">
        <v>0</v>
      </c>
    </row>
    <row r="10" spans="1:40" x14ac:dyDescent="0.3">
      <c r="A10" s="360" t="s">
        <v>222</v>
      </c>
      <c r="B10" s="385">
        <v>7</v>
      </c>
      <c r="C10" s="360">
        <v>59</v>
      </c>
      <c r="D10" s="360">
        <v>1</v>
      </c>
      <c r="E10" s="360">
        <v>6</v>
      </c>
      <c r="F10" s="360">
        <v>1848711</v>
      </c>
      <c r="G10" s="360">
        <v>11800</v>
      </c>
      <c r="H10" s="360">
        <v>517084</v>
      </c>
      <c r="I10" s="360">
        <v>0</v>
      </c>
      <c r="J10" s="360">
        <v>0</v>
      </c>
      <c r="K10" s="360">
        <v>1220553</v>
      </c>
      <c r="L10" s="360">
        <v>0</v>
      </c>
      <c r="M10" s="360">
        <v>0</v>
      </c>
      <c r="N10" s="360">
        <v>0</v>
      </c>
      <c r="O10" s="360">
        <v>0</v>
      </c>
      <c r="P10" s="360">
        <v>0</v>
      </c>
      <c r="Q10" s="360">
        <v>0</v>
      </c>
      <c r="R10" s="360">
        <v>0</v>
      </c>
      <c r="S10" s="360">
        <v>0</v>
      </c>
      <c r="T10" s="360">
        <v>0</v>
      </c>
      <c r="U10" s="360">
        <v>0</v>
      </c>
      <c r="V10" s="360">
        <v>0</v>
      </c>
      <c r="W10" s="360">
        <v>0</v>
      </c>
      <c r="X10" s="360">
        <v>0</v>
      </c>
      <c r="Y10" s="360">
        <v>0</v>
      </c>
      <c r="Z10" s="360">
        <v>0</v>
      </c>
      <c r="AA10" s="360">
        <v>0</v>
      </c>
      <c r="AB10" s="360">
        <v>0</v>
      </c>
      <c r="AC10" s="360">
        <v>0</v>
      </c>
      <c r="AD10" s="360">
        <v>0</v>
      </c>
      <c r="AE10" s="360">
        <v>39847</v>
      </c>
      <c r="AF10" s="360">
        <v>0</v>
      </c>
      <c r="AG10" s="360">
        <v>0</v>
      </c>
      <c r="AH10" s="360">
        <v>36264</v>
      </c>
      <c r="AI10" s="360">
        <v>0</v>
      </c>
      <c r="AJ10" s="360">
        <v>0</v>
      </c>
      <c r="AK10" s="360">
        <v>0</v>
      </c>
      <c r="AL10" s="360">
        <v>0</v>
      </c>
      <c r="AM10" s="360">
        <v>23163</v>
      </c>
      <c r="AN10" s="360">
        <v>0</v>
      </c>
    </row>
    <row r="11" spans="1:40" x14ac:dyDescent="0.3">
      <c r="A11" s="360" t="s">
        <v>223</v>
      </c>
      <c r="B11" s="385">
        <v>8</v>
      </c>
      <c r="C11" s="360">
        <v>59</v>
      </c>
      <c r="D11" s="360">
        <v>1</v>
      </c>
      <c r="E11" s="360">
        <v>9</v>
      </c>
      <c r="F11" s="360">
        <v>7408</v>
      </c>
      <c r="G11" s="360">
        <v>0</v>
      </c>
      <c r="H11" s="360">
        <v>0</v>
      </c>
      <c r="I11" s="360">
        <v>0</v>
      </c>
      <c r="J11" s="360">
        <v>0</v>
      </c>
      <c r="K11" s="360">
        <v>7408</v>
      </c>
      <c r="L11" s="360">
        <v>0</v>
      </c>
      <c r="M11" s="360">
        <v>0</v>
      </c>
      <c r="N11" s="360">
        <v>0</v>
      </c>
      <c r="O11" s="360">
        <v>0</v>
      </c>
      <c r="P11" s="360">
        <v>0</v>
      </c>
      <c r="Q11" s="360">
        <v>0</v>
      </c>
      <c r="R11" s="360">
        <v>0</v>
      </c>
      <c r="S11" s="360">
        <v>0</v>
      </c>
      <c r="T11" s="360">
        <v>0</v>
      </c>
      <c r="U11" s="360">
        <v>0</v>
      </c>
      <c r="V11" s="360">
        <v>0</v>
      </c>
      <c r="W11" s="360">
        <v>0</v>
      </c>
      <c r="X11" s="360">
        <v>0</v>
      </c>
      <c r="Y11" s="360">
        <v>0</v>
      </c>
      <c r="Z11" s="360">
        <v>0</v>
      </c>
      <c r="AA11" s="360">
        <v>0</v>
      </c>
      <c r="AB11" s="360">
        <v>0</v>
      </c>
      <c r="AC11" s="360">
        <v>0</v>
      </c>
      <c r="AD11" s="360">
        <v>0</v>
      </c>
      <c r="AE11" s="360">
        <v>0</v>
      </c>
      <c r="AF11" s="360">
        <v>0</v>
      </c>
      <c r="AG11" s="360">
        <v>0</v>
      </c>
      <c r="AH11" s="360">
        <v>0</v>
      </c>
      <c r="AI11" s="360">
        <v>0</v>
      </c>
      <c r="AJ11" s="360">
        <v>0</v>
      </c>
      <c r="AK11" s="360">
        <v>0</v>
      </c>
      <c r="AL11" s="360">
        <v>0</v>
      </c>
      <c r="AM11" s="360">
        <v>0</v>
      </c>
      <c r="AN11" s="360">
        <v>0</v>
      </c>
    </row>
    <row r="12" spans="1:40" x14ac:dyDescent="0.3">
      <c r="A12" s="360" t="s">
        <v>224</v>
      </c>
      <c r="B12" s="385">
        <v>9</v>
      </c>
      <c r="C12" s="360">
        <v>59</v>
      </c>
      <c r="D12" s="360">
        <v>1</v>
      </c>
      <c r="E12" s="360">
        <v>10</v>
      </c>
      <c r="F12" s="360">
        <v>7970</v>
      </c>
      <c r="G12" s="360">
        <v>0</v>
      </c>
      <c r="H12" s="360">
        <v>0</v>
      </c>
      <c r="I12" s="360">
        <v>0</v>
      </c>
      <c r="J12" s="360">
        <v>0</v>
      </c>
      <c r="K12" s="360">
        <v>7970</v>
      </c>
      <c r="L12" s="360">
        <v>0</v>
      </c>
      <c r="M12" s="360">
        <v>0</v>
      </c>
      <c r="N12" s="360">
        <v>0</v>
      </c>
      <c r="O12" s="360">
        <v>0</v>
      </c>
      <c r="P12" s="360">
        <v>0</v>
      </c>
      <c r="Q12" s="360">
        <v>0</v>
      </c>
      <c r="R12" s="360">
        <v>0</v>
      </c>
      <c r="S12" s="360">
        <v>0</v>
      </c>
      <c r="T12" s="360">
        <v>0</v>
      </c>
      <c r="U12" s="360">
        <v>0</v>
      </c>
      <c r="V12" s="360">
        <v>0</v>
      </c>
      <c r="W12" s="360">
        <v>0</v>
      </c>
      <c r="X12" s="360">
        <v>0</v>
      </c>
      <c r="Y12" s="360">
        <v>0</v>
      </c>
      <c r="Z12" s="360">
        <v>0</v>
      </c>
      <c r="AA12" s="360">
        <v>0</v>
      </c>
      <c r="AB12" s="360">
        <v>0</v>
      </c>
      <c r="AC12" s="360">
        <v>0</v>
      </c>
      <c r="AD12" s="360">
        <v>0</v>
      </c>
      <c r="AE12" s="360">
        <v>0</v>
      </c>
      <c r="AF12" s="360">
        <v>0</v>
      </c>
      <c r="AG12" s="360">
        <v>0</v>
      </c>
      <c r="AH12" s="360">
        <v>0</v>
      </c>
      <c r="AI12" s="360">
        <v>0</v>
      </c>
      <c r="AJ12" s="360">
        <v>0</v>
      </c>
      <c r="AK12" s="360">
        <v>0</v>
      </c>
      <c r="AL12" s="360">
        <v>0</v>
      </c>
      <c r="AM12" s="360">
        <v>0</v>
      </c>
      <c r="AN12" s="360">
        <v>0</v>
      </c>
    </row>
    <row r="13" spans="1:40" x14ac:dyDescent="0.3">
      <c r="A13" s="360" t="s">
        <v>225</v>
      </c>
      <c r="B13" s="385">
        <v>10</v>
      </c>
      <c r="C13" s="360">
        <v>59</v>
      </c>
      <c r="D13" s="360">
        <v>1</v>
      </c>
      <c r="E13" s="360">
        <v>11</v>
      </c>
      <c r="F13" s="360">
        <v>3488.916666666667</v>
      </c>
      <c r="G13" s="360">
        <v>0</v>
      </c>
      <c r="H13" s="360">
        <v>2655.5833333333335</v>
      </c>
      <c r="I13" s="360">
        <v>0</v>
      </c>
      <c r="J13" s="360">
        <v>0</v>
      </c>
      <c r="K13" s="360">
        <v>833.33333333333337</v>
      </c>
      <c r="L13" s="360">
        <v>0</v>
      </c>
      <c r="M13" s="360">
        <v>0</v>
      </c>
      <c r="N13" s="360">
        <v>0</v>
      </c>
      <c r="O13" s="360">
        <v>0</v>
      </c>
      <c r="P13" s="360">
        <v>0</v>
      </c>
      <c r="Q13" s="360">
        <v>0</v>
      </c>
      <c r="R13" s="360">
        <v>0</v>
      </c>
      <c r="S13" s="360">
        <v>0</v>
      </c>
      <c r="T13" s="360">
        <v>0</v>
      </c>
      <c r="U13" s="360">
        <v>0</v>
      </c>
      <c r="V13" s="360">
        <v>0</v>
      </c>
      <c r="W13" s="360">
        <v>0</v>
      </c>
      <c r="X13" s="360">
        <v>0</v>
      </c>
      <c r="Y13" s="360">
        <v>0</v>
      </c>
      <c r="Z13" s="360">
        <v>0</v>
      </c>
      <c r="AA13" s="360">
        <v>0</v>
      </c>
      <c r="AB13" s="360">
        <v>0</v>
      </c>
      <c r="AC13" s="360">
        <v>0</v>
      </c>
      <c r="AD13" s="360">
        <v>0</v>
      </c>
      <c r="AE13" s="360">
        <v>0</v>
      </c>
      <c r="AF13" s="360">
        <v>0</v>
      </c>
      <c r="AG13" s="360">
        <v>0</v>
      </c>
      <c r="AH13" s="360">
        <v>0</v>
      </c>
      <c r="AI13" s="360">
        <v>0</v>
      </c>
      <c r="AJ13" s="360">
        <v>0</v>
      </c>
      <c r="AK13" s="360">
        <v>0</v>
      </c>
      <c r="AL13" s="360">
        <v>0</v>
      </c>
      <c r="AM13" s="360">
        <v>0</v>
      </c>
      <c r="AN13" s="360">
        <v>0</v>
      </c>
    </row>
    <row r="14" spans="1:40" x14ac:dyDescent="0.3">
      <c r="A14" s="360" t="s">
        <v>226</v>
      </c>
      <c r="B14" s="385">
        <v>11</v>
      </c>
      <c r="C14" s="360">
        <v>59</v>
      </c>
      <c r="D14" s="360">
        <v>2</v>
      </c>
      <c r="E14" s="360">
        <v>1</v>
      </c>
      <c r="F14" s="360">
        <v>53.1</v>
      </c>
      <c r="G14" s="360">
        <v>0</v>
      </c>
      <c r="H14" s="360">
        <v>7.6</v>
      </c>
      <c r="I14" s="360">
        <v>0</v>
      </c>
      <c r="J14" s="360">
        <v>0</v>
      </c>
      <c r="K14" s="360">
        <v>40.5</v>
      </c>
      <c r="L14" s="360">
        <v>0</v>
      </c>
      <c r="M14" s="360">
        <v>0</v>
      </c>
      <c r="N14" s="360">
        <v>0</v>
      </c>
      <c r="O14" s="360">
        <v>0</v>
      </c>
      <c r="P14" s="360">
        <v>0</v>
      </c>
      <c r="Q14" s="360">
        <v>0</v>
      </c>
      <c r="R14" s="360">
        <v>0</v>
      </c>
      <c r="S14" s="360">
        <v>0</v>
      </c>
      <c r="T14" s="360">
        <v>0</v>
      </c>
      <c r="U14" s="360">
        <v>0</v>
      </c>
      <c r="V14" s="360">
        <v>0</v>
      </c>
      <c r="W14" s="360">
        <v>0</v>
      </c>
      <c r="X14" s="360">
        <v>0</v>
      </c>
      <c r="Y14" s="360">
        <v>0</v>
      </c>
      <c r="Z14" s="360">
        <v>0</v>
      </c>
      <c r="AA14" s="360">
        <v>0</v>
      </c>
      <c r="AB14" s="360">
        <v>0</v>
      </c>
      <c r="AC14" s="360">
        <v>0</v>
      </c>
      <c r="AD14" s="360">
        <v>0</v>
      </c>
      <c r="AE14" s="360">
        <v>2</v>
      </c>
      <c r="AF14" s="360">
        <v>0</v>
      </c>
      <c r="AG14" s="360">
        <v>0</v>
      </c>
      <c r="AH14" s="360">
        <v>2</v>
      </c>
      <c r="AI14" s="360">
        <v>0</v>
      </c>
      <c r="AJ14" s="360">
        <v>0</v>
      </c>
      <c r="AK14" s="360">
        <v>0</v>
      </c>
      <c r="AL14" s="360">
        <v>0</v>
      </c>
      <c r="AM14" s="360">
        <v>1</v>
      </c>
      <c r="AN14" s="360">
        <v>0</v>
      </c>
    </row>
    <row r="15" spans="1:40" x14ac:dyDescent="0.3">
      <c r="A15" s="360" t="s">
        <v>227</v>
      </c>
      <c r="B15" s="385">
        <v>12</v>
      </c>
      <c r="C15" s="360">
        <v>59</v>
      </c>
      <c r="D15" s="360">
        <v>2</v>
      </c>
      <c r="E15" s="360">
        <v>2</v>
      </c>
      <c r="F15" s="360">
        <v>6796.88</v>
      </c>
      <c r="G15" s="360">
        <v>0</v>
      </c>
      <c r="H15" s="360">
        <v>1065</v>
      </c>
      <c r="I15" s="360">
        <v>0</v>
      </c>
      <c r="J15" s="360">
        <v>0</v>
      </c>
      <c r="K15" s="360">
        <v>4990.63</v>
      </c>
      <c r="L15" s="360">
        <v>0</v>
      </c>
      <c r="M15" s="360">
        <v>0</v>
      </c>
      <c r="N15" s="360">
        <v>0</v>
      </c>
      <c r="O15" s="360">
        <v>0</v>
      </c>
      <c r="P15" s="360">
        <v>0</v>
      </c>
      <c r="Q15" s="360">
        <v>0</v>
      </c>
      <c r="R15" s="360">
        <v>0</v>
      </c>
      <c r="S15" s="360">
        <v>0</v>
      </c>
      <c r="T15" s="360">
        <v>0</v>
      </c>
      <c r="U15" s="360">
        <v>0</v>
      </c>
      <c r="V15" s="360">
        <v>0</v>
      </c>
      <c r="W15" s="360">
        <v>0</v>
      </c>
      <c r="X15" s="360">
        <v>0</v>
      </c>
      <c r="Y15" s="360">
        <v>0</v>
      </c>
      <c r="Z15" s="360">
        <v>0</v>
      </c>
      <c r="AA15" s="360">
        <v>0</v>
      </c>
      <c r="AB15" s="360">
        <v>0</v>
      </c>
      <c r="AC15" s="360">
        <v>0</v>
      </c>
      <c r="AD15" s="360">
        <v>0</v>
      </c>
      <c r="AE15" s="360">
        <v>271.25</v>
      </c>
      <c r="AF15" s="360">
        <v>0</v>
      </c>
      <c r="AG15" s="360">
        <v>0</v>
      </c>
      <c r="AH15" s="360">
        <v>310</v>
      </c>
      <c r="AI15" s="360">
        <v>0</v>
      </c>
      <c r="AJ15" s="360">
        <v>0</v>
      </c>
      <c r="AK15" s="360">
        <v>0</v>
      </c>
      <c r="AL15" s="360">
        <v>0</v>
      </c>
      <c r="AM15" s="360">
        <v>160</v>
      </c>
      <c r="AN15" s="360">
        <v>0</v>
      </c>
    </row>
    <row r="16" spans="1:40" x14ac:dyDescent="0.3">
      <c r="A16" s="360" t="s">
        <v>215</v>
      </c>
      <c r="B16" s="385">
        <v>2014</v>
      </c>
      <c r="C16" s="360">
        <v>59</v>
      </c>
      <c r="D16" s="360">
        <v>2</v>
      </c>
      <c r="E16" s="360">
        <v>3</v>
      </c>
      <c r="F16" s="360">
        <v>217</v>
      </c>
      <c r="G16" s="360">
        <v>0</v>
      </c>
      <c r="H16" s="360">
        <v>6</v>
      </c>
      <c r="I16" s="360">
        <v>0</v>
      </c>
      <c r="J16" s="360">
        <v>0</v>
      </c>
      <c r="K16" s="360">
        <v>211</v>
      </c>
      <c r="L16" s="360">
        <v>0</v>
      </c>
      <c r="M16" s="360">
        <v>0</v>
      </c>
      <c r="N16" s="360">
        <v>0</v>
      </c>
      <c r="O16" s="360">
        <v>0</v>
      </c>
      <c r="P16" s="360">
        <v>0</v>
      </c>
      <c r="Q16" s="360">
        <v>0</v>
      </c>
      <c r="R16" s="360">
        <v>0</v>
      </c>
      <c r="S16" s="360">
        <v>0</v>
      </c>
      <c r="T16" s="360">
        <v>0</v>
      </c>
      <c r="U16" s="360">
        <v>0</v>
      </c>
      <c r="V16" s="360">
        <v>0</v>
      </c>
      <c r="W16" s="360">
        <v>0</v>
      </c>
      <c r="X16" s="360">
        <v>0</v>
      </c>
      <c r="Y16" s="360">
        <v>0</v>
      </c>
      <c r="Z16" s="360">
        <v>0</v>
      </c>
      <c r="AA16" s="360">
        <v>0</v>
      </c>
      <c r="AB16" s="360">
        <v>0</v>
      </c>
      <c r="AC16" s="360">
        <v>0</v>
      </c>
      <c r="AD16" s="360">
        <v>0</v>
      </c>
      <c r="AE16" s="360">
        <v>0</v>
      </c>
      <c r="AF16" s="360">
        <v>0</v>
      </c>
      <c r="AG16" s="360">
        <v>0</v>
      </c>
      <c r="AH16" s="360">
        <v>0</v>
      </c>
      <c r="AI16" s="360">
        <v>0</v>
      </c>
      <c r="AJ16" s="360">
        <v>0</v>
      </c>
      <c r="AK16" s="360">
        <v>0</v>
      </c>
      <c r="AL16" s="360">
        <v>0</v>
      </c>
      <c r="AM16" s="360">
        <v>0</v>
      </c>
      <c r="AN16" s="360">
        <v>0</v>
      </c>
    </row>
    <row r="17" spans="3:40" x14ac:dyDescent="0.3">
      <c r="C17" s="360">
        <v>59</v>
      </c>
      <c r="D17" s="360">
        <v>2</v>
      </c>
      <c r="E17" s="360">
        <v>4</v>
      </c>
      <c r="F17" s="360">
        <v>651</v>
      </c>
      <c r="G17" s="360">
        <v>0</v>
      </c>
      <c r="H17" s="360">
        <v>127</v>
      </c>
      <c r="I17" s="360">
        <v>0</v>
      </c>
      <c r="J17" s="360">
        <v>0</v>
      </c>
      <c r="K17" s="360">
        <v>499</v>
      </c>
      <c r="L17" s="360">
        <v>0</v>
      </c>
      <c r="M17" s="360">
        <v>0</v>
      </c>
      <c r="N17" s="360">
        <v>0</v>
      </c>
      <c r="O17" s="360">
        <v>0</v>
      </c>
      <c r="P17" s="360">
        <v>0</v>
      </c>
      <c r="Q17" s="360">
        <v>0</v>
      </c>
      <c r="R17" s="360">
        <v>0</v>
      </c>
      <c r="S17" s="360">
        <v>0</v>
      </c>
      <c r="T17" s="360">
        <v>0</v>
      </c>
      <c r="U17" s="360">
        <v>0</v>
      </c>
      <c r="V17" s="360">
        <v>0</v>
      </c>
      <c r="W17" s="360">
        <v>0</v>
      </c>
      <c r="X17" s="360">
        <v>0</v>
      </c>
      <c r="Y17" s="360">
        <v>0</v>
      </c>
      <c r="Z17" s="360">
        <v>0</v>
      </c>
      <c r="AA17" s="360">
        <v>0</v>
      </c>
      <c r="AB17" s="360">
        <v>0</v>
      </c>
      <c r="AC17" s="360">
        <v>0</v>
      </c>
      <c r="AD17" s="360">
        <v>0</v>
      </c>
      <c r="AE17" s="360">
        <v>10</v>
      </c>
      <c r="AF17" s="360">
        <v>0</v>
      </c>
      <c r="AG17" s="360">
        <v>0</v>
      </c>
      <c r="AH17" s="360">
        <v>15</v>
      </c>
      <c r="AI17" s="360">
        <v>0</v>
      </c>
      <c r="AJ17" s="360">
        <v>0</v>
      </c>
      <c r="AK17" s="360">
        <v>0</v>
      </c>
      <c r="AL17" s="360">
        <v>0</v>
      </c>
      <c r="AM17" s="360">
        <v>0</v>
      </c>
      <c r="AN17" s="360">
        <v>0</v>
      </c>
    </row>
    <row r="18" spans="3:40" x14ac:dyDescent="0.3">
      <c r="C18" s="360">
        <v>59</v>
      </c>
      <c r="D18" s="360">
        <v>2</v>
      </c>
      <c r="E18" s="360">
        <v>5</v>
      </c>
      <c r="F18" s="360">
        <v>24</v>
      </c>
      <c r="G18" s="360">
        <v>24</v>
      </c>
      <c r="H18" s="360">
        <v>0</v>
      </c>
      <c r="I18" s="360">
        <v>0</v>
      </c>
      <c r="J18" s="360">
        <v>0</v>
      </c>
      <c r="K18" s="360">
        <v>0</v>
      </c>
      <c r="L18" s="360">
        <v>0</v>
      </c>
      <c r="M18" s="360">
        <v>0</v>
      </c>
      <c r="N18" s="360">
        <v>0</v>
      </c>
      <c r="O18" s="360">
        <v>0</v>
      </c>
      <c r="P18" s="360">
        <v>0</v>
      </c>
      <c r="Q18" s="360">
        <v>0</v>
      </c>
      <c r="R18" s="360">
        <v>0</v>
      </c>
      <c r="S18" s="360">
        <v>0</v>
      </c>
      <c r="T18" s="360">
        <v>0</v>
      </c>
      <c r="U18" s="360">
        <v>0</v>
      </c>
      <c r="V18" s="360">
        <v>0</v>
      </c>
      <c r="W18" s="360">
        <v>0</v>
      </c>
      <c r="X18" s="360">
        <v>0</v>
      </c>
      <c r="Y18" s="360">
        <v>0</v>
      </c>
      <c r="Z18" s="360">
        <v>0</v>
      </c>
      <c r="AA18" s="360">
        <v>0</v>
      </c>
      <c r="AB18" s="360">
        <v>0</v>
      </c>
      <c r="AC18" s="360">
        <v>0</v>
      </c>
      <c r="AD18" s="360">
        <v>0</v>
      </c>
      <c r="AE18" s="360">
        <v>0</v>
      </c>
      <c r="AF18" s="360">
        <v>0</v>
      </c>
      <c r="AG18" s="360">
        <v>0</v>
      </c>
      <c r="AH18" s="360">
        <v>0</v>
      </c>
      <c r="AI18" s="360">
        <v>0</v>
      </c>
      <c r="AJ18" s="360">
        <v>0</v>
      </c>
      <c r="AK18" s="360">
        <v>0</v>
      </c>
      <c r="AL18" s="360">
        <v>0</v>
      </c>
      <c r="AM18" s="360">
        <v>0</v>
      </c>
      <c r="AN18" s="360">
        <v>0</v>
      </c>
    </row>
    <row r="19" spans="3:40" x14ac:dyDescent="0.3">
      <c r="C19" s="360">
        <v>59</v>
      </c>
      <c r="D19" s="360">
        <v>2</v>
      </c>
      <c r="E19" s="360">
        <v>6</v>
      </c>
      <c r="F19" s="360">
        <v>1920455</v>
      </c>
      <c r="G19" s="360">
        <v>8900</v>
      </c>
      <c r="H19" s="360">
        <v>539521</v>
      </c>
      <c r="I19" s="360">
        <v>0</v>
      </c>
      <c r="J19" s="360">
        <v>0</v>
      </c>
      <c r="K19" s="360">
        <v>1268577</v>
      </c>
      <c r="L19" s="360">
        <v>0</v>
      </c>
      <c r="M19" s="360">
        <v>0</v>
      </c>
      <c r="N19" s="360">
        <v>0</v>
      </c>
      <c r="O19" s="360">
        <v>0</v>
      </c>
      <c r="P19" s="360">
        <v>0</v>
      </c>
      <c r="Q19" s="360">
        <v>0</v>
      </c>
      <c r="R19" s="360">
        <v>0</v>
      </c>
      <c r="S19" s="360">
        <v>0</v>
      </c>
      <c r="T19" s="360">
        <v>0</v>
      </c>
      <c r="U19" s="360">
        <v>0</v>
      </c>
      <c r="V19" s="360">
        <v>0</v>
      </c>
      <c r="W19" s="360">
        <v>0</v>
      </c>
      <c r="X19" s="360">
        <v>0</v>
      </c>
      <c r="Y19" s="360">
        <v>0</v>
      </c>
      <c r="Z19" s="360">
        <v>0</v>
      </c>
      <c r="AA19" s="360">
        <v>0</v>
      </c>
      <c r="AB19" s="360">
        <v>0</v>
      </c>
      <c r="AC19" s="360">
        <v>0</v>
      </c>
      <c r="AD19" s="360">
        <v>0</v>
      </c>
      <c r="AE19" s="360">
        <v>42187</v>
      </c>
      <c r="AF19" s="360">
        <v>0</v>
      </c>
      <c r="AG19" s="360">
        <v>0</v>
      </c>
      <c r="AH19" s="360">
        <v>38870</v>
      </c>
      <c r="AI19" s="360">
        <v>0</v>
      </c>
      <c r="AJ19" s="360">
        <v>0</v>
      </c>
      <c r="AK19" s="360">
        <v>0</v>
      </c>
      <c r="AL19" s="360">
        <v>0</v>
      </c>
      <c r="AM19" s="360">
        <v>22400</v>
      </c>
      <c r="AN19" s="360">
        <v>0</v>
      </c>
    </row>
    <row r="20" spans="3:40" x14ac:dyDescent="0.3">
      <c r="C20" s="360">
        <v>59</v>
      </c>
      <c r="D20" s="360">
        <v>2</v>
      </c>
      <c r="E20" s="360">
        <v>10</v>
      </c>
      <c r="F20" s="360">
        <v>2800</v>
      </c>
      <c r="G20" s="360">
        <v>0</v>
      </c>
      <c r="H20" s="360">
        <v>2800</v>
      </c>
      <c r="I20" s="360">
        <v>0</v>
      </c>
      <c r="J20" s="360">
        <v>0</v>
      </c>
      <c r="K20" s="360">
        <v>0</v>
      </c>
      <c r="L20" s="360">
        <v>0</v>
      </c>
      <c r="M20" s="360">
        <v>0</v>
      </c>
      <c r="N20" s="360">
        <v>0</v>
      </c>
      <c r="O20" s="360">
        <v>0</v>
      </c>
      <c r="P20" s="360">
        <v>0</v>
      </c>
      <c r="Q20" s="360">
        <v>0</v>
      </c>
      <c r="R20" s="360">
        <v>0</v>
      </c>
      <c r="S20" s="360">
        <v>0</v>
      </c>
      <c r="T20" s="360">
        <v>0</v>
      </c>
      <c r="U20" s="360">
        <v>0</v>
      </c>
      <c r="V20" s="360">
        <v>0</v>
      </c>
      <c r="W20" s="360">
        <v>0</v>
      </c>
      <c r="X20" s="360">
        <v>0</v>
      </c>
      <c r="Y20" s="360">
        <v>0</v>
      </c>
      <c r="Z20" s="360">
        <v>0</v>
      </c>
      <c r="AA20" s="360">
        <v>0</v>
      </c>
      <c r="AB20" s="360">
        <v>0</v>
      </c>
      <c r="AC20" s="360">
        <v>0</v>
      </c>
      <c r="AD20" s="360">
        <v>0</v>
      </c>
      <c r="AE20" s="360">
        <v>0</v>
      </c>
      <c r="AF20" s="360">
        <v>0</v>
      </c>
      <c r="AG20" s="360">
        <v>0</v>
      </c>
      <c r="AH20" s="360">
        <v>0</v>
      </c>
      <c r="AI20" s="360">
        <v>0</v>
      </c>
      <c r="AJ20" s="360">
        <v>0</v>
      </c>
      <c r="AK20" s="360">
        <v>0</v>
      </c>
      <c r="AL20" s="360">
        <v>0</v>
      </c>
      <c r="AM20" s="360">
        <v>0</v>
      </c>
      <c r="AN20" s="360">
        <v>0</v>
      </c>
    </row>
    <row r="21" spans="3:40" x14ac:dyDescent="0.3">
      <c r="C21" s="360">
        <v>59</v>
      </c>
      <c r="D21" s="360">
        <v>2</v>
      </c>
      <c r="E21" s="360">
        <v>11</v>
      </c>
      <c r="F21" s="360">
        <v>3488.916666666667</v>
      </c>
      <c r="G21" s="360">
        <v>0</v>
      </c>
      <c r="H21" s="360">
        <v>2655.5833333333335</v>
      </c>
      <c r="I21" s="360">
        <v>0</v>
      </c>
      <c r="J21" s="360">
        <v>0</v>
      </c>
      <c r="K21" s="360">
        <v>833.33333333333337</v>
      </c>
      <c r="L21" s="360">
        <v>0</v>
      </c>
      <c r="M21" s="360">
        <v>0</v>
      </c>
      <c r="N21" s="360">
        <v>0</v>
      </c>
      <c r="O21" s="360">
        <v>0</v>
      </c>
      <c r="P21" s="360">
        <v>0</v>
      </c>
      <c r="Q21" s="360">
        <v>0</v>
      </c>
      <c r="R21" s="360">
        <v>0</v>
      </c>
      <c r="S21" s="360">
        <v>0</v>
      </c>
      <c r="T21" s="360">
        <v>0</v>
      </c>
      <c r="U21" s="360">
        <v>0</v>
      </c>
      <c r="V21" s="360">
        <v>0</v>
      </c>
      <c r="W21" s="360">
        <v>0</v>
      </c>
      <c r="X21" s="360">
        <v>0</v>
      </c>
      <c r="Y21" s="360">
        <v>0</v>
      </c>
      <c r="Z21" s="360">
        <v>0</v>
      </c>
      <c r="AA21" s="360">
        <v>0</v>
      </c>
      <c r="AB21" s="360">
        <v>0</v>
      </c>
      <c r="AC21" s="360">
        <v>0</v>
      </c>
      <c r="AD21" s="360">
        <v>0</v>
      </c>
      <c r="AE21" s="360">
        <v>0</v>
      </c>
      <c r="AF21" s="360">
        <v>0</v>
      </c>
      <c r="AG21" s="360">
        <v>0</v>
      </c>
      <c r="AH21" s="360">
        <v>0</v>
      </c>
      <c r="AI21" s="360">
        <v>0</v>
      </c>
      <c r="AJ21" s="360">
        <v>0</v>
      </c>
      <c r="AK21" s="360">
        <v>0</v>
      </c>
      <c r="AL21" s="360">
        <v>0</v>
      </c>
      <c r="AM21" s="360">
        <v>0</v>
      </c>
      <c r="AN21" s="360">
        <v>0</v>
      </c>
    </row>
    <row r="22" spans="3:40" x14ac:dyDescent="0.3">
      <c r="C22" s="360">
        <v>59</v>
      </c>
      <c r="D22" s="360">
        <v>3</v>
      </c>
      <c r="E22" s="360">
        <v>1</v>
      </c>
      <c r="F22" s="360">
        <v>56.6</v>
      </c>
      <c r="G22" s="360">
        <v>0</v>
      </c>
      <c r="H22" s="360">
        <v>7.6</v>
      </c>
      <c r="I22" s="360">
        <v>0</v>
      </c>
      <c r="J22" s="360">
        <v>0</v>
      </c>
      <c r="K22" s="360">
        <v>44</v>
      </c>
      <c r="L22" s="360">
        <v>0</v>
      </c>
      <c r="M22" s="360">
        <v>0</v>
      </c>
      <c r="N22" s="360">
        <v>0</v>
      </c>
      <c r="O22" s="360">
        <v>0</v>
      </c>
      <c r="P22" s="360">
        <v>0</v>
      </c>
      <c r="Q22" s="360">
        <v>0</v>
      </c>
      <c r="R22" s="360">
        <v>0</v>
      </c>
      <c r="S22" s="360">
        <v>0</v>
      </c>
      <c r="T22" s="360">
        <v>0</v>
      </c>
      <c r="U22" s="360">
        <v>0</v>
      </c>
      <c r="V22" s="360">
        <v>0</v>
      </c>
      <c r="W22" s="360">
        <v>0</v>
      </c>
      <c r="X22" s="360">
        <v>0</v>
      </c>
      <c r="Y22" s="360">
        <v>0</v>
      </c>
      <c r="Z22" s="360">
        <v>0</v>
      </c>
      <c r="AA22" s="360">
        <v>0</v>
      </c>
      <c r="AB22" s="360">
        <v>0</v>
      </c>
      <c r="AC22" s="360">
        <v>0</v>
      </c>
      <c r="AD22" s="360">
        <v>0</v>
      </c>
      <c r="AE22" s="360">
        <v>2</v>
      </c>
      <c r="AF22" s="360">
        <v>0</v>
      </c>
      <c r="AG22" s="360">
        <v>0</v>
      </c>
      <c r="AH22" s="360">
        <v>2</v>
      </c>
      <c r="AI22" s="360">
        <v>0</v>
      </c>
      <c r="AJ22" s="360">
        <v>0</v>
      </c>
      <c r="AK22" s="360">
        <v>0</v>
      </c>
      <c r="AL22" s="360">
        <v>0</v>
      </c>
      <c r="AM22" s="360">
        <v>1</v>
      </c>
      <c r="AN22" s="360">
        <v>0</v>
      </c>
    </row>
    <row r="23" spans="3:40" x14ac:dyDescent="0.3">
      <c r="C23" s="360">
        <v>59</v>
      </c>
      <c r="D23" s="360">
        <v>3</v>
      </c>
      <c r="E23" s="360">
        <v>2</v>
      </c>
      <c r="F23" s="360">
        <v>7268.53</v>
      </c>
      <c r="G23" s="360">
        <v>0</v>
      </c>
      <c r="H23" s="360">
        <v>1266.4000000000001</v>
      </c>
      <c r="I23" s="360">
        <v>0</v>
      </c>
      <c r="J23" s="360">
        <v>0</v>
      </c>
      <c r="K23" s="360">
        <v>5291.63</v>
      </c>
      <c r="L23" s="360">
        <v>0</v>
      </c>
      <c r="M23" s="360">
        <v>0</v>
      </c>
      <c r="N23" s="360">
        <v>0</v>
      </c>
      <c r="O23" s="360">
        <v>0</v>
      </c>
      <c r="P23" s="360">
        <v>0</v>
      </c>
      <c r="Q23" s="360">
        <v>0</v>
      </c>
      <c r="R23" s="360">
        <v>0</v>
      </c>
      <c r="S23" s="360">
        <v>0</v>
      </c>
      <c r="T23" s="360">
        <v>0</v>
      </c>
      <c r="U23" s="360">
        <v>0</v>
      </c>
      <c r="V23" s="360">
        <v>0</v>
      </c>
      <c r="W23" s="360">
        <v>0</v>
      </c>
      <c r="X23" s="360">
        <v>0</v>
      </c>
      <c r="Y23" s="360">
        <v>0</v>
      </c>
      <c r="Z23" s="360">
        <v>0</v>
      </c>
      <c r="AA23" s="360">
        <v>0</v>
      </c>
      <c r="AB23" s="360">
        <v>0</v>
      </c>
      <c r="AC23" s="360">
        <v>0</v>
      </c>
      <c r="AD23" s="360">
        <v>0</v>
      </c>
      <c r="AE23" s="360">
        <v>255.75</v>
      </c>
      <c r="AF23" s="360">
        <v>0</v>
      </c>
      <c r="AG23" s="360">
        <v>0</v>
      </c>
      <c r="AH23" s="360">
        <v>286.75</v>
      </c>
      <c r="AI23" s="360">
        <v>0</v>
      </c>
      <c r="AJ23" s="360">
        <v>0</v>
      </c>
      <c r="AK23" s="360">
        <v>0</v>
      </c>
      <c r="AL23" s="360">
        <v>0</v>
      </c>
      <c r="AM23" s="360">
        <v>168</v>
      </c>
      <c r="AN23" s="360">
        <v>0</v>
      </c>
    </row>
    <row r="24" spans="3:40" x14ac:dyDescent="0.3">
      <c r="C24" s="360">
        <v>59</v>
      </c>
      <c r="D24" s="360">
        <v>3</v>
      </c>
      <c r="E24" s="360">
        <v>3</v>
      </c>
      <c r="F24" s="360">
        <v>62</v>
      </c>
      <c r="G24" s="360">
        <v>0</v>
      </c>
      <c r="H24" s="360">
        <v>5</v>
      </c>
      <c r="I24" s="360">
        <v>0</v>
      </c>
      <c r="J24" s="360">
        <v>0</v>
      </c>
      <c r="K24" s="360">
        <v>57</v>
      </c>
      <c r="L24" s="360">
        <v>0</v>
      </c>
      <c r="M24" s="360">
        <v>0</v>
      </c>
      <c r="N24" s="360">
        <v>0</v>
      </c>
      <c r="O24" s="360">
        <v>0</v>
      </c>
      <c r="P24" s="360">
        <v>0</v>
      </c>
      <c r="Q24" s="360">
        <v>0</v>
      </c>
      <c r="R24" s="360">
        <v>0</v>
      </c>
      <c r="S24" s="360">
        <v>0</v>
      </c>
      <c r="T24" s="360">
        <v>0</v>
      </c>
      <c r="U24" s="360">
        <v>0</v>
      </c>
      <c r="V24" s="360">
        <v>0</v>
      </c>
      <c r="W24" s="360">
        <v>0</v>
      </c>
      <c r="X24" s="360">
        <v>0</v>
      </c>
      <c r="Y24" s="360">
        <v>0</v>
      </c>
      <c r="Z24" s="360">
        <v>0</v>
      </c>
      <c r="AA24" s="360">
        <v>0</v>
      </c>
      <c r="AB24" s="360">
        <v>0</v>
      </c>
      <c r="AC24" s="360">
        <v>0</v>
      </c>
      <c r="AD24" s="360">
        <v>0</v>
      </c>
      <c r="AE24" s="360">
        <v>0</v>
      </c>
      <c r="AF24" s="360">
        <v>0</v>
      </c>
      <c r="AG24" s="360">
        <v>0</v>
      </c>
      <c r="AH24" s="360">
        <v>0</v>
      </c>
      <c r="AI24" s="360">
        <v>0</v>
      </c>
      <c r="AJ24" s="360">
        <v>0</v>
      </c>
      <c r="AK24" s="360">
        <v>0</v>
      </c>
      <c r="AL24" s="360">
        <v>0</v>
      </c>
      <c r="AM24" s="360">
        <v>0</v>
      </c>
      <c r="AN24" s="360">
        <v>0</v>
      </c>
    </row>
    <row r="25" spans="3:40" x14ac:dyDescent="0.3">
      <c r="C25" s="360">
        <v>59</v>
      </c>
      <c r="D25" s="360">
        <v>3</v>
      </c>
      <c r="E25" s="360">
        <v>4</v>
      </c>
      <c r="F25" s="360">
        <v>743</v>
      </c>
      <c r="G25" s="360">
        <v>0</v>
      </c>
      <c r="H25" s="360">
        <v>91</v>
      </c>
      <c r="I25" s="360">
        <v>0</v>
      </c>
      <c r="J25" s="360">
        <v>0</v>
      </c>
      <c r="K25" s="360">
        <v>602</v>
      </c>
      <c r="L25" s="360">
        <v>0</v>
      </c>
      <c r="M25" s="360">
        <v>0</v>
      </c>
      <c r="N25" s="360">
        <v>0</v>
      </c>
      <c r="O25" s="360">
        <v>0</v>
      </c>
      <c r="P25" s="360">
        <v>0</v>
      </c>
      <c r="Q25" s="360">
        <v>0</v>
      </c>
      <c r="R25" s="360">
        <v>0</v>
      </c>
      <c r="S25" s="360">
        <v>0</v>
      </c>
      <c r="T25" s="360">
        <v>0</v>
      </c>
      <c r="U25" s="360">
        <v>0</v>
      </c>
      <c r="V25" s="360">
        <v>0</v>
      </c>
      <c r="W25" s="360">
        <v>0</v>
      </c>
      <c r="X25" s="360">
        <v>0</v>
      </c>
      <c r="Y25" s="360">
        <v>0</v>
      </c>
      <c r="Z25" s="360">
        <v>0</v>
      </c>
      <c r="AA25" s="360">
        <v>0</v>
      </c>
      <c r="AB25" s="360">
        <v>0</v>
      </c>
      <c r="AC25" s="360">
        <v>0</v>
      </c>
      <c r="AD25" s="360">
        <v>0</v>
      </c>
      <c r="AE25" s="360">
        <v>30</v>
      </c>
      <c r="AF25" s="360">
        <v>0</v>
      </c>
      <c r="AG25" s="360">
        <v>0</v>
      </c>
      <c r="AH25" s="360">
        <v>20</v>
      </c>
      <c r="AI25" s="360">
        <v>0</v>
      </c>
      <c r="AJ25" s="360">
        <v>0</v>
      </c>
      <c r="AK25" s="360">
        <v>0</v>
      </c>
      <c r="AL25" s="360">
        <v>0</v>
      </c>
      <c r="AM25" s="360">
        <v>0</v>
      </c>
      <c r="AN25" s="360">
        <v>0</v>
      </c>
    </row>
    <row r="26" spans="3:40" x14ac:dyDescent="0.3">
      <c r="C26" s="360">
        <v>59</v>
      </c>
      <c r="D26" s="360">
        <v>3</v>
      </c>
      <c r="E26" s="360">
        <v>5</v>
      </c>
      <c r="F26" s="360">
        <v>24</v>
      </c>
      <c r="G26" s="360">
        <v>24</v>
      </c>
      <c r="H26" s="360">
        <v>0</v>
      </c>
      <c r="I26" s="360">
        <v>0</v>
      </c>
      <c r="J26" s="360">
        <v>0</v>
      </c>
      <c r="K26" s="360">
        <v>0</v>
      </c>
      <c r="L26" s="360">
        <v>0</v>
      </c>
      <c r="M26" s="360">
        <v>0</v>
      </c>
      <c r="N26" s="360">
        <v>0</v>
      </c>
      <c r="O26" s="360">
        <v>0</v>
      </c>
      <c r="P26" s="360">
        <v>0</v>
      </c>
      <c r="Q26" s="360">
        <v>0</v>
      </c>
      <c r="R26" s="360">
        <v>0</v>
      </c>
      <c r="S26" s="360">
        <v>0</v>
      </c>
      <c r="T26" s="360">
        <v>0</v>
      </c>
      <c r="U26" s="360">
        <v>0</v>
      </c>
      <c r="V26" s="360">
        <v>0</v>
      </c>
      <c r="W26" s="360">
        <v>0</v>
      </c>
      <c r="X26" s="360">
        <v>0</v>
      </c>
      <c r="Y26" s="360">
        <v>0</v>
      </c>
      <c r="Z26" s="360">
        <v>0</v>
      </c>
      <c r="AA26" s="360">
        <v>0</v>
      </c>
      <c r="AB26" s="360">
        <v>0</v>
      </c>
      <c r="AC26" s="360">
        <v>0</v>
      </c>
      <c r="AD26" s="360">
        <v>0</v>
      </c>
      <c r="AE26" s="360">
        <v>0</v>
      </c>
      <c r="AF26" s="360">
        <v>0</v>
      </c>
      <c r="AG26" s="360">
        <v>0</v>
      </c>
      <c r="AH26" s="360">
        <v>0</v>
      </c>
      <c r="AI26" s="360">
        <v>0</v>
      </c>
      <c r="AJ26" s="360">
        <v>0</v>
      </c>
      <c r="AK26" s="360">
        <v>0</v>
      </c>
      <c r="AL26" s="360">
        <v>0</v>
      </c>
      <c r="AM26" s="360">
        <v>0</v>
      </c>
      <c r="AN26" s="360">
        <v>0</v>
      </c>
    </row>
    <row r="27" spans="3:40" x14ac:dyDescent="0.3">
      <c r="C27" s="360">
        <v>59</v>
      </c>
      <c r="D27" s="360">
        <v>3</v>
      </c>
      <c r="E27" s="360">
        <v>6</v>
      </c>
      <c r="F27" s="360">
        <v>1942672</v>
      </c>
      <c r="G27" s="360">
        <v>8400</v>
      </c>
      <c r="H27" s="360">
        <v>512547</v>
      </c>
      <c r="I27" s="360">
        <v>0</v>
      </c>
      <c r="J27" s="360">
        <v>0</v>
      </c>
      <c r="K27" s="360">
        <v>1311554</v>
      </c>
      <c r="L27" s="360">
        <v>0</v>
      </c>
      <c r="M27" s="360">
        <v>0</v>
      </c>
      <c r="N27" s="360">
        <v>0</v>
      </c>
      <c r="O27" s="360">
        <v>0</v>
      </c>
      <c r="P27" s="360">
        <v>0</v>
      </c>
      <c r="Q27" s="360">
        <v>0</v>
      </c>
      <c r="R27" s="360">
        <v>0</v>
      </c>
      <c r="S27" s="360">
        <v>0</v>
      </c>
      <c r="T27" s="360">
        <v>0</v>
      </c>
      <c r="U27" s="360">
        <v>0</v>
      </c>
      <c r="V27" s="360">
        <v>0</v>
      </c>
      <c r="W27" s="360">
        <v>0</v>
      </c>
      <c r="X27" s="360">
        <v>0</v>
      </c>
      <c r="Y27" s="360">
        <v>0</v>
      </c>
      <c r="Z27" s="360">
        <v>0</v>
      </c>
      <c r="AA27" s="360">
        <v>0</v>
      </c>
      <c r="AB27" s="360">
        <v>0</v>
      </c>
      <c r="AC27" s="360">
        <v>0</v>
      </c>
      <c r="AD27" s="360">
        <v>0</v>
      </c>
      <c r="AE27" s="360">
        <v>47296</v>
      </c>
      <c r="AF27" s="360">
        <v>0</v>
      </c>
      <c r="AG27" s="360">
        <v>0</v>
      </c>
      <c r="AH27" s="360">
        <v>40475</v>
      </c>
      <c r="AI27" s="360">
        <v>0</v>
      </c>
      <c r="AJ27" s="360">
        <v>0</v>
      </c>
      <c r="AK27" s="360">
        <v>0</v>
      </c>
      <c r="AL27" s="360">
        <v>0</v>
      </c>
      <c r="AM27" s="360">
        <v>22400</v>
      </c>
      <c r="AN27" s="360">
        <v>0</v>
      </c>
    </row>
    <row r="28" spans="3:40" x14ac:dyDescent="0.3">
      <c r="C28" s="360">
        <v>59</v>
      </c>
      <c r="D28" s="360">
        <v>3</v>
      </c>
      <c r="E28" s="360">
        <v>9</v>
      </c>
      <c r="F28" s="360">
        <v>10112</v>
      </c>
      <c r="G28" s="360">
        <v>0</v>
      </c>
      <c r="H28" s="360">
        <v>0</v>
      </c>
      <c r="I28" s="360">
        <v>0</v>
      </c>
      <c r="J28" s="360">
        <v>0</v>
      </c>
      <c r="K28" s="360">
        <v>10112</v>
      </c>
      <c r="L28" s="360">
        <v>0</v>
      </c>
      <c r="M28" s="360">
        <v>0</v>
      </c>
      <c r="N28" s="360">
        <v>0</v>
      </c>
      <c r="O28" s="360">
        <v>0</v>
      </c>
      <c r="P28" s="360">
        <v>0</v>
      </c>
      <c r="Q28" s="360">
        <v>0</v>
      </c>
      <c r="R28" s="360">
        <v>0</v>
      </c>
      <c r="S28" s="360">
        <v>0</v>
      </c>
      <c r="T28" s="360">
        <v>0</v>
      </c>
      <c r="U28" s="360">
        <v>0</v>
      </c>
      <c r="V28" s="360">
        <v>0</v>
      </c>
      <c r="W28" s="360">
        <v>0</v>
      </c>
      <c r="X28" s="360">
        <v>0</v>
      </c>
      <c r="Y28" s="360">
        <v>0</v>
      </c>
      <c r="Z28" s="360">
        <v>0</v>
      </c>
      <c r="AA28" s="360">
        <v>0</v>
      </c>
      <c r="AB28" s="360">
        <v>0</v>
      </c>
      <c r="AC28" s="360">
        <v>0</v>
      </c>
      <c r="AD28" s="360">
        <v>0</v>
      </c>
      <c r="AE28" s="360">
        <v>0</v>
      </c>
      <c r="AF28" s="360">
        <v>0</v>
      </c>
      <c r="AG28" s="360">
        <v>0</v>
      </c>
      <c r="AH28" s="360">
        <v>0</v>
      </c>
      <c r="AI28" s="360">
        <v>0</v>
      </c>
      <c r="AJ28" s="360">
        <v>0</v>
      </c>
      <c r="AK28" s="360">
        <v>0</v>
      </c>
      <c r="AL28" s="360">
        <v>0</v>
      </c>
      <c r="AM28" s="360">
        <v>0</v>
      </c>
      <c r="AN28" s="360">
        <v>0</v>
      </c>
    </row>
    <row r="29" spans="3:40" x14ac:dyDescent="0.3">
      <c r="C29" s="360">
        <v>59</v>
      </c>
      <c r="D29" s="360">
        <v>3</v>
      </c>
      <c r="E29" s="360">
        <v>11</v>
      </c>
      <c r="F29" s="360">
        <v>3488.916666666667</v>
      </c>
      <c r="G29" s="360">
        <v>0</v>
      </c>
      <c r="H29" s="360">
        <v>2655.5833333333335</v>
      </c>
      <c r="I29" s="360">
        <v>0</v>
      </c>
      <c r="J29" s="360">
        <v>0</v>
      </c>
      <c r="K29" s="360">
        <v>833.33333333333337</v>
      </c>
      <c r="L29" s="360">
        <v>0</v>
      </c>
      <c r="M29" s="360">
        <v>0</v>
      </c>
      <c r="N29" s="360">
        <v>0</v>
      </c>
      <c r="O29" s="360">
        <v>0</v>
      </c>
      <c r="P29" s="360">
        <v>0</v>
      </c>
      <c r="Q29" s="360">
        <v>0</v>
      </c>
      <c r="R29" s="360">
        <v>0</v>
      </c>
      <c r="S29" s="360">
        <v>0</v>
      </c>
      <c r="T29" s="360">
        <v>0</v>
      </c>
      <c r="U29" s="360">
        <v>0</v>
      </c>
      <c r="V29" s="360">
        <v>0</v>
      </c>
      <c r="W29" s="360">
        <v>0</v>
      </c>
      <c r="X29" s="360">
        <v>0</v>
      </c>
      <c r="Y29" s="360">
        <v>0</v>
      </c>
      <c r="Z29" s="360">
        <v>0</v>
      </c>
      <c r="AA29" s="360">
        <v>0</v>
      </c>
      <c r="AB29" s="360">
        <v>0</v>
      </c>
      <c r="AC29" s="360">
        <v>0</v>
      </c>
      <c r="AD29" s="360">
        <v>0</v>
      </c>
      <c r="AE29" s="360">
        <v>0</v>
      </c>
      <c r="AF29" s="360">
        <v>0</v>
      </c>
      <c r="AG29" s="360">
        <v>0</v>
      </c>
      <c r="AH29" s="360">
        <v>0</v>
      </c>
      <c r="AI29" s="360">
        <v>0</v>
      </c>
      <c r="AJ29" s="360">
        <v>0</v>
      </c>
      <c r="AK29" s="360">
        <v>0</v>
      </c>
      <c r="AL29" s="360">
        <v>0</v>
      </c>
      <c r="AM29" s="360">
        <v>0</v>
      </c>
      <c r="AN29" s="360">
        <v>0</v>
      </c>
    </row>
    <row r="30" spans="3:40" x14ac:dyDescent="0.3">
      <c r="C30" s="360">
        <v>59</v>
      </c>
      <c r="D30" s="360">
        <v>4</v>
      </c>
      <c r="E30" s="360">
        <v>1</v>
      </c>
      <c r="F30" s="360">
        <v>57.1</v>
      </c>
      <c r="G30" s="360">
        <v>0</v>
      </c>
      <c r="H30" s="360">
        <v>7.6</v>
      </c>
      <c r="I30" s="360">
        <v>0</v>
      </c>
      <c r="J30" s="360">
        <v>0</v>
      </c>
      <c r="K30" s="360">
        <v>44.5</v>
      </c>
      <c r="L30" s="360">
        <v>0</v>
      </c>
      <c r="M30" s="360">
        <v>0</v>
      </c>
      <c r="N30" s="360">
        <v>0</v>
      </c>
      <c r="O30" s="360">
        <v>0</v>
      </c>
      <c r="P30" s="360">
        <v>0</v>
      </c>
      <c r="Q30" s="360">
        <v>0</v>
      </c>
      <c r="R30" s="360">
        <v>0</v>
      </c>
      <c r="S30" s="360">
        <v>0</v>
      </c>
      <c r="T30" s="360">
        <v>0</v>
      </c>
      <c r="U30" s="360">
        <v>0</v>
      </c>
      <c r="V30" s="360">
        <v>0</v>
      </c>
      <c r="W30" s="360">
        <v>0</v>
      </c>
      <c r="X30" s="360">
        <v>0</v>
      </c>
      <c r="Y30" s="360">
        <v>0</v>
      </c>
      <c r="Z30" s="360">
        <v>0</v>
      </c>
      <c r="AA30" s="360">
        <v>0</v>
      </c>
      <c r="AB30" s="360">
        <v>0</v>
      </c>
      <c r="AC30" s="360">
        <v>0</v>
      </c>
      <c r="AD30" s="360">
        <v>0</v>
      </c>
      <c r="AE30" s="360">
        <v>2</v>
      </c>
      <c r="AF30" s="360">
        <v>0</v>
      </c>
      <c r="AG30" s="360">
        <v>0</v>
      </c>
      <c r="AH30" s="360">
        <v>2</v>
      </c>
      <c r="AI30" s="360">
        <v>0</v>
      </c>
      <c r="AJ30" s="360">
        <v>0</v>
      </c>
      <c r="AK30" s="360">
        <v>0</v>
      </c>
      <c r="AL30" s="360">
        <v>0</v>
      </c>
      <c r="AM30" s="360">
        <v>1</v>
      </c>
      <c r="AN30" s="360">
        <v>0</v>
      </c>
    </row>
    <row r="31" spans="3:40" x14ac:dyDescent="0.3">
      <c r="C31" s="360">
        <v>59</v>
      </c>
      <c r="D31" s="360">
        <v>4</v>
      </c>
      <c r="E31" s="360">
        <v>2</v>
      </c>
      <c r="F31" s="360">
        <v>7805.6</v>
      </c>
      <c r="G31" s="360">
        <v>0</v>
      </c>
      <c r="H31" s="360">
        <v>1337.6</v>
      </c>
      <c r="I31" s="360">
        <v>0</v>
      </c>
      <c r="J31" s="360">
        <v>0</v>
      </c>
      <c r="K31" s="360">
        <v>5687.75</v>
      </c>
      <c r="L31" s="360">
        <v>0</v>
      </c>
      <c r="M31" s="360">
        <v>0</v>
      </c>
      <c r="N31" s="360">
        <v>0</v>
      </c>
      <c r="O31" s="360">
        <v>0</v>
      </c>
      <c r="P31" s="360">
        <v>0</v>
      </c>
      <c r="Q31" s="360">
        <v>0</v>
      </c>
      <c r="R31" s="360">
        <v>0</v>
      </c>
      <c r="S31" s="360">
        <v>0</v>
      </c>
      <c r="T31" s="360">
        <v>0</v>
      </c>
      <c r="U31" s="360">
        <v>0</v>
      </c>
      <c r="V31" s="360">
        <v>0</v>
      </c>
      <c r="W31" s="360">
        <v>0</v>
      </c>
      <c r="X31" s="360">
        <v>0</v>
      </c>
      <c r="Y31" s="360">
        <v>0</v>
      </c>
      <c r="Z31" s="360">
        <v>0</v>
      </c>
      <c r="AA31" s="360">
        <v>0</v>
      </c>
      <c r="AB31" s="360">
        <v>0</v>
      </c>
      <c r="AC31" s="360">
        <v>0</v>
      </c>
      <c r="AD31" s="360">
        <v>0</v>
      </c>
      <c r="AE31" s="360">
        <v>302.25</v>
      </c>
      <c r="AF31" s="360">
        <v>0</v>
      </c>
      <c r="AG31" s="360">
        <v>0</v>
      </c>
      <c r="AH31" s="360">
        <v>310</v>
      </c>
      <c r="AI31" s="360">
        <v>0</v>
      </c>
      <c r="AJ31" s="360">
        <v>0</v>
      </c>
      <c r="AK31" s="360">
        <v>0</v>
      </c>
      <c r="AL31" s="360">
        <v>0</v>
      </c>
      <c r="AM31" s="360">
        <v>168</v>
      </c>
      <c r="AN31" s="360">
        <v>0</v>
      </c>
    </row>
    <row r="32" spans="3:40" x14ac:dyDescent="0.3">
      <c r="C32" s="360">
        <v>59</v>
      </c>
      <c r="D32" s="360">
        <v>4</v>
      </c>
      <c r="E32" s="360">
        <v>3</v>
      </c>
      <c r="F32" s="360">
        <v>91</v>
      </c>
      <c r="G32" s="360">
        <v>0</v>
      </c>
      <c r="H32" s="360">
        <v>6</v>
      </c>
      <c r="I32" s="360">
        <v>0</v>
      </c>
      <c r="J32" s="360">
        <v>0</v>
      </c>
      <c r="K32" s="360">
        <v>85</v>
      </c>
      <c r="L32" s="360">
        <v>0</v>
      </c>
      <c r="M32" s="360">
        <v>0</v>
      </c>
      <c r="N32" s="360">
        <v>0</v>
      </c>
      <c r="O32" s="360">
        <v>0</v>
      </c>
      <c r="P32" s="360">
        <v>0</v>
      </c>
      <c r="Q32" s="360">
        <v>0</v>
      </c>
      <c r="R32" s="360">
        <v>0</v>
      </c>
      <c r="S32" s="360">
        <v>0</v>
      </c>
      <c r="T32" s="360">
        <v>0</v>
      </c>
      <c r="U32" s="360">
        <v>0</v>
      </c>
      <c r="V32" s="360">
        <v>0</v>
      </c>
      <c r="W32" s="360">
        <v>0</v>
      </c>
      <c r="X32" s="360">
        <v>0</v>
      </c>
      <c r="Y32" s="360">
        <v>0</v>
      </c>
      <c r="Z32" s="360">
        <v>0</v>
      </c>
      <c r="AA32" s="360">
        <v>0</v>
      </c>
      <c r="AB32" s="360">
        <v>0</v>
      </c>
      <c r="AC32" s="360">
        <v>0</v>
      </c>
      <c r="AD32" s="360">
        <v>0</v>
      </c>
      <c r="AE32" s="360">
        <v>0</v>
      </c>
      <c r="AF32" s="360">
        <v>0</v>
      </c>
      <c r="AG32" s="360">
        <v>0</v>
      </c>
      <c r="AH32" s="360">
        <v>0</v>
      </c>
      <c r="AI32" s="360">
        <v>0</v>
      </c>
      <c r="AJ32" s="360">
        <v>0</v>
      </c>
      <c r="AK32" s="360">
        <v>0</v>
      </c>
      <c r="AL32" s="360">
        <v>0</v>
      </c>
      <c r="AM32" s="360">
        <v>0</v>
      </c>
      <c r="AN32" s="360">
        <v>0</v>
      </c>
    </row>
    <row r="33" spans="3:40" x14ac:dyDescent="0.3">
      <c r="C33" s="360">
        <v>59</v>
      </c>
      <c r="D33" s="360">
        <v>4</v>
      </c>
      <c r="E33" s="360">
        <v>4</v>
      </c>
      <c r="F33" s="360">
        <v>554</v>
      </c>
      <c r="G33" s="360">
        <v>0</v>
      </c>
      <c r="H33" s="360">
        <v>85</v>
      </c>
      <c r="I33" s="360">
        <v>0</v>
      </c>
      <c r="J33" s="360">
        <v>0</v>
      </c>
      <c r="K33" s="360">
        <v>414</v>
      </c>
      <c r="L33" s="360">
        <v>0</v>
      </c>
      <c r="M33" s="360">
        <v>0</v>
      </c>
      <c r="N33" s="360">
        <v>0</v>
      </c>
      <c r="O33" s="360">
        <v>0</v>
      </c>
      <c r="P33" s="360">
        <v>0</v>
      </c>
      <c r="Q33" s="360">
        <v>0</v>
      </c>
      <c r="R33" s="360">
        <v>0</v>
      </c>
      <c r="S33" s="360">
        <v>0</v>
      </c>
      <c r="T33" s="360">
        <v>0</v>
      </c>
      <c r="U33" s="360">
        <v>0</v>
      </c>
      <c r="V33" s="360">
        <v>0</v>
      </c>
      <c r="W33" s="360">
        <v>0</v>
      </c>
      <c r="X33" s="360">
        <v>0</v>
      </c>
      <c r="Y33" s="360">
        <v>0</v>
      </c>
      <c r="Z33" s="360">
        <v>0</v>
      </c>
      <c r="AA33" s="360">
        <v>0</v>
      </c>
      <c r="AB33" s="360">
        <v>0</v>
      </c>
      <c r="AC33" s="360">
        <v>0</v>
      </c>
      <c r="AD33" s="360">
        <v>0</v>
      </c>
      <c r="AE33" s="360">
        <v>25</v>
      </c>
      <c r="AF33" s="360">
        <v>0</v>
      </c>
      <c r="AG33" s="360">
        <v>0</v>
      </c>
      <c r="AH33" s="360">
        <v>30</v>
      </c>
      <c r="AI33" s="360">
        <v>0</v>
      </c>
      <c r="AJ33" s="360">
        <v>0</v>
      </c>
      <c r="AK33" s="360">
        <v>0</v>
      </c>
      <c r="AL33" s="360">
        <v>0</v>
      </c>
      <c r="AM33" s="360">
        <v>0</v>
      </c>
      <c r="AN33" s="360">
        <v>0</v>
      </c>
    </row>
    <row r="34" spans="3:40" x14ac:dyDescent="0.3">
      <c r="C34" s="360">
        <v>59</v>
      </c>
      <c r="D34" s="360">
        <v>4</v>
      </c>
      <c r="E34" s="360">
        <v>5</v>
      </c>
      <c r="F34" s="360">
        <v>56</v>
      </c>
      <c r="G34" s="360">
        <v>56</v>
      </c>
      <c r="H34" s="360">
        <v>0</v>
      </c>
      <c r="I34" s="360">
        <v>0</v>
      </c>
      <c r="J34" s="360">
        <v>0</v>
      </c>
      <c r="K34" s="360">
        <v>0</v>
      </c>
      <c r="L34" s="360">
        <v>0</v>
      </c>
      <c r="M34" s="360">
        <v>0</v>
      </c>
      <c r="N34" s="360">
        <v>0</v>
      </c>
      <c r="O34" s="360">
        <v>0</v>
      </c>
      <c r="P34" s="360">
        <v>0</v>
      </c>
      <c r="Q34" s="360">
        <v>0</v>
      </c>
      <c r="R34" s="360">
        <v>0</v>
      </c>
      <c r="S34" s="360">
        <v>0</v>
      </c>
      <c r="T34" s="360">
        <v>0</v>
      </c>
      <c r="U34" s="360">
        <v>0</v>
      </c>
      <c r="V34" s="360">
        <v>0</v>
      </c>
      <c r="W34" s="360">
        <v>0</v>
      </c>
      <c r="X34" s="360">
        <v>0</v>
      </c>
      <c r="Y34" s="360">
        <v>0</v>
      </c>
      <c r="Z34" s="360">
        <v>0</v>
      </c>
      <c r="AA34" s="360">
        <v>0</v>
      </c>
      <c r="AB34" s="360">
        <v>0</v>
      </c>
      <c r="AC34" s="360">
        <v>0</v>
      </c>
      <c r="AD34" s="360">
        <v>0</v>
      </c>
      <c r="AE34" s="360">
        <v>0</v>
      </c>
      <c r="AF34" s="360">
        <v>0</v>
      </c>
      <c r="AG34" s="360">
        <v>0</v>
      </c>
      <c r="AH34" s="360">
        <v>0</v>
      </c>
      <c r="AI34" s="360">
        <v>0</v>
      </c>
      <c r="AJ34" s="360">
        <v>0</v>
      </c>
      <c r="AK34" s="360">
        <v>0</v>
      </c>
      <c r="AL34" s="360">
        <v>0</v>
      </c>
      <c r="AM34" s="360">
        <v>0</v>
      </c>
      <c r="AN34" s="360">
        <v>0</v>
      </c>
    </row>
    <row r="35" spans="3:40" x14ac:dyDescent="0.3">
      <c r="C35" s="360">
        <v>59</v>
      </c>
      <c r="D35" s="360">
        <v>4</v>
      </c>
      <c r="E35" s="360">
        <v>6</v>
      </c>
      <c r="F35" s="360">
        <v>1947349</v>
      </c>
      <c r="G35" s="360">
        <v>20450</v>
      </c>
      <c r="H35" s="360">
        <v>519559</v>
      </c>
      <c r="I35" s="360">
        <v>0</v>
      </c>
      <c r="J35" s="360">
        <v>0</v>
      </c>
      <c r="K35" s="360">
        <v>1297776</v>
      </c>
      <c r="L35" s="360">
        <v>0</v>
      </c>
      <c r="M35" s="360">
        <v>0</v>
      </c>
      <c r="N35" s="360">
        <v>0</v>
      </c>
      <c r="O35" s="360">
        <v>0</v>
      </c>
      <c r="P35" s="360">
        <v>0</v>
      </c>
      <c r="Q35" s="360">
        <v>0</v>
      </c>
      <c r="R35" s="360">
        <v>0</v>
      </c>
      <c r="S35" s="360">
        <v>0</v>
      </c>
      <c r="T35" s="360">
        <v>0</v>
      </c>
      <c r="U35" s="360">
        <v>0</v>
      </c>
      <c r="V35" s="360">
        <v>0</v>
      </c>
      <c r="W35" s="360">
        <v>0</v>
      </c>
      <c r="X35" s="360">
        <v>0</v>
      </c>
      <c r="Y35" s="360">
        <v>0</v>
      </c>
      <c r="Z35" s="360">
        <v>0</v>
      </c>
      <c r="AA35" s="360">
        <v>0</v>
      </c>
      <c r="AB35" s="360">
        <v>0</v>
      </c>
      <c r="AC35" s="360">
        <v>0</v>
      </c>
      <c r="AD35" s="360">
        <v>0</v>
      </c>
      <c r="AE35" s="360">
        <v>43700</v>
      </c>
      <c r="AF35" s="360">
        <v>0</v>
      </c>
      <c r="AG35" s="360">
        <v>0</v>
      </c>
      <c r="AH35" s="360">
        <v>43379</v>
      </c>
      <c r="AI35" s="360">
        <v>0</v>
      </c>
      <c r="AJ35" s="360">
        <v>0</v>
      </c>
      <c r="AK35" s="360">
        <v>0</v>
      </c>
      <c r="AL35" s="360">
        <v>0</v>
      </c>
      <c r="AM35" s="360">
        <v>22485</v>
      </c>
      <c r="AN35" s="360">
        <v>0</v>
      </c>
    </row>
    <row r="36" spans="3:40" x14ac:dyDescent="0.3">
      <c r="C36" s="360">
        <v>59</v>
      </c>
      <c r="D36" s="360">
        <v>4</v>
      </c>
      <c r="E36" s="360">
        <v>9</v>
      </c>
      <c r="F36" s="360">
        <v>10112</v>
      </c>
      <c r="G36" s="360">
        <v>0</v>
      </c>
      <c r="H36" s="360">
        <v>0</v>
      </c>
      <c r="I36" s="360">
        <v>0</v>
      </c>
      <c r="J36" s="360">
        <v>0</v>
      </c>
      <c r="K36" s="360">
        <v>10112</v>
      </c>
      <c r="L36" s="360">
        <v>0</v>
      </c>
      <c r="M36" s="360">
        <v>0</v>
      </c>
      <c r="N36" s="360">
        <v>0</v>
      </c>
      <c r="O36" s="360">
        <v>0</v>
      </c>
      <c r="P36" s="360">
        <v>0</v>
      </c>
      <c r="Q36" s="360">
        <v>0</v>
      </c>
      <c r="R36" s="360">
        <v>0</v>
      </c>
      <c r="S36" s="360">
        <v>0</v>
      </c>
      <c r="T36" s="360">
        <v>0</v>
      </c>
      <c r="U36" s="360">
        <v>0</v>
      </c>
      <c r="V36" s="360">
        <v>0</v>
      </c>
      <c r="W36" s="360">
        <v>0</v>
      </c>
      <c r="X36" s="360">
        <v>0</v>
      </c>
      <c r="Y36" s="360">
        <v>0</v>
      </c>
      <c r="Z36" s="360">
        <v>0</v>
      </c>
      <c r="AA36" s="360">
        <v>0</v>
      </c>
      <c r="AB36" s="360">
        <v>0</v>
      </c>
      <c r="AC36" s="360">
        <v>0</v>
      </c>
      <c r="AD36" s="360">
        <v>0</v>
      </c>
      <c r="AE36" s="360">
        <v>0</v>
      </c>
      <c r="AF36" s="360">
        <v>0</v>
      </c>
      <c r="AG36" s="360">
        <v>0</v>
      </c>
      <c r="AH36" s="360">
        <v>0</v>
      </c>
      <c r="AI36" s="360">
        <v>0</v>
      </c>
      <c r="AJ36" s="360">
        <v>0</v>
      </c>
      <c r="AK36" s="360">
        <v>0</v>
      </c>
      <c r="AL36" s="360">
        <v>0</v>
      </c>
      <c r="AM36" s="360">
        <v>0</v>
      </c>
      <c r="AN36" s="360">
        <v>0</v>
      </c>
    </row>
    <row r="37" spans="3:40" x14ac:dyDescent="0.3">
      <c r="C37" s="360">
        <v>59</v>
      </c>
      <c r="D37" s="360">
        <v>4</v>
      </c>
      <c r="E37" s="360">
        <v>11</v>
      </c>
      <c r="F37" s="360">
        <v>3488.916666666667</v>
      </c>
      <c r="G37" s="360">
        <v>0</v>
      </c>
      <c r="H37" s="360">
        <v>2655.5833333333335</v>
      </c>
      <c r="I37" s="360">
        <v>0</v>
      </c>
      <c r="J37" s="360">
        <v>0</v>
      </c>
      <c r="K37" s="360">
        <v>833.33333333333337</v>
      </c>
      <c r="L37" s="360">
        <v>0</v>
      </c>
      <c r="M37" s="360">
        <v>0</v>
      </c>
      <c r="N37" s="360">
        <v>0</v>
      </c>
      <c r="O37" s="360">
        <v>0</v>
      </c>
      <c r="P37" s="360">
        <v>0</v>
      </c>
      <c r="Q37" s="360">
        <v>0</v>
      </c>
      <c r="R37" s="360">
        <v>0</v>
      </c>
      <c r="S37" s="360">
        <v>0</v>
      </c>
      <c r="T37" s="360">
        <v>0</v>
      </c>
      <c r="U37" s="360">
        <v>0</v>
      </c>
      <c r="V37" s="360">
        <v>0</v>
      </c>
      <c r="W37" s="360">
        <v>0</v>
      </c>
      <c r="X37" s="360">
        <v>0</v>
      </c>
      <c r="Y37" s="360">
        <v>0</v>
      </c>
      <c r="Z37" s="360">
        <v>0</v>
      </c>
      <c r="AA37" s="360">
        <v>0</v>
      </c>
      <c r="AB37" s="360">
        <v>0</v>
      </c>
      <c r="AC37" s="360">
        <v>0</v>
      </c>
      <c r="AD37" s="360">
        <v>0</v>
      </c>
      <c r="AE37" s="360">
        <v>0</v>
      </c>
      <c r="AF37" s="360">
        <v>0</v>
      </c>
      <c r="AG37" s="360">
        <v>0</v>
      </c>
      <c r="AH37" s="360">
        <v>0</v>
      </c>
      <c r="AI37" s="360">
        <v>0</v>
      </c>
      <c r="AJ37" s="360">
        <v>0</v>
      </c>
      <c r="AK37" s="360">
        <v>0</v>
      </c>
      <c r="AL37" s="360">
        <v>0</v>
      </c>
      <c r="AM37" s="360">
        <v>0</v>
      </c>
      <c r="AN37" s="360">
        <v>0</v>
      </c>
    </row>
    <row r="38" spans="3:40" x14ac:dyDescent="0.3">
      <c r="C38" s="360">
        <v>59</v>
      </c>
      <c r="D38" s="360">
        <v>5</v>
      </c>
      <c r="E38" s="360">
        <v>1</v>
      </c>
      <c r="F38" s="360">
        <v>53.6</v>
      </c>
      <c r="G38" s="360">
        <v>0</v>
      </c>
      <c r="H38" s="360">
        <v>7.6</v>
      </c>
      <c r="I38" s="360">
        <v>0</v>
      </c>
      <c r="J38" s="360">
        <v>0</v>
      </c>
      <c r="K38" s="360">
        <v>41</v>
      </c>
      <c r="L38" s="360">
        <v>0</v>
      </c>
      <c r="M38" s="360">
        <v>0</v>
      </c>
      <c r="N38" s="360">
        <v>0</v>
      </c>
      <c r="O38" s="360">
        <v>0</v>
      </c>
      <c r="P38" s="360">
        <v>0</v>
      </c>
      <c r="Q38" s="360">
        <v>0</v>
      </c>
      <c r="R38" s="360">
        <v>0</v>
      </c>
      <c r="S38" s="360">
        <v>0</v>
      </c>
      <c r="T38" s="360">
        <v>0</v>
      </c>
      <c r="U38" s="360">
        <v>0</v>
      </c>
      <c r="V38" s="360">
        <v>0</v>
      </c>
      <c r="W38" s="360">
        <v>0</v>
      </c>
      <c r="X38" s="360">
        <v>0</v>
      </c>
      <c r="Y38" s="360">
        <v>0</v>
      </c>
      <c r="Z38" s="360">
        <v>0</v>
      </c>
      <c r="AA38" s="360">
        <v>0</v>
      </c>
      <c r="AB38" s="360">
        <v>0</v>
      </c>
      <c r="AC38" s="360">
        <v>0</v>
      </c>
      <c r="AD38" s="360">
        <v>0</v>
      </c>
      <c r="AE38" s="360">
        <v>2</v>
      </c>
      <c r="AF38" s="360">
        <v>0</v>
      </c>
      <c r="AG38" s="360">
        <v>0</v>
      </c>
      <c r="AH38" s="360">
        <v>2</v>
      </c>
      <c r="AI38" s="360">
        <v>0</v>
      </c>
      <c r="AJ38" s="360">
        <v>0</v>
      </c>
      <c r="AK38" s="360">
        <v>0</v>
      </c>
      <c r="AL38" s="360">
        <v>0</v>
      </c>
      <c r="AM38" s="360">
        <v>1</v>
      </c>
      <c r="AN38" s="360">
        <v>0</v>
      </c>
    </row>
    <row r="39" spans="3:40" x14ac:dyDescent="0.3">
      <c r="C39" s="360">
        <v>59</v>
      </c>
      <c r="D39" s="360">
        <v>5</v>
      </c>
      <c r="E39" s="360">
        <v>2</v>
      </c>
      <c r="F39" s="360">
        <v>7967.98</v>
      </c>
      <c r="G39" s="360">
        <v>0</v>
      </c>
      <c r="H39" s="360">
        <v>1329.6</v>
      </c>
      <c r="I39" s="360">
        <v>0</v>
      </c>
      <c r="J39" s="360">
        <v>0</v>
      </c>
      <c r="K39" s="360">
        <v>5780.38</v>
      </c>
      <c r="L39" s="360">
        <v>0</v>
      </c>
      <c r="M39" s="360">
        <v>0</v>
      </c>
      <c r="N39" s="360">
        <v>0</v>
      </c>
      <c r="O39" s="360">
        <v>0</v>
      </c>
      <c r="P39" s="360">
        <v>0</v>
      </c>
      <c r="Q39" s="360">
        <v>0</v>
      </c>
      <c r="R39" s="360">
        <v>0</v>
      </c>
      <c r="S39" s="360">
        <v>0</v>
      </c>
      <c r="T39" s="360">
        <v>0</v>
      </c>
      <c r="U39" s="360">
        <v>0</v>
      </c>
      <c r="V39" s="360">
        <v>0</v>
      </c>
      <c r="W39" s="360">
        <v>0</v>
      </c>
      <c r="X39" s="360">
        <v>0</v>
      </c>
      <c r="Y39" s="360">
        <v>0</v>
      </c>
      <c r="Z39" s="360">
        <v>0</v>
      </c>
      <c r="AA39" s="360">
        <v>0</v>
      </c>
      <c r="AB39" s="360">
        <v>0</v>
      </c>
      <c r="AC39" s="360">
        <v>0</v>
      </c>
      <c r="AD39" s="360">
        <v>0</v>
      </c>
      <c r="AE39" s="360">
        <v>341</v>
      </c>
      <c r="AF39" s="360">
        <v>0</v>
      </c>
      <c r="AG39" s="360">
        <v>0</v>
      </c>
      <c r="AH39" s="360">
        <v>341</v>
      </c>
      <c r="AI39" s="360">
        <v>0</v>
      </c>
      <c r="AJ39" s="360">
        <v>0</v>
      </c>
      <c r="AK39" s="360">
        <v>0</v>
      </c>
      <c r="AL39" s="360">
        <v>0</v>
      </c>
      <c r="AM39" s="360">
        <v>176</v>
      </c>
      <c r="AN39" s="360">
        <v>0</v>
      </c>
    </row>
    <row r="40" spans="3:40" x14ac:dyDescent="0.3">
      <c r="C40" s="360">
        <v>59</v>
      </c>
      <c r="D40" s="360">
        <v>5</v>
      </c>
      <c r="E40" s="360">
        <v>3</v>
      </c>
      <c r="F40" s="360">
        <v>191</v>
      </c>
      <c r="G40" s="360">
        <v>0</v>
      </c>
      <c r="H40" s="360">
        <v>24</v>
      </c>
      <c r="I40" s="360">
        <v>0</v>
      </c>
      <c r="J40" s="360">
        <v>0</v>
      </c>
      <c r="K40" s="360">
        <v>167</v>
      </c>
      <c r="L40" s="360">
        <v>0</v>
      </c>
      <c r="M40" s="360">
        <v>0</v>
      </c>
      <c r="N40" s="360">
        <v>0</v>
      </c>
      <c r="O40" s="360">
        <v>0</v>
      </c>
      <c r="P40" s="360">
        <v>0</v>
      </c>
      <c r="Q40" s="360">
        <v>0</v>
      </c>
      <c r="R40" s="360">
        <v>0</v>
      </c>
      <c r="S40" s="360">
        <v>0</v>
      </c>
      <c r="T40" s="360">
        <v>0</v>
      </c>
      <c r="U40" s="360">
        <v>0</v>
      </c>
      <c r="V40" s="360">
        <v>0</v>
      </c>
      <c r="W40" s="360">
        <v>0</v>
      </c>
      <c r="X40" s="360">
        <v>0</v>
      </c>
      <c r="Y40" s="360">
        <v>0</v>
      </c>
      <c r="Z40" s="360">
        <v>0</v>
      </c>
      <c r="AA40" s="360">
        <v>0</v>
      </c>
      <c r="AB40" s="360">
        <v>0</v>
      </c>
      <c r="AC40" s="360">
        <v>0</v>
      </c>
      <c r="AD40" s="360">
        <v>0</v>
      </c>
      <c r="AE40" s="360">
        <v>0</v>
      </c>
      <c r="AF40" s="360">
        <v>0</v>
      </c>
      <c r="AG40" s="360">
        <v>0</v>
      </c>
      <c r="AH40" s="360">
        <v>0</v>
      </c>
      <c r="AI40" s="360">
        <v>0</v>
      </c>
      <c r="AJ40" s="360">
        <v>0</v>
      </c>
      <c r="AK40" s="360">
        <v>0</v>
      </c>
      <c r="AL40" s="360">
        <v>0</v>
      </c>
      <c r="AM40" s="360">
        <v>0</v>
      </c>
      <c r="AN40" s="360">
        <v>0</v>
      </c>
    </row>
    <row r="41" spans="3:40" x14ac:dyDescent="0.3">
      <c r="C41" s="360">
        <v>59</v>
      </c>
      <c r="D41" s="360">
        <v>5</v>
      </c>
      <c r="E41" s="360">
        <v>4</v>
      </c>
      <c r="F41" s="360">
        <v>598</v>
      </c>
      <c r="G41" s="360">
        <v>0</v>
      </c>
      <c r="H41" s="360">
        <v>103</v>
      </c>
      <c r="I41" s="360">
        <v>0</v>
      </c>
      <c r="J41" s="360">
        <v>0</v>
      </c>
      <c r="K41" s="360">
        <v>444</v>
      </c>
      <c r="L41" s="360">
        <v>0</v>
      </c>
      <c r="M41" s="360">
        <v>0</v>
      </c>
      <c r="N41" s="360">
        <v>0</v>
      </c>
      <c r="O41" s="360">
        <v>0</v>
      </c>
      <c r="P41" s="360">
        <v>0</v>
      </c>
      <c r="Q41" s="360">
        <v>0</v>
      </c>
      <c r="R41" s="360">
        <v>0</v>
      </c>
      <c r="S41" s="360">
        <v>0</v>
      </c>
      <c r="T41" s="360">
        <v>0</v>
      </c>
      <c r="U41" s="360">
        <v>0</v>
      </c>
      <c r="V41" s="360">
        <v>0</v>
      </c>
      <c r="W41" s="360">
        <v>0</v>
      </c>
      <c r="X41" s="360">
        <v>0</v>
      </c>
      <c r="Y41" s="360">
        <v>0</v>
      </c>
      <c r="Z41" s="360">
        <v>0</v>
      </c>
      <c r="AA41" s="360">
        <v>0</v>
      </c>
      <c r="AB41" s="360">
        <v>0</v>
      </c>
      <c r="AC41" s="360">
        <v>0</v>
      </c>
      <c r="AD41" s="360">
        <v>0</v>
      </c>
      <c r="AE41" s="360">
        <v>24</v>
      </c>
      <c r="AF41" s="360">
        <v>0</v>
      </c>
      <c r="AG41" s="360">
        <v>0</v>
      </c>
      <c r="AH41" s="360">
        <v>27</v>
      </c>
      <c r="AI41" s="360">
        <v>0</v>
      </c>
      <c r="AJ41" s="360">
        <v>0</v>
      </c>
      <c r="AK41" s="360">
        <v>0</v>
      </c>
      <c r="AL41" s="360">
        <v>0</v>
      </c>
      <c r="AM41" s="360">
        <v>0</v>
      </c>
      <c r="AN41" s="360">
        <v>0</v>
      </c>
    </row>
    <row r="42" spans="3:40" x14ac:dyDescent="0.3">
      <c r="C42" s="360">
        <v>59</v>
      </c>
      <c r="D42" s="360">
        <v>5</v>
      </c>
      <c r="E42" s="360">
        <v>5</v>
      </c>
      <c r="F42" s="360">
        <v>36</v>
      </c>
      <c r="G42" s="360">
        <v>36</v>
      </c>
      <c r="H42" s="360">
        <v>0</v>
      </c>
      <c r="I42" s="360">
        <v>0</v>
      </c>
      <c r="J42" s="360">
        <v>0</v>
      </c>
      <c r="K42" s="360">
        <v>0</v>
      </c>
      <c r="L42" s="360">
        <v>0</v>
      </c>
      <c r="M42" s="360">
        <v>0</v>
      </c>
      <c r="N42" s="360">
        <v>0</v>
      </c>
      <c r="O42" s="360">
        <v>0</v>
      </c>
      <c r="P42" s="360">
        <v>0</v>
      </c>
      <c r="Q42" s="360">
        <v>0</v>
      </c>
      <c r="R42" s="360">
        <v>0</v>
      </c>
      <c r="S42" s="360">
        <v>0</v>
      </c>
      <c r="T42" s="360">
        <v>0</v>
      </c>
      <c r="U42" s="360">
        <v>0</v>
      </c>
      <c r="V42" s="360">
        <v>0</v>
      </c>
      <c r="W42" s="360">
        <v>0</v>
      </c>
      <c r="X42" s="360">
        <v>0</v>
      </c>
      <c r="Y42" s="360">
        <v>0</v>
      </c>
      <c r="Z42" s="360">
        <v>0</v>
      </c>
      <c r="AA42" s="360">
        <v>0</v>
      </c>
      <c r="AB42" s="360">
        <v>0</v>
      </c>
      <c r="AC42" s="360">
        <v>0</v>
      </c>
      <c r="AD42" s="360">
        <v>0</v>
      </c>
      <c r="AE42" s="360">
        <v>0</v>
      </c>
      <c r="AF42" s="360">
        <v>0</v>
      </c>
      <c r="AG42" s="360">
        <v>0</v>
      </c>
      <c r="AH42" s="360">
        <v>0</v>
      </c>
      <c r="AI42" s="360">
        <v>0</v>
      </c>
      <c r="AJ42" s="360">
        <v>0</v>
      </c>
      <c r="AK42" s="360">
        <v>0</v>
      </c>
      <c r="AL42" s="360">
        <v>0</v>
      </c>
      <c r="AM42" s="360">
        <v>0</v>
      </c>
      <c r="AN42" s="360">
        <v>0</v>
      </c>
    </row>
    <row r="43" spans="3:40" x14ac:dyDescent="0.3">
      <c r="C43" s="360">
        <v>59</v>
      </c>
      <c r="D43" s="360">
        <v>5</v>
      </c>
      <c r="E43" s="360">
        <v>6</v>
      </c>
      <c r="F43" s="360">
        <v>1968287</v>
      </c>
      <c r="G43" s="360">
        <v>13350</v>
      </c>
      <c r="H43" s="360">
        <v>543311</v>
      </c>
      <c r="I43" s="360">
        <v>0</v>
      </c>
      <c r="J43" s="360">
        <v>0</v>
      </c>
      <c r="K43" s="360">
        <v>1301155</v>
      </c>
      <c r="L43" s="360">
        <v>0</v>
      </c>
      <c r="M43" s="360">
        <v>0</v>
      </c>
      <c r="N43" s="360">
        <v>0</v>
      </c>
      <c r="O43" s="360">
        <v>0</v>
      </c>
      <c r="P43" s="360">
        <v>0</v>
      </c>
      <c r="Q43" s="360">
        <v>0</v>
      </c>
      <c r="R43" s="360">
        <v>0</v>
      </c>
      <c r="S43" s="360">
        <v>0</v>
      </c>
      <c r="T43" s="360">
        <v>0</v>
      </c>
      <c r="U43" s="360">
        <v>0</v>
      </c>
      <c r="V43" s="360">
        <v>0</v>
      </c>
      <c r="W43" s="360">
        <v>0</v>
      </c>
      <c r="X43" s="360">
        <v>0</v>
      </c>
      <c r="Y43" s="360">
        <v>0</v>
      </c>
      <c r="Z43" s="360">
        <v>0</v>
      </c>
      <c r="AA43" s="360">
        <v>0</v>
      </c>
      <c r="AB43" s="360">
        <v>0</v>
      </c>
      <c r="AC43" s="360">
        <v>0</v>
      </c>
      <c r="AD43" s="360">
        <v>0</v>
      </c>
      <c r="AE43" s="360">
        <v>45482</v>
      </c>
      <c r="AF43" s="360">
        <v>0</v>
      </c>
      <c r="AG43" s="360">
        <v>0</v>
      </c>
      <c r="AH43" s="360">
        <v>42589</v>
      </c>
      <c r="AI43" s="360">
        <v>0</v>
      </c>
      <c r="AJ43" s="360">
        <v>0</v>
      </c>
      <c r="AK43" s="360">
        <v>0</v>
      </c>
      <c r="AL43" s="360">
        <v>0</v>
      </c>
      <c r="AM43" s="360">
        <v>22400</v>
      </c>
      <c r="AN43" s="360">
        <v>0</v>
      </c>
    </row>
    <row r="44" spans="3:40" x14ac:dyDescent="0.3">
      <c r="C44" s="360">
        <v>59</v>
      </c>
      <c r="D44" s="360">
        <v>5</v>
      </c>
      <c r="E44" s="360">
        <v>9</v>
      </c>
      <c r="F44" s="360">
        <v>19576</v>
      </c>
      <c r="G44" s="360">
        <v>0</v>
      </c>
      <c r="H44" s="360">
        <v>0</v>
      </c>
      <c r="I44" s="360">
        <v>0</v>
      </c>
      <c r="J44" s="360">
        <v>0</v>
      </c>
      <c r="K44" s="360">
        <v>19576</v>
      </c>
      <c r="L44" s="360">
        <v>0</v>
      </c>
      <c r="M44" s="360">
        <v>0</v>
      </c>
      <c r="N44" s="360">
        <v>0</v>
      </c>
      <c r="O44" s="360">
        <v>0</v>
      </c>
      <c r="P44" s="360">
        <v>0</v>
      </c>
      <c r="Q44" s="360">
        <v>0</v>
      </c>
      <c r="R44" s="360">
        <v>0</v>
      </c>
      <c r="S44" s="360">
        <v>0</v>
      </c>
      <c r="T44" s="360">
        <v>0</v>
      </c>
      <c r="U44" s="360">
        <v>0</v>
      </c>
      <c r="V44" s="360">
        <v>0</v>
      </c>
      <c r="W44" s="360">
        <v>0</v>
      </c>
      <c r="X44" s="360">
        <v>0</v>
      </c>
      <c r="Y44" s="360">
        <v>0</v>
      </c>
      <c r="Z44" s="360">
        <v>0</v>
      </c>
      <c r="AA44" s="360">
        <v>0</v>
      </c>
      <c r="AB44" s="360">
        <v>0</v>
      </c>
      <c r="AC44" s="360">
        <v>0</v>
      </c>
      <c r="AD44" s="360">
        <v>0</v>
      </c>
      <c r="AE44" s="360">
        <v>0</v>
      </c>
      <c r="AF44" s="360">
        <v>0</v>
      </c>
      <c r="AG44" s="360">
        <v>0</v>
      </c>
      <c r="AH44" s="360">
        <v>0</v>
      </c>
      <c r="AI44" s="360">
        <v>0</v>
      </c>
      <c r="AJ44" s="360">
        <v>0</v>
      </c>
      <c r="AK44" s="360">
        <v>0</v>
      </c>
      <c r="AL44" s="360">
        <v>0</v>
      </c>
      <c r="AM44" s="360">
        <v>0</v>
      </c>
      <c r="AN44" s="360">
        <v>0</v>
      </c>
    </row>
    <row r="45" spans="3:40" x14ac:dyDescent="0.3">
      <c r="C45" s="360">
        <v>59</v>
      </c>
      <c r="D45" s="360">
        <v>5</v>
      </c>
      <c r="E45" s="360">
        <v>10</v>
      </c>
      <c r="F45" s="360">
        <v>500</v>
      </c>
      <c r="G45" s="360">
        <v>0</v>
      </c>
      <c r="H45" s="360">
        <v>0</v>
      </c>
      <c r="I45" s="360">
        <v>0</v>
      </c>
      <c r="J45" s="360">
        <v>0</v>
      </c>
      <c r="K45" s="360">
        <v>500</v>
      </c>
      <c r="L45" s="360">
        <v>0</v>
      </c>
      <c r="M45" s="360">
        <v>0</v>
      </c>
      <c r="N45" s="360">
        <v>0</v>
      </c>
      <c r="O45" s="360">
        <v>0</v>
      </c>
      <c r="P45" s="360">
        <v>0</v>
      </c>
      <c r="Q45" s="360">
        <v>0</v>
      </c>
      <c r="R45" s="360">
        <v>0</v>
      </c>
      <c r="S45" s="360">
        <v>0</v>
      </c>
      <c r="T45" s="360">
        <v>0</v>
      </c>
      <c r="U45" s="360">
        <v>0</v>
      </c>
      <c r="V45" s="360">
        <v>0</v>
      </c>
      <c r="W45" s="360">
        <v>0</v>
      </c>
      <c r="X45" s="360">
        <v>0</v>
      </c>
      <c r="Y45" s="360">
        <v>0</v>
      </c>
      <c r="Z45" s="360">
        <v>0</v>
      </c>
      <c r="AA45" s="360">
        <v>0</v>
      </c>
      <c r="AB45" s="360">
        <v>0</v>
      </c>
      <c r="AC45" s="360">
        <v>0</v>
      </c>
      <c r="AD45" s="360">
        <v>0</v>
      </c>
      <c r="AE45" s="360">
        <v>0</v>
      </c>
      <c r="AF45" s="360">
        <v>0</v>
      </c>
      <c r="AG45" s="360">
        <v>0</v>
      </c>
      <c r="AH45" s="360">
        <v>0</v>
      </c>
      <c r="AI45" s="360">
        <v>0</v>
      </c>
      <c r="AJ45" s="360">
        <v>0</v>
      </c>
      <c r="AK45" s="360">
        <v>0</v>
      </c>
      <c r="AL45" s="360">
        <v>0</v>
      </c>
      <c r="AM45" s="360">
        <v>0</v>
      </c>
      <c r="AN45" s="360">
        <v>0</v>
      </c>
    </row>
    <row r="46" spans="3:40" x14ac:dyDescent="0.3">
      <c r="C46" s="360">
        <v>59</v>
      </c>
      <c r="D46" s="360">
        <v>5</v>
      </c>
      <c r="E46" s="360">
        <v>11</v>
      </c>
      <c r="F46" s="360">
        <v>3488.916666666667</v>
      </c>
      <c r="G46" s="360">
        <v>0</v>
      </c>
      <c r="H46" s="360">
        <v>2655.5833333333335</v>
      </c>
      <c r="I46" s="360">
        <v>0</v>
      </c>
      <c r="J46" s="360">
        <v>0</v>
      </c>
      <c r="K46" s="360">
        <v>833.33333333333337</v>
      </c>
      <c r="L46" s="360">
        <v>0</v>
      </c>
      <c r="M46" s="360">
        <v>0</v>
      </c>
      <c r="N46" s="360">
        <v>0</v>
      </c>
      <c r="O46" s="360">
        <v>0</v>
      </c>
      <c r="P46" s="360">
        <v>0</v>
      </c>
      <c r="Q46" s="360">
        <v>0</v>
      </c>
      <c r="R46" s="360">
        <v>0</v>
      </c>
      <c r="S46" s="360">
        <v>0</v>
      </c>
      <c r="T46" s="360">
        <v>0</v>
      </c>
      <c r="U46" s="360">
        <v>0</v>
      </c>
      <c r="V46" s="360">
        <v>0</v>
      </c>
      <c r="W46" s="360">
        <v>0</v>
      </c>
      <c r="X46" s="360">
        <v>0</v>
      </c>
      <c r="Y46" s="360">
        <v>0</v>
      </c>
      <c r="Z46" s="360">
        <v>0</v>
      </c>
      <c r="AA46" s="360">
        <v>0</v>
      </c>
      <c r="AB46" s="360">
        <v>0</v>
      </c>
      <c r="AC46" s="360">
        <v>0</v>
      </c>
      <c r="AD46" s="360">
        <v>0</v>
      </c>
      <c r="AE46" s="360">
        <v>0</v>
      </c>
      <c r="AF46" s="360">
        <v>0</v>
      </c>
      <c r="AG46" s="360">
        <v>0</v>
      </c>
      <c r="AH46" s="360">
        <v>0</v>
      </c>
      <c r="AI46" s="360">
        <v>0</v>
      </c>
      <c r="AJ46" s="360">
        <v>0</v>
      </c>
      <c r="AK46" s="360">
        <v>0</v>
      </c>
      <c r="AL46" s="360">
        <v>0</v>
      </c>
      <c r="AM46" s="360">
        <v>0</v>
      </c>
      <c r="AN46" s="36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41" bestFit="1" customWidth="1"/>
    <col min="2" max="2" width="7.77734375" style="206" customWidth="1"/>
    <col min="3" max="3" width="0.109375" style="241" hidden="1" customWidth="1"/>
    <col min="4" max="4" width="7.77734375" style="206" customWidth="1"/>
    <col min="5" max="5" width="5.44140625" style="241" hidden="1" customWidth="1"/>
    <col min="6" max="6" width="7.77734375" style="206" customWidth="1"/>
    <col min="7" max="7" width="7.77734375" style="325" customWidth="1"/>
    <col min="8" max="8" width="7.77734375" style="206" customWidth="1"/>
    <col min="9" max="9" width="5.44140625" style="241" hidden="1" customWidth="1"/>
    <col min="10" max="10" width="7.77734375" style="206" customWidth="1"/>
    <col min="11" max="11" width="5.44140625" style="241" hidden="1" customWidth="1"/>
    <col min="12" max="12" width="7.77734375" style="206" customWidth="1"/>
    <col min="13" max="13" width="7.77734375" style="325" customWidth="1"/>
    <col min="14" max="14" width="7.77734375" style="206" customWidth="1"/>
    <col min="15" max="15" width="5" style="241" hidden="1" customWidth="1"/>
    <col min="16" max="16" width="7.77734375" style="206" customWidth="1"/>
    <col min="17" max="17" width="5" style="241" hidden="1" customWidth="1"/>
    <col min="18" max="18" width="7.77734375" style="206" customWidth="1"/>
    <col min="19" max="19" width="7.77734375" style="325" customWidth="1"/>
    <col min="20" max="16384" width="8.88671875" style="241"/>
  </cols>
  <sheetData>
    <row r="1" spans="1:19" ht="18.600000000000001" customHeight="1" thickBot="1" x14ac:dyDescent="0.4">
      <c r="A1" s="445" t="s">
        <v>140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</row>
    <row r="2" spans="1:19" ht="14.4" customHeight="1" thickBot="1" x14ac:dyDescent="0.35">
      <c r="A2" s="364" t="s">
        <v>294</v>
      </c>
      <c r="B2" s="337"/>
      <c r="C2" s="211"/>
      <c r="D2" s="337"/>
      <c r="E2" s="211"/>
      <c r="F2" s="337"/>
      <c r="G2" s="338"/>
      <c r="H2" s="337"/>
      <c r="I2" s="211"/>
      <c r="J2" s="337"/>
      <c r="K2" s="211"/>
      <c r="L2" s="337"/>
      <c r="M2" s="338"/>
      <c r="N2" s="337"/>
      <c r="O2" s="211"/>
      <c r="P2" s="337"/>
      <c r="Q2" s="211"/>
      <c r="R2" s="337"/>
      <c r="S2" s="338"/>
    </row>
    <row r="3" spans="1:19" ht="14.4" customHeight="1" thickBot="1" x14ac:dyDescent="0.35">
      <c r="A3" s="331" t="s">
        <v>142</v>
      </c>
      <c r="B3" s="332">
        <f>SUBTOTAL(9,B6:B1048576)</f>
        <v>18254498</v>
      </c>
      <c r="C3" s="333">
        <f t="shared" ref="C3:R3" si="0">SUBTOTAL(9,C6:C1048576)</f>
        <v>1</v>
      </c>
      <c r="D3" s="333">
        <f t="shared" si="0"/>
        <v>19402695</v>
      </c>
      <c r="E3" s="333">
        <f t="shared" si="0"/>
        <v>1.0628994015611932</v>
      </c>
      <c r="F3" s="333">
        <f t="shared" si="0"/>
        <v>18020036</v>
      </c>
      <c r="G3" s="336">
        <f>IF(B3&lt;&gt;0,F3/B3,"")</f>
        <v>0.98715593274600044</v>
      </c>
      <c r="H3" s="332">
        <f t="shared" si="0"/>
        <v>2076087.2699999996</v>
      </c>
      <c r="I3" s="333">
        <f t="shared" si="0"/>
        <v>1</v>
      </c>
      <c r="J3" s="333">
        <f t="shared" si="0"/>
        <v>2564594.9699999983</v>
      </c>
      <c r="K3" s="333">
        <f t="shared" si="0"/>
        <v>1.2353021026905091</v>
      </c>
      <c r="L3" s="333">
        <f t="shared" si="0"/>
        <v>2764400.6500000004</v>
      </c>
      <c r="M3" s="334">
        <f>IF(H3&lt;&gt;0,L3/H3,"")</f>
        <v>1.3315435675302807</v>
      </c>
      <c r="N3" s="335">
        <f t="shared" si="0"/>
        <v>0</v>
      </c>
      <c r="O3" s="333">
        <f t="shared" si="0"/>
        <v>0</v>
      </c>
      <c r="P3" s="333">
        <f t="shared" si="0"/>
        <v>0</v>
      </c>
      <c r="Q3" s="333">
        <f t="shared" si="0"/>
        <v>0</v>
      </c>
      <c r="R3" s="333">
        <f t="shared" si="0"/>
        <v>0</v>
      </c>
      <c r="S3" s="334" t="str">
        <f>IF(N3&lt;&gt;0,R3/N3,"")</f>
        <v/>
      </c>
    </row>
    <row r="4" spans="1:19" ht="14.4" customHeight="1" x14ac:dyDescent="0.3">
      <c r="A4" s="488" t="s">
        <v>116</v>
      </c>
      <c r="B4" s="489" t="s">
        <v>110</v>
      </c>
      <c r="C4" s="490"/>
      <c r="D4" s="490"/>
      <c r="E4" s="490"/>
      <c r="F4" s="490"/>
      <c r="G4" s="491"/>
      <c r="H4" s="489" t="s">
        <v>111</v>
      </c>
      <c r="I4" s="490"/>
      <c r="J4" s="490"/>
      <c r="K4" s="490"/>
      <c r="L4" s="490"/>
      <c r="M4" s="491"/>
      <c r="N4" s="489" t="s">
        <v>112</v>
      </c>
      <c r="O4" s="490"/>
      <c r="P4" s="490"/>
      <c r="Q4" s="490"/>
      <c r="R4" s="490"/>
      <c r="S4" s="491"/>
    </row>
    <row r="5" spans="1:19" ht="14.4" customHeight="1" thickBot="1" x14ac:dyDescent="0.35">
      <c r="A5" s="655"/>
      <c r="B5" s="656">
        <v>2012</v>
      </c>
      <c r="C5" s="657"/>
      <c r="D5" s="657">
        <v>2013</v>
      </c>
      <c r="E5" s="657"/>
      <c r="F5" s="657">
        <v>2014</v>
      </c>
      <c r="G5" s="658" t="s">
        <v>2</v>
      </c>
      <c r="H5" s="656">
        <v>2012</v>
      </c>
      <c r="I5" s="657"/>
      <c r="J5" s="657">
        <v>2013</v>
      </c>
      <c r="K5" s="657"/>
      <c r="L5" s="657">
        <v>2014</v>
      </c>
      <c r="M5" s="658" t="s">
        <v>2</v>
      </c>
      <c r="N5" s="656">
        <v>2012</v>
      </c>
      <c r="O5" s="657"/>
      <c r="P5" s="657">
        <v>2013</v>
      </c>
      <c r="Q5" s="657"/>
      <c r="R5" s="657">
        <v>2014</v>
      </c>
      <c r="S5" s="658" t="s">
        <v>2</v>
      </c>
    </row>
    <row r="6" spans="1:19" ht="14.4" customHeight="1" thickBot="1" x14ac:dyDescent="0.35">
      <c r="A6" s="662" t="s">
        <v>2293</v>
      </c>
      <c r="B6" s="659">
        <v>18254498</v>
      </c>
      <c r="C6" s="660">
        <v>1</v>
      </c>
      <c r="D6" s="659">
        <v>19402695</v>
      </c>
      <c r="E6" s="660">
        <v>1.0628994015611932</v>
      </c>
      <c r="F6" s="659">
        <v>18020036</v>
      </c>
      <c r="G6" s="609">
        <v>0.98715593274600044</v>
      </c>
      <c r="H6" s="659">
        <v>2076087.2699999996</v>
      </c>
      <c r="I6" s="660">
        <v>1</v>
      </c>
      <c r="J6" s="659">
        <v>2564594.9699999983</v>
      </c>
      <c r="K6" s="660">
        <v>1.2353021026905091</v>
      </c>
      <c r="L6" s="659">
        <v>2764400.6500000004</v>
      </c>
      <c r="M6" s="609">
        <v>1.3315435675302807</v>
      </c>
      <c r="N6" s="659"/>
      <c r="O6" s="660"/>
      <c r="P6" s="659"/>
      <c r="Q6" s="660"/>
      <c r="R6" s="659"/>
      <c r="S6" s="6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41" bestFit="1" customWidth="1"/>
    <col min="2" max="2" width="8.6640625" style="241" bestFit="1" customWidth="1"/>
    <col min="3" max="3" width="2.109375" style="241" bestFit="1" customWidth="1"/>
    <col min="4" max="4" width="8" style="241" bestFit="1" customWidth="1"/>
    <col min="5" max="5" width="52.88671875" style="241" bestFit="1" customWidth="1"/>
    <col min="6" max="7" width="11.109375" style="322" customWidth="1"/>
    <col min="8" max="9" width="9.33203125" style="322" hidden="1" customWidth="1"/>
    <col min="10" max="11" width="11.109375" style="322" customWidth="1"/>
    <col min="12" max="13" width="9.33203125" style="322" hidden="1" customWidth="1"/>
    <col min="14" max="15" width="11.109375" style="322" customWidth="1"/>
    <col min="16" max="16" width="11.109375" style="325" customWidth="1"/>
    <col min="17" max="17" width="11.109375" style="322" customWidth="1"/>
    <col min="18" max="16384" width="8.88671875" style="241"/>
  </cols>
  <sheetData>
    <row r="1" spans="1:17" ht="18.600000000000001" customHeight="1" thickBot="1" x14ac:dyDescent="0.4">
      <c r="A1" s="436" t="s">
        <v>2882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7" ht="14.4" customHeight="1" thickBot="1" x14ac:dyDescent="0.35">
      <c r="A2" s="364" t="s">
        <v>294</v>
      </c>
      <c r="B2" s="242"/>
      <c r="C2" s="242"/>
      <c r="D2" s="242"/>
      <c r="E2" s="242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40"/>
      <c r="Q2" s="339"/>
    </row>
    <row r="3" spans="1:17" ht="14.4" customHeight="1" thickBot="1" x14ac:dyDescent="0.35">
      <c r="E3" s="97" t="s">
        <v>142</v>
      </c>
      <c r="F3" s="198">
        <f t="shared" ref="F3:O3" si="0">SUBTOTAL(9,F6:F1048576)</f>
        <v>6532.8899999999994</v>
      </c>
      <c r="G3" s="199">
        <f t="shared" si="0"/>
        <v>20330585.27</v>
      </c>
      <c r="H3" s="199"/>
      <c r="I3" s="199"/>
      <c r="J3" s="199">
        <f t="shared" si="0"/>
        <v>7575.5300000000007</v>
      </c>
      <c r="K3" s="199">
        <f t="shared" si="0"/>
        <v>21967289.969999999</v>
      </c>
      <c r="L3" s="199"/>
      <c r="M3" s="199"/>
      <c r="N3" s="199">
        <f t="shared" si="0"/>
        <v>6374.369999999999</v>
      </c>
      <c r="O3" s="199">
        <f t="shared" si="0"/>
        <v>20784436.649999999</v>
      </c>
      <c r="P3" s="70">
        <f>IF(G3=0,0,O3/G3)</f>
        <v>1.0223235767181629</v>
      </c>
      <c r="Q3" s="200">
        <f>IF(N3=0,0,O3/N3)</f>
        <v>3260.6260148061692</v>
      </c>
    </row>
    <row r="4" spans="1:17" ht="14.4" customHeight="1" x14ac:dyDescent="0.3">
      <c r="A4" s="494" t="s">
        <v>61</v>
      </c>
      <c r="B4" s="493" t="s">
        <v>106</v>
      </c>
      <c r="C4" s="494" t="s">
        <v>107</v>
      </c>
      <c r="D4" s="495" t="s">
        <v>108</v>
      </c>
      <c r="E4" s="496" t="s">
        <v>68</v>
      </c>
      <c r="F4" s="497">
        <v>2012</v>
      </c>
      <c r="G4" s="498"/>
      <c r="H4" s="201"/>
      <c r="I4" s="201"/>
      <c r="J4" s="497">
        <v>2013</v>
      </c>
      <c r="K4" s="498"/>
      <c r="L4" s="201"/>
      <c r="M4" s="201"/>
      <c r="N4" s="497">
        <v>2014</v>
      </c>
      <c r="O4" s="498"/>
      <c r="P4" s="499" t="s">
        <v>2</v>
      </c>
      <c r="Q4" s="492" t="s">
        <v>109</v>
      </c>
    </row>
    <row r="5" spans="1:17" ht="14.4" customHeight="1" thickBot="1" x14ac:dyDescent="0.35">
      <c r="A5" s="663"/>
      <c r="B5" s="664"/>
      <c r="C5" s="663"/>
      <c r="D5" s="665"/>
      <c r="E5" s="666"/>
      <c r="F5" s="667" t="s">
        <v>78</v>
      </c>
      <c r="G5" s="668" t="s">
        <v>14</v>
      </c>
      <c r="H5" s="669"/>
      <c r="I5" s="669"/>
      <c r="J5" s="667" t="s">
        <v>78</v>
      </c>
      <c r="K5" s="668" t="s">
        <v>14</v>
      </c>
      <c r="L5" s="669"/>
      <c r="M5" s="669"/>
      <c r="N5" s="667" t="s">
        <v>78</v>
      </c>
      <c r="O5" s="668" t="s">
        <v>14</v>
      </c>
      <c r="P5" s="670"/>
      <c r="Q5" s="671"/>
    </row>
    <row r="6" spans="1:17" ht="14.4" customHeight="1" x14ac:dyDescent="0.3">
      <c r="A6" s="584" t="s">
        <v>485</v>
      </c>
      <c r="B6" s="585" t="s">
        <v>2294</v>
      </c>
      <c r="C6" s="585" t="s">
        <v>2295</v>
      </c>
      <c r="D6" s="585" t="s">
        <v>2296</v>
      </c>
      <c r="E6" s="585" t="s">
        <v>2297</v>
      </c>
      <c r="F6" s="588"/>
      <c r="G6" s="588"/>
      <c r="H6" s="588"/>
      <c r="I6" s="588"/>
      <c r="J6" s="588"/>
      <c r="K6" s="588"/>
      <c r="L6" s="588"/>
      <c r="M6" s="588"/>
      <c r="N6" s="588">
        <v>1</v>
      </c>
      <c r="O6" s="588">
        <v>611</v>
      </c>
      <c r="P6" s="607"/>
      <c r="Q6" s="589">
        <v>611</v>
      </c>
    </row>
    <row r="7" spans="1:17" ht="14.4" customHeight="1" x14ac:dyDescent="0.3">
      <c r="A7" s="590" t="s">
        <v>485</v>
      </c>
      <c r="B7" s="591" t="s">
        <v>2294</v>
      </c>
      <c r="C7" s="591" t="s">
        <v>2295</v>
      </c>
      <c r="D7" s="591" t="s">
        <v>2298</v>
      </c>
      <c r="E7" s="591" t="s">
        <v>2299</v>
      </c>
      <c r="F7" s="594"/>
      <c r="G7" s="594"/>
      <c r="H7" s="594"/>
      <c r="I7" s="594"/>
      <c r="J7" s="594"/>
      <c r="K7" s="594"/>
      <c r="L7" s="594"/>
      <c r="M7" s="594"/>
      <c r="N7" s="594">
        <v>1</v>
      </c>
      <c r="O7" s="594">
        <v>39</v>
      </c>
      <c r="P7" s="616"/>
      <c r="Q7" s="595">
        <v>39</v>
      </c>
    </row>
    <row r="8" spans="1:17" ht="14.4" customHeight="1" x14ac:dyDescent="0.3">
      <c r="A8" s="590" t="s">
        <v>485</v>
      </c>
      <c r="B8" s="591" t="s">
        <v>2294</v>
      </c>
      <c r="C8" s="591" t="s">
        <v>2295</v>
      </c>
      <c r="D8" s="591" t="s">
        <v>2300</v>
      </c>
      <c r="E8" s="591" t="s">
        <v>2301</v>
      </c>
      <c r="F8" s="594"/>
      <c r="G8" s="594"/>
      <c r="H8" s="594"/>
      <c r="I8" s="594"/>
      <c r="J8" s="594"/>
      <c r="K8" s="594"/>
      <c r="L8" s="594"/>
      <c r="M8" s="594"/>
      <c r="N8" s="594">
        <v>1</v>
      </c>
      <c r="O8" s="594">
        <v>689</v>
      </c>
      <c r="P8" s="616"/>
      <c r="Q8" s="595">
        <v>689</v>
      </c>
    </row>
    <row r="9" spans="1:17" ht="14.4" customHeight="1" x14ac:dyDescent="0.3">
      <c r="A9" s="590" t="s">
        <v>485</v>
      </c>
      <c r="B9" s="591" t="s">
        <v>2302</v>
      </c>
      <c r="C9" s="591" t="s">
        <v>2295</v>
      </c>
      <c r="D9" s="591" t="s">
        <v>2303</v>
      </c>
      <c r="E9" s="591" t="s">
        <v>2304</v>
      </c>
      <c r="F9" s="594">
        <v>3</v>
      </c>
      <c r="G9" s="594">
        <v>8013</v>
      </c>
      <c r="H9" s="594">
        <v>1</v>
      </c>
      <c r="I9" s="594">
        <v>2671</v>
      </c>
      <c r="J9" s="594">
        <v>11</v>
      </c>
      <c r="K9" s="594">
        <v>29458</v>
      </c>
      <c r="L9" s="594">
        <v>3.6762760514164481</v>
      </c>
      <c r="M9" s="594">
        <v>2678</v>
      </c>
      <c r="N9" s="594">
        <v>9</v>
      </c>
      <c r="O9" s="594">
        <v>24172</v>
      </c>
      <c r="P9" s="616">
        <v>3.0165980282041684</v>
      </c>
      <c r="Q9" s="595">
        <v>2685.7777777777778</v>
      </c>
    </row>
    <row r="10" spans="1:17" ht="14.4" customHeight="1" x14ac:dyDescent="0.3">
      <c r="A10" s="590" t="s">
        <v>485</v>
      </c>
      <c r="B10" s="591" t="s">
        <v>2302</v>
      </c>
      <c r="C10" s="591" t="s">
        <v>2295</v>
      </c>
      <c r="D10" s="591" t="s">
        <v>2305</v>
      </c>
      <c r="E10" s="591" t="s">
        <v>2306</v>
      </c>
      <c r="F10" s="594"/>
      <c r="G10" s="594"/>
      <c r="H10" s="594"/>
      <c r="I10" s="594"/>
      <c r="J10" s="594">
        <v>1</v>
      </c>
      <c r="K10" s="594">
        <v>5940</v>
      </c>
      <c r="L10" s="594"/>
      <c r="M10" s="594">
        <v>5940</v>
      </c>
      <c r="N10" s="594">
        <v>2</v>
      </c>
      <c r="O10" s="594">
        <v>11948</v>
      </c>
      <c r="P10" s="616"/>
      <c r="Q10" s="595">
        <v>5974</v>
      </c>
    </row>
    <row r="11" spans="1:17" ht="14.4" customHeight="1" x14ac:dyDescent="0.3">
      <c r="A11" s="590" t="s">
        <v>485</v>
      </c>
      <c r="B11" s="591" t="s">
        <v>2302</v>
      </c>
      <c r="C11" s="591" t="s">
        <v>2295</v>
      </c>
      <c r="D11" s="591" t="s">
        <v>2307</v>
      </c>
      <c r="E11" s="591" t="s">
        <v>2308</v>
      </c>
      <c r="F11" s="594"/>
      <c r="G11" s="594"/>
      <c r="H11" s="594"/>
      <c r="I11" s="594"/>
      <c r="J11" s="594">
        <v>1</v>
      </c>
      <c r="K11" s="594">
        <v>3171</v>
      </c>
      <c r="L11" s="594"/>
      <c r="M11" s="594">
        <v>3171</v>
      </c>
      <c r="N11" s="594"/>
      <c r="O11" s="594"/>
      <c r="P11" s="616"/>
      <c r="Q11" s="595"/>
    </row>
    <row r="12" spans="1:17" ht="14.4" customHeight="1" x14ac:dyDescent="0.3">
      <c r="A12" s="590" t="s">
        <v>485</v>
      </c>
      <c r="B12" s="591" t="s">
        <v>2302</v>
      </c>
      <c r="C12" s="591" t="s">
        <v>2295</v>
      </c>
      <c r="D12" s="591" t="s">
        <v>529</v>
      </c>
      <c r="E12" s="591" t="s">
        <v>2309</v>
      </c>
      <c r="F12" s="594">
        <v>2</v>
      </c>
      <c r="G12" s="594">
        <v>4726</v>
      </c>
      <c r="H12" s="594">
        <v>1</v>
      </c>
      <c r="I12" s="594">
        <v>2363</v>
      </c>
      <c r="J12" s="594"/>
      <c r="K12" s="594"/>
      <c r="L12" s="594"/>
      <c r="M12" s="594"/>
      <c r="N12" s="594">
        <v>3</v>
      </c>
      <c r="O12" s="594">
        <v>7110</v>
      </c>
      <c r="P12" s="616">
        <v>1.5044435040203132</v>
      </c>
      <c r="Q12" s="595">
        <v>2370</v>
      </c>
    </row>
    <row r="13" spans="1:17" ht="14.4" customHeight="1" x14ac:dyDescent="0.3">
      <c r="A13" s="590" t="s">
        <v>485</v>
      </c>
      <c r="B13" s="591" t="s">
        <v>2302</v>
      </c>
      <c r="C13" s="591" t="s">
        <v>2295</v>
      </c>
      <c r="D13" s="591" t="s">
        <v>2310</v>
      </c>
      <c r="E13" s="591" t="s">
        <v>2311</v>
      </c>
      <c r="F13" s="594"/>
      <c r="G13" s="594"/>
      <c r="H13" s="594"/>
      <c r="I13" s="594"/>
      <c r="J13" s="594"/>
      <c r="K13" s="594"/>
      <c r="L13" s="594"/>
      <c r="M13" s="594"/>
      <c r="N13" s="594">
        <v>1</v>
      </c>
      <c r="O13" s="594">
        <v>3340</v>
      </c>
      <c r="P13" s="616"/>
      <c r="Q13" s="595">
        <v>3340</v>
      </c>
    </row>
    <row r="14" spans="1:17" ht="14.4" customHeight="1" x14ac:dyDescent="0.3">
      <c r="A14" s="590" t="s">
        <v>485</v>
      </c>
      <c r="B14" s="591" t="s">
        <v>2302</v>
      </c>
      <c r="C14" s="591" t="s">
        <v>2295</v>
      </c>
      <c r="D14" s="591" t="s">
        <v>2312</v>
      </c>
      <c r="E14" s="591" t="s">
        <v>2313</v>
      </c>
      <c r="F14" s="594"/>
      <c r="G14" s="594"/>
      <c r="H14" s="594"/>
      <c r="I14" s="594"/>
      <c r="J14" s="594"/>
      <c r="K14" s="594"/>
      <c r="L14" s="594"/>
      <c r="M14" s="594"/>
      <c r="N14" s="594">
        <v>1</v>
      </c>
      <c r="O14" s="594">
        <v>4218</v>
      </c>
      <c r="P14" s="616"/>
      <c r="Q14" s="595">
        <v>4218</v>
      </c>
    </row>
    <row r="15" spans="1:17" ht="14.4" customHeight="1" x14ac:dyDescent="0.3">
      <c r="A15" s="590" t="s">
        <v>485</v>
      </c>
      <c r="B15" s="591" t="s">
        <v>2302</v>
      </c>
      <c r="C15" s="591" t="s">
        <v>2295</v>
      </c>
      <c r="D15" s="591" t="s">
        <v>2314</v>
      </c>
      <c r="E15" s="591" t="s">
        <v>2315</v>
      </c>
      <c r="F15" s="594">
        <v>7</v>
      </c>
      <c r="G15" s="594">
        <v>14322</v>
      </c>
      <c r="H15" s="594">
        <v>1</v>
      </c>
      <c r="I15" s="594">
        <v>2046</v>
      </c>
      <c r="J15" s="594">
        <v>14</v>
      </c>
      <c r="K15" s="594">
        <v>28742</v>
      </c>
      <c r="L15" s="594">
        <v>2.0068426197458455</v>
      </c>
      <c r="M15" s="594">
        <v>2053</v>
      </c>
      <c r="N15" s="594">
        <v>4</v>
      </c>
      <c r="O15" s="594">
        <v>8254</v>
      </c>
      <c r="P15" s="616">
        <v>0.57631615696131822</v>
      </c>
      <c r="Q15" s="595">
        <v>2063.5</v>
      </c>
    </row>
    <row r="16" spans="1:17" ht="14.4" customHeight="1" x14ac:dyDescent="0.3">
      <c r="A16" s="590" t="s">
        <v>485</v>
      </c>
      <c r="B16" s="591" t="s">
        <v>2302</v>
      </c>
      <c r="C16" s="591" t="s">
        <v>2295</v>
      </c>
      <c r="D16" s="591" t="s">
        <v>2316</v>
      </c>
      <c r="E16" s="591" t="s">
        <v>2317</v>
      </c>
      <c r="F16" s="594"/>
      <c r="G16" s="594"/>
      <c r="H16" s="594"/>
      <c r="I16" s="594"/>
      <c r="J16" s="594"/>
      <c r="K16" s="594"/>
      <c r="L16" s="594"/>
      <c r="M16" s="594"/>
      <c r="N16" s="594">
        <v>1</v>
      </c>
      <c r="O16" s="594">
        <v>1617</v>
      </c>
      <c r="P16" s="616"/>
      <c r="Q16" s="595">
        <v>1617</v>
      </c>
    </row>
    <row r="17" spans="1:17" ht="14.4" customHeight="1" x14ac:dyDescent="0.3">
      <c r="A17" s="590" t="s">
        <v>485</v>
      </c>
      <c r="B17" s="591" t="s">
        <v>2302</v>
      </c>
      <c r="C17" s="591" t="s">
        <v>2295</v>
      </c>
      <c r="D17" s="591" t="s">
        <v>2318</v>
      </c>
      <c r="E17" s="591" t="s">
        <v>2319</v>
      </c>
      <c r="F17" s="594">
        <v>1</v>
      </c>
      <c r="G17" s="594">
        <v>2215</v>
      </c>
      <c r="H17" s="594">
        <v>1</v>
      </c>
      <c r="I17" s="594">
        <v>2215</v>
      </c>
      <c r="J17" s="594">
        <v>3</v>
      </c>
      <c r="K17" s="594">
        <v>6666</v>
      </c>
      <c r="L17" s="594">
        <v>3.0094808126410837</v>
      </c>
      <c r="M17" s="594">
        <v>2222</v>
      </c>
      <c r="N17" s="594"/>
      <c r="O17" s="594"/>
      <c r="P17" s="616"/>
      <c r="Q17" s="595"/>
    </row>
    <row r="18" spans="1:17" ht="14.4" customHeight="1" x14ac:dyDescent="0.3">
      <c r="A18" s="590" t="s">
        <v>485</v>
      </c>
      <c r="B18" s="591" t="s">
        <v>2302</v>
      </c>
      <c r="C18" s="591" t="s">
        <v>2295</v>
      </c>
      <c r="D18" s="591" t="s">
        <v>2320</v>
      </c>
      <c r="E18" s="591" t="s">
        <v>2321</v>
      </c>
      <c r="F18" s="594"/>
      <c r="G18" s="594"/>
      <c r="H18" s="594"/>
      <c r="I18" s="594"/>
      <c r="J18" s="594">
        <v>2</v>
      </c>
      <c r="K18" s="594">
        <v>5354</v>
      </c>
      <c r="L18" s="594"/>
      <c r="M18" s="594">
        <v>2677</v>
      </c>
      <c r="N18" s="594">
        <v>1</v>
      </c>
      <c r="O18" s="594">
        <v>2677</v>
      </c>
      <c r="P18" s="616"/>
      <c r="Q18" s="595">
        <v>2677</v>
      </c>
    </row>
    <row r="19" spans="1:17" ht="14.4" customHeight="1" x14ac:dyDescent="0.3">
      <c r="A19" s="590" t="s">
        <v>485</v>
      </c>
      <c r="B19" s="591" t="s">
        <v>2302</v>
      </c>
      <c r="C19" s="591" t="s">
        <v>2295</v>
      </c>
      <c r="D19" s="591" t="s">
        <v>2322</v>
      </c>
      <c r="E19" s="591" t="s">
        <v>2323</v>
      </c>
      <c r="F19" s="594">
        <v>2</v>
      </c>
      <c r="G19" s="594">
        <v>10296</v>
      </c>
      <c r="H19" s="594">
        <v>1</v>
      </c>
      <c r="I19" s="594">
        <v>5148</v>
      </c>
      <c r="J19" s="594"/>
      <c r="K19" s="594"/>
      <c r="L19" s="594"/>
      <c r="M19" s="594"/>
      <c r="N19" s="594">
        <v>3</v>
      </c>
      <c r="O19" s="594">
        <v>15444</v>
      </c>
      <c r="P19" s="616">
        <v>1.5</v>
      </c>
      <c r="Q19" s="595">
        <v>5148</v>
      </c>
    </row>
    <row r="20" spans="1:17" ht="14.4" customHeight="1" x14ac:dyDescent="0.3">
      <c r="A20" s="590" t="s">
        <v>485</v>
      </c>
      <c r="B20" s="591" t="s">
        <v>2302</v>
      </c>
      <c r="C20" s="591" t="s">
        <v>2295</v>
      </c>
      <c r="D20" s="591" t="s">
        <v>2324</v>
      </c>
      <c r="E20" s="591" t="s">
        <v>2325</v>
      </c>
      <c r="F20" s="594"/>
      <c r="G20" s="594"/>
      <c r="H20" s="594"/>
      <c r="I20" s="594"/>
      <c r="J20" s="594"/>
      <c r="K20" s="594"/>
      <c r="L20" s="594"/>
      <c r="M20" s="594"/>
      <c r="N20" s="594">
        <v>1</v>
      </c>
      <c r="O20" s="594">
        <v>4898</v>
      </c>
      <c r="P20" s="616"/>
      <c r="Q20" s="595">
        <v>4898</v>
      </c>
    </row>
    <row r="21" spans="1:17" ht="14.4" customHeight="1" x14ac:dyDescent="0.3">
      <c r="A21" s="590" t="s">
        <v>485</v>
      </c>
      <c r="B21" s="591" t="s">
        <v>2302</v>
      </c>
      <c r="C21" s="591" t="s">
        <v>2295</v>
      </c>
      <c r="D21" s="591" t="s">
        <v>2326</v>
      </c>
      <c r="E21" s="591" t="s">
        <v>2327</v>
      </c>
      <c r="F21" s="594"/>
      <c r="G21" s="594"/>
      <c r="H21" s="594"/>
      <c r="I21" s="594"/>
      <c r="J21" s="594">
        <v>2</v>
      </c>
      <c r="K21" s="594">
        <v>1362</v>
      </c>
      <c r="L21" s="594"/>
      <c r="M21" s="594">
        <v>681</v>
      </c>
      <c r="N21" s="594"/>
      <c r="O21" s="594"/>
      <c r="P21" s="616"/>
      <c r="Q21" s="595"/>
    </row>
    <row r="22" spans="1:17" ht="14.4" customHeight="1" x14ac:dyDescent="0.3">
      <c r="A22" s="590" t="s">
        <v>485</v>
      </c>
      <c r="B22" s="591" t="s">
        <v>2302</v>
      </c>
      <c r="C22" s="591" t="s">
        <v>2295</v>
      </c>
      <c r="D22" s="591" t="s">
        <v>2328</v>
      </c>
      <c r="E22" s="591" t="s">
        <v>2329</v>
      </c>
      <c r="F22" s="594">
        <v>1</v>
      </c>
      <c r="G22" s="594">
        <v>3506</v>
      </c>
      <c r="H22" s="594">
        <v>1</v>
      </c>
      <c r="I22" s="594">
        <v>3506</v>
      </c>
      <c r="J22" s="594"/>
      <c r="K22" s="594"/>
      <c r="L22" s="594"/>
      <c r="M22" s="594"/>
      <c r="N22" s="594"/>
      <c r="O22" s="594"/>
      <c r="P22" s="616"/>
      <c r="Q22" s="595"/>
    </row>
    <row r="23" spans="1:17" ht="14.4" customHeight="1" x14ac:dyDescent="0.3">
      <c r="A23" s="590" t="s">
        <v>485</v>
      </c>
      <c r="B23" s="591" t="s">
        <v>2302</v>
      </c>
      <c r="C23" s="591" t="s">
        <v>2295</v>
      </c>
      <c r="D23" s="591" t="s">
        <v>2330</v>
      </c>
      <c r="E23" s="591" t="s">
        <v>2331</v>
      </c>
      <c r="F23" s="594"/>
      <c r="G23" s="594"/>
      <c r="H23" s="594"/>
      <c r="I23" s="594"/>
      <c r="J23" s="594">
        <v>1</v>
      </c>
      <c r="K23" s="594">
        <v>8930</v>
      </c>
      <c r="L23" s="594"/>
      <c r="M23" s="594">
        <v>8930</v>
      </c>
      <c r="N23" s="594"/>
      <c r="O23" s="594"/>
      <c r="P23" s="616"/>
      <c r="Q23" s="595"/>
    </row>
    <row r="24" spans="1:17" ht="14.4" customHeight="1" x14ac:dyDescent="0.3">
      <c r="A24" s="590" t="s">
        <v>485</v>
      </c>
      <c r="B24" s="591" t="s">
        <v>2302</v>
      </c>
      <c r="C24" s="591" t="s">
        <v>2295</v>
      </c>
      <c r="D24" s="591" t="s">
        <v>2332</v>
      </c>
      <c r="E24" s="591" t="s">
        <v>2333</v>
      </c>
      <c r="F24" s="594">
        <v>1</v>
      </c>
      <c r="G24" s="594">
        <v>4738</v>
      </c>
      <c r="H24" s="594">
        <v>1</v>
      </c>
      <c r="I24" s="594">
        <v>4738</v>
      </c>
      <c r="J24" s="594"/>
      <c r="K24" s="594"/>
      <c r="L24" s="594"/>
      <c r="M24" s="594"/>
      <c r="N24" s="594"/>
      <c r="O24" s="594"/>
      <c r="P24" s="616"/>
      <c r="Q24" s="595"/>
    </row>
    <row r="25" spans="1:17" ht="14.4" customHeight="1" x14ac:dyDescent="0.3">
      <c r="A25" s="590" t="s">
        <v>485</v>
      </c>
      <c r="B25" s="591" t="s">
        <v>2302</v>
      </c>
      <c r="C25" s="591" t="s">
        <v>2295</v>
      </c>
      <c r="D25" s="591" t="s">
        <v>2334</v>
      </c>
      <c r="E25" s="591" t="s">
        <v>2335</v>
      </c>
      <c r="F25" s="594"/>
      <c r="G25" s="594"/>
      <c r="H25" s="594"/>
      <c r="I25" s="594"/>
      <c r="J25" s="594">
        <v>1</v>
      </c>
      <c r="K25" s="594">
        <v>4236</v>
      </c>
      <c r="L25" s="594"/>
      <c r="M25" s="594">
        <v>4236</v>
      </c>
      <c r="N25" s="594"/>
      <c r="O25" s="594"/>
      <c r="P25" s="616"/>
      <c r="Q25" s="595"/>
    </row>
    <row r="26" spans="1:17" ht="14.4" customHeight="1" x14ac:dyDescent="0.3">
      <c r="A26" s="590" t="s">
        <v>485</v>
      </c>
      <c r="B26" s="591" t="s">
        <v>2302</v>
      </c>
      <c r="C26" s="591" t="s">
        <v>2295</v>
      </c>
      <c r="D26" s="591" t="s">
        <v>2336</v>
      </c>
      <c r="E26" s="591" t="s">
        <v>2337</v>
      </c>
      <c r="F26" s="594"/>
      <c r="G26" s="594"/>
      <c r="H26" s="594"/>
      <c r="I26" s="594"/>
      <c r="J26" s="594">
        <v>1</v>
      </c>
      <c r="K26" s="594">
        <v>659</v>
      </c>
      <c r="L26" s="594"/>
      <c r="M26" s="594">
        <v>659</v>
      </c>
      <c r="N26" s="594"/>
      <c r="O26" s="594"/>
      <c r="P26" s="616"/>
      <c r="Q26" s="595"/>
    </row>
    <row r="27" spans="1:17" ht="14.4" customHeight="1" x14ac:dyDescent="0.3">
      <c r="A27" s="590" t="s">
        <v>485</v>
      </c>
      <c r="B27" s="591" t="s">
        <v>2302</v>
      </c>
      <c r="C27" s="591" t="s">
        <v>2295</v>
      </c>
      <c r="D27" s="591" t="s">
        <v>2338</v>
      </c>
      <c r="E27" s="591" t="s">
        <v>2339</v>
      </c>
      <c r="F27" s="594"/>
      <c r="G27" s="594"/>
      <c r="H27" s="594"/>
      <c r="I27" s="594"/>
      <c r="J27" s="594">
        <v>1</v>
      </c>
      <c r="K27" s="594">
        <v>1354</v>
      </c>
      <c r="L27" s="594"/>
      <c r="M27" s="594">
        <v>1354</v>
      </c>
      <c r="N27" s="594"/>
      <c r="O27" s="594"/>
      <c r="P27" s="616"/>
      <c r="Q27" s="595"/>
    </row>
    <row r="28" spans="1:17" ht="14.4" customHeight="1" x14ac:dyDescent="0.3">
      <c r="A28" s="590" t="s">
        <v>485</v>
      </c>
      <c r="B28" s="591" t="s">
        <v>2302</v>
      </c>
      <c r="C28" s="591" t="s">
        <v>2295</v>
      </c>
      <c r="D28" s="591" t="s">
        <v>2340</v>
      </c>
      <c r="E28" s="591" t="s">
        <v>2341</v>
      </c>
      <c r="F28" s="594">
        <v>6</v>
      </c>
      <c r="G28" s="594">
        <v>4800</v>
      </c>
      <c r="H28" s="594">
        <v>1</v>
      </c>
      <c r="I28" s="594">
        <v>800</v>
      </c>
      <c r="J28" s="594">
        <v>13</v>
      </c>
      <c r="K28" s="594">
        <v>10478</v>
      </c>
      <c r="L28" s="594">
        <v>2.1829166666666668</v>
      </c>
      <c r="M28" s="594">
        <v>806</v>
      </c>
      <c r="N28" s="594">
        <v>8</v>
      </c>
      <c r="O28" s="594">
        <v>6484</v>
      </c>
      <c r="P28" s="616">
        <v>1.3508333333333333</v>
      </c>
      <c r="Q28" s="595">
        <v>810.5</v>
      </c>
    </row>
    <row r="29" spans="1:17" ht="14.4" customHeight="1" x14ac:dyDescent="0.3">
      <c r="A29" s="590" t="s">
        <v>485</v>
      </c>
      <c r="B29" s="591" t="s">
        <v>2302</v>
      </c>
      <c r="C29" s="591" t="s">
        <v>2295</v>
      </c>
      <c r="D29" s="591" t="s">
        <v>2342</v>
      </c>
      <c r="E29" s="591" t="s">
        <v>2343</v>
      </c>
      <c r="F29" s="594"/>
      <c r="G29" s="594"/>
      <c r="H29" s="594"/>
      <c r="I29" s="594"/>
      <c r="J29" s="594"/>
      <c r="K29" s="594"/>
      <c r="L29" s="594"/>
      <c r="M29" s="594"/>
      <c r="N29" s="594">
        <v>1</v>
      </c>
      <c r="O29" s="594">
        <v>3875</v>
      </c>
      <c r="P29" s="616"/>
      <c r="Q29" s="595">
        <v>3875</v>
      </c>
    </row>
    <row r="30" spans="1:17" ht="14.4" customHeight="1" x14ac:dyDescent="0.3">
      <c r="A30" s="590" t="s">
        <v>485</v>
      </c>
      <c r="B30" s="591" t="s">
        <v>2302</v>
      </c>
      <c r="C30" s="591" t="s">
        <v>2295</v>
      </c>
      <c r="D30" s="591" t="s">
        <v>2344</v>
      </c>
      <c r="E30" s="591" t="s">
        <v>2345</v>
      </c>
      <c r="F30" s="594">
        <v>1</v>
      </c>
      <c r="G30" s="594">
        <v>0</v>
      </c>
      <c r="H30" s="594"/>
      <c r="I30" s="594">
        <v>0</v>
      </c>
      <c r="J30" s="594">
        <v>8</v>
      </c>
      <c r="K30" s="594">
        <v>0</v>
      </c>
      <c r="L30" s="594"/>
      <c r="M30" s="594">
        <v>0</v>
      </c>
      <c r="N30" s="594">
        <v>3</v>
      </c>
      <c r="O30" s="594">
        <v>0</v>
      </c>
      <c r="P30" s="616"/>
      <c r="Q30" s="595">
        <v>0</v>
      </c>
    </row>
    <row r="31" spans="1:17" ht="14.4" customHeight="1" x14ac:dyDescent="0.3">
      <c r="A31" s="590" t="s">
        <v>485</v>
      </c>
      <c r="B31" s="591" t="s">
        <v>2302</v>
      </c>
      <c r="C31" s="591" t="s">
        <v>2295</v>
      </c>
      <c r="D31" s="591" t="s">
        <v>2346</v>
      </c>
      <c r="E31" s="591" t="s">
        <v>2347</v>
      </c>
      <c r="F31" s="594"/>
      <c r="G31" s="594"/>
      <c r="H31" s="594"/>
      <c r="I31" s="594"/>
      <c r="J31" s="594"/>
      <c r="K31" s="594"/>
      <c r="L31" s="594"/>
      <c r="M31" s="594"/>
      <c r="N31" s="594">
        <v>1</v>
      </c>
      <c r="O31" s="594">
        <v>0</v>
      </c>
      <c r="P31" s="616"/>
      <c r="Q31" s="595">
        <v>0</v>
      </c>
    </row>
    <row r="32" spans="1:17" ht="14.4" customHeight="1" x14ac:dyDescent="0.3">
      <c r="A32" s="590" t="s">
        <v>485</v>
      </c>
      <c r="B32" s="591" t="s">
        <v>2302</v>
      </c>
      <c r="C32" s="591" t="s">
        <v>2295</v>
      </c>
      <c r="D32" s="591" t="s">
        <v>2348</v>
      </c>
      <c r="E32" s="591" t="s">
        <v>2349</v>
      </c>
      <c r="F32" s="594"/>
      <c r="G32" s="594"/>
      <c r="H32" s="594"/>
      <c r="I32" s="594"/>
      <c r="J32" s="594">
        <v>2</v>
      </c>
      <c r="K32" s="594">
        <v>0</v>
      </c>
      <c r="L32" s="594"/>
      <c r="M32" s="594">
        <v>0</v>
      </c>
      <c r="N32" s="594"/>
      <c r="O32" s="594"/>
      <c r="P32" s="616"/>
      <c r="Q32" s="595"/>
    </row>
    <row r="33" spans="1:17" ht="14.4" customHeight="1" x14ac:dyDescent="0.3">
      <c r="A33" s="590" t="s">
        <v>485</v>
      </c>
      <c r="B33" s="591" t="s">
        <v>2302</v>
      </c>
      <c r="C33" s="591" t="s">
        <v>2295</v>
      </c>
      <c r="D33" s="591" t="s">
        <v>2350</v>
      </c>
      <c r="E33" s="591" t="s">
        <v>2351</v>
      </c>
      <c r="F33" s="594"/>
      <c r="G33" s="594"/>
      <c r="H33" s="594"/>
      <c r="I33" s="594"/>
      <c r="J33" s="594"/>
      <c r="K33" s="594"/>
      <c r="L33" s="594"/>
      <c r="M33" s="594"/>
      <c r="N33" s="594">
        <v>1</v>
      </c>
      <c r="O33" s="594">
        <v>0</v>
      </c>
      <c r="P33" s="616"/>
      <c r="Q33" s="595">
        <v>0</v>
      </c>
    </row>
    <row r="34" spans="1:17" ht="14.4" customHeight="1" x14ac:dyDescent="0.3">
      <c r="A34" s="590" t="s">
        <v>485</v>
      </c>
      <c r="B34" s="591" t="s">
        <v>2302</v>
      </c>
      <c r="C34" s="591" t="s">
        <v>2295</v>
      </c>
      <c r="D34" s="591" t="s">
        <v>2352</v>
      </c>
      <c r="E34" s="591" t="s">
        <v>2353</v>
      </c>
      <c r="F34" s="594"/>
      <c r="G34" s="594"/>
      <c r="H34" s="594"/>
      <c r="I34" s="594"/>
      <c r="J34" s="594"/>
      <c r="K34" s="594"/>
      <c r="L34" s="594"/>
      <c r="M34" s="594"/>
      <c r="N34" s="594">
        <v>1</v>
      </c>
      <c r="O34" s="594">
        <v>0</v>
      </c>
      <c r="P34" s="616"/>
      <c r="Q34" s="595">
        <v>0</v>
      </c>
    </row>
    <row r="35" spans="1:17" ht="14.4" customHeight="1" x14ac:dyDescent="0.3">
      <c r="A35" s="590" t="s">
        <v>485</v>
      </c>
      <c r="B35" s="591" t="s">
        <v>2302</v>
      </c>
      <c r="C35" s="591" t="s">
        <v>2295</v>
      </c>
      <c r="D35" s="591" t="s">
        <v>2354</v>
      </c>
      <c r="E35" s="591" t="s">
        <v>2355</v>
      </c>
      <c r="F35" s="594"/>
      <c r="G35" s="594"/>
      <c r="H35" s="594"/>
      <c r="I35" s="594"/>
      <c r="J35" s="594">
        <v>1</v>
      </c>
      <c r="K35" s="594">
        <v>0</v>
      </c>
      <c r="L35" s="594"/>
      <c r="M35" s="594">
        <v>0</v>
      </c>
      <c r="N35" s="594"/>
      <c r="O35" s="594"/>
      <c r="P35" s="616"/>
      <c r="Q35" s="595"/>
    </row>
    <row r="36" spans="1:17" ht="14.4" customHeight="1" x14ac:dyDescent="0.3">
      <c r="A36" s="590" t="s">
        <v>485</v>
      </c>
      <c r="B36" s="591" t="s">
        <v>2302</v>
      </c>
      <c r="C36" s="591" t="s">
        <v>2295</v>
      </c>
      <c r="D36" s="591" t="s">
        <v>2356</v>
      </c>
      <c r="E36" s="591" t="s">
        <v>2357</v>
      </c>
      <c r="F36" s="594"/>
      <c r="G36" s="594"/>
      <c r="H36" s="594"/>
      <c r="I36" s="594"/>
      <c r="J36" s="594">
        <v>1</v>
      </c>
      <c r="K36" s="594">
        <v>0</v>
      </c>
      <c r="L36" s="594"/>
      <c r="M36" s="594">
        <v>0</v>
      </c>
      <c r="N36" s="594"/>
      <c r="O36" s="594"/>
      <c r="P36" s="616"/>
      <c r="Q36" s="595"/>
    </row>
    <row r="37" spans="1:17" ht="14.4" customHeight="1" x14ac:dyDescent="0.3">
      <c r="A37" s="590" t="s">
        <v>485</v>
      </c>
      <c r="B37" s="591" t="s">
        <v>2302</v>
      </c>
      <c r="C37" s="591" t="s">
        <v>2295</v>
      </c>
      <c r="D37" s="591" t="s">
        <v>2358</v>
      </c>
      <c r="E37" s="591" t="s">
        <v>2359</v>
      </c>
      <c r="F37" s="594"/>
      <c r="G37" s="594"/>
      <c r="H37" s="594"/>
      <c r="I37" s="594"/>
      <c r="J37" s="594">
        <v>1</v>
      </c>
      <c r="K37" s="594">
        <v>0</v>
      </c>
      <c r="L37" s="594"/>
      <c r="M37" s="594">
        <v>0</v>
      </c>
      <c r="N37" s="594"/>
      <c r="O37" s="594"/>
      <c r="P37" s="616"/>
      <c r="Q37" s="595"/>
    </row>
    <row r="38" spans="1:17" ht="14.4" customHeight="1" x14ac:dyDescent="0.3">
      <c r="A38" s="590" t="s">
        <v>485</v>
      </c>
      <c r="B38" s="591" t="s">
        <v>2302</v>
      </c>
      <c r="C38" s="591" t="s">
        <v>2295</v>
      </c>
      <c r="D38" s="591" t="s">
        <v>2360</v>
      </c>
      <c r="E38" s="591" t="s">
        <v>2361</v>
      </c>
      <c r="F38" s="594"/>
      <c r="G38" s="594"/>
      <c r="H38" s="594"/>
      <c r="I38" s="594"/>
      <c r="J38" s="594">
        <v>1</v>
      </c>
      <c r="K38" s="594">
        <v>0</v>
      </c>
      <c r="L38" s="594"/>
      <c r="M38" s="594">
        <v>0</v>
      </c>
      <c r="N38" s="594">
        <v>1</v>
      </c>
      <c r="O38" s="594">
        <v>0</v>
      </c>
      <c r="P38" s="616"/>
      <c r="Q38" s="595">
        <v>0</v>
      </c>
    </row>
    <row r="39" spans="1:17" ht="14.4" customHeight="1" x14ac:dyDescent="0.3">
      <c r="A39" s="590" t="s">
        <v>485</v>
      </c>
      <c r="B39" s="591" t="s">
        <v>2302</v>
      </c>
      <c r="C39" s="591" t="s">
        <v>2295</v>
      </c>
      <c r="D39" s="591" t="s">
        <v>2362</v>
      </c>
      <c r="E39" s="591" t="s">
        <v>2363</v>
      </c>
      <c r="F39" s="594"/>
      <c r="G39" s="594"/>
      <c r="H39" s="594"/>
      <c r="I39" s="594"/>
      <c r="J39" s="594"/>
      <c r="K39" s="594"/>
      <c r="L39" s="594"/>
      <c r="M39" s="594"/>
      <c r="N39" s="594">
        <v>1</v>
      </c>
      <c r="O39" s="594">
        <v>0</v>
      </c>
      <c r="P39" s="616"/>
      <c r="Q39" s="595">
        <v>0</v>
      </c>
    </row>
    <row r="40" spans="1:17" ht="14.4" customHeight="1" x14ac:dyDescent="0.3">
      <c r="A40" s="590" t="s">
        <v>485</v>
      </c>
      <c r="B40" s="591" t="s">
        <v>2302</v>
      </c>
      <c r="C40" s="591" t="s">
        <v>2295</v>
      </c>
      <c r="D40" s="591" t="s">
        <v>2364</v>
      </c>
      <c r="E40" s="591" t="s">
        <v>2365</v>
      </c>
      <c r="F40" s="594"/>
      <c r="G40" s="594"/>
      <c r="H40" s="594"/>
      <c r="I40" s="594"/>
      <c r="J40" s="594"/>
      <c r="K40" s="594"/>
      <c r="L40" s="594"/>
      <c r="M40" s="594"/>
      <c r="N40" s="594">
        <v>1</v>
      </c>
      <c r="O40" s="594">
        <v>0</v>
      </c>
      <c r="P40" s="616"/>
      <c r="Q40" s="595">
        <v>0</v>
      </c>
    </row>
    <row r="41" spans="1:17" ht="14.4" customHeight="1" x14ac:dyDescent="0.3">
      <c r="A41" s="590" t="s">
        <v>485</v>
      </c>
      <c r="B41" s="591" t="s">
        <v>2302</v>
      </c>
      <c r="C41" s="591" t="s">
        <v>2295</v>
      </c>
      <c r="D41" s="591" t="s">
        <v>2366</v>
      </c>
      <c r="E41" s="591" t="s">
        <v>2367</v>
      </c>
      <c r="F41" s="594"/>
      <c r="G41" s="594"/>
      <c r="H41" s="594"/>
      <c r="I41" s="594"/>
      <c r="J41" s="594">
        <v>1</v>
      </c>
      <c r="K41" s="594">
        <v>0</v>
      </c>
      <c r="L41" s="594"/>
      <c r="M41" s="594">
        <v>0</v>
      </c>
      <c r="N41" s="594"/>
      <c r="O41" s="594"/>
      <c r="P41" s="616"/>
      <c r="Q41" s="595"/>
    </row>
    <row r="42" spans="1:17" ht="14.4" customHeight="1" x14ac:dyDescent="0.3">
      <c r="A42" s="590" t="s">
        <v>485</v>
      </c>
      <c r="B42" s="591" t="s">
        <v>2302</v>
      </c>
      <c r="C42" s="591" t="s">
        <v>2295</v>
      </c>
      <c r="D42" s="591" t="s">
        <v>2368</v>
      </c>
      <c r="E42" s="591" t="s">
        <v>2369</v>
      </c>
      <c r="F42" s="594"/>
      <c r="G42" s="594"/>
      <c r="H42" s="594"/>
      <c r="I42" s="594"/>
      <c r="J42" s="594">
        <v>1</v>
      </c>
      <c r="K42" s="594">
        <v>0</v>
      </c>
      <c r="L42" s="594"/>
      <c r="M42" s="594">
        <v>0</v>
      </c>
      <c r="N42" s="594"/>
      <c r="O42" s="594"/>
      <c r="P42" s="616"/>
      <c r="Q42" s="595"/>
    </row>
    <row r="43" spans="1:17" ht="14.4" customHeight="1" x14ac:dyDescent="0.3">
      <c r="A43" s="590" t="s">
        <v>485</v>
      </c>
      <c r="B43" s="591" t="s">
        <v>2302</v>
      </c>
      <c r="C43" s="591" t="s">
        <v>2295</v>
      </c>
      <c r="D43" s="591" t="s">
        <v>2370</v>
      </c>
      <c r="E43" s="591" t="s">
        <v>2371</v>
      </c>
      <c r="F43" s="594"/>
      <c r="G43" s="594"/>
      <c r="H43" s="594"/>
      <c r="I43" s="594"/>
      <c r="J43" s="594">
        <v>1</v>
      </c>
      <c r="K43" s="594">
        <v>0</v>
      </c>
      <c r="L43" s="594"/>
      <c r="M43" s="594">
        <v>0</v>
      </c>
      <c r="N43" s="594"/>
      <c r="O43" s="594"/>
      <c r="P43" s="616"/>
      <c r="Q43" s="595"/>
    </row>
    <row r="44" spans="1:17" ht="14.4" customHeight="1" x14ac:dyDescent="0.3">
      <c r="A44" s="590" t="s">
        <v>485</v>
      </c>
      <c r="B44" s="591" t="s">
        <v>2302</v>
      </c>
      <c r="C44" s="591" t="s">
        <v>2295</v>
      </c>
      <c r="D44" s="591" t="s">
        <v>2372</v>
      </c>
      <c r="E44" s="591" t="s">
        <v>2373</v>
      </c>
      <c r="F44" s="594"/>
      <c r="G44" s="594"/>
      <c r="H44" s="594"/>
      <c r="I44" s="594"/>
      <c r="J44" s="594"/>
      <c r="K44" s="594"/>
      <c r="L44" s="594"/>
      <c r="M44" s="594"/>
      <c r="N44" s="594">
        <v>2</v>
      </c>
      <c r="O44" s="594">
        <v>3200</v>
      </c>
      <c r="P44" s="616"/>
      <c r="Q44" s="595">
        <v>1600</v>
      </c>
    </row>
    <row r="45" spans="1:17" ht="14.4" customHeight="1" x14ac:dyDescent="0.3">
      <c r="A45" s="590" t="s">
        <v>485</v>
      </c>
      <c r="B45" s="591" t="s">
        <v>2302</v>
      </c>
      <c r="C45" s="591" t="s">
        <v>2295</v>
      </c>
      <c r="D45" s="591" t="s">
        <v>2374</v>
      </c>
      <c r="E45" s="591" t="s">
        <v>2375</v>
      </c>
      <c r="F45" s="594">
        <v>1</v>
      </c>
      <c r="G45" s="594">
        <v>0</v>
      </c>
      <c r="H45" s="594"/>
      <c r="I45" s="594">
        <v>0</v>
      </c>
      <c r="J45" s="594">
        <v>7</v>
      </c>
      <c r="K45" s="594">
        <v>0</v>
      </c>
      <c r="L45" s="594"/>
      <c r="M45" s="594">
        <v>0</v>
      </c>
      <c r="N45" s="594">
        <v>3</v>
      </c>
      <c r="O45" s="594">
        <v>0</v>
      </c>
      <c r="P45" s="616"/>
      <c r="Q45" s="595">
        <v>0</v>
      </c>
    </row>
    <row r="46" spans="1:17" ht="14.4" customHeight="1" x14ac:dyDescent="0.3">
      <c r="A46" s="590" t="s">
        <v>485</v>
      </c>
      <c r="B46" s="591" t="s">
        <v>2302</v>
      </c>
      <c r="C46" s="591" t="s">
        <v>2295</v>
      </c>
      <c r="D46" s="591" t="s">
        <v>2376</v>
      </c>
      <c r="E46" s="591" t="s">
        <v>2377</v>
      </c>
      <c r="F46" s="594">
        <v>2</v>
      </c>
      <c r="G46" s="594">
        <v>1482</v>
      </c>
      <c r="H46" s="594">
        <v>1</v>
      </c>
      <c r="I46" s="594">
        <v>741</v>
      </c>
      <c r="J46" s="594">
        <v>1</v>
      </c>
      <c r="K46" s="594">
        <v>745</v>
      </c>
      <c r="L46" s="594">
        <v>0.5026990553306343</v>
      </c>
      <c r="M46" s="594">
        <v>745</v>
      </c>
      <c r="N46" s="594">
        <v>4</v>
      </c>
      <c r="O46" s="594">
        <v>3008</v>
      </c>
      <c r="P46" s="616">
        <v>2.0296896086369771</v>
      </c>
      <c r="Q46" s="595">
        <v>752</v>
      </c>
    </row>
    <row r="47" spans="1:17" ht="14.4" customHeight="1" x14ac:dyDescent="0.3">
      <c r="A47" s="590" t="s">
        <v>485</v>
      </c>
      <c r="B47" s="591" t="s">
        <v>2302</v>
      </c>
      <c r="C47" s="591" t="s">
        <v>2295</v>
      </c>
      <c r="D47" s="591" t="s">
        <v>2378</v>
      </c>
      <c r="E47" s="591" t="s">
        <v>2379</v>
      </c>
      <c r="F47" s="594">
        <v>2</v>
      </c>
      <c r="G47" s="594">
        <v>5386</v>
      </c>
      <c r="H47" s="594">
        <v>1</v>
      </c>
      <c r="I47" s="594">
        <v>2693</v>
      </c>
      <c r="J47" s="594">
        <v>1</v>
      </c>
      <c r="K47" s="594">
        <v>2702</v>
      </c>
      <c r="L47" s="594">
        <v>0.50167099888600075</v>
      </c>
      <c r="M47" s="594">
        <v>2702</v>
      </c>
      <c r="N47" s="594">
        <v>2</v>
      </c>
      <c r="O47" s="594">
        <v>5420</v>
      </c>
      <c r="P47" s="616">
        <v>1.006312662458225</v>
      </c>
      <c r="Q47" s="595">
        <v>2710</v>
      </c>
    </row>
    <row r="48" spans="1:17" ht="14.4" customHeight="1" x14ac:dyDescent="0.3">
      <c r="A48" s="590" t="s">
        <v>485</v>
      </c>
      <c r="B48" s="591" t="s">
        <v>2302</v>
      </c>
      <c r="C48" s="591" t="s">
        <v>2295</v>
      </c>
      <c r="D48" s="591" t="s">
        <v>2380</v>
      </c>
      <c r="E48" s="591" t="s">
        <v>2381</v>
      </c>
      <c r="F48" s="594"/>
      <c r="G48" s="594"/>
      <c r="H48" s="594"/>
      <c r="I48" s="594"/>
      <c r="J48" s="594">
        <v>1</v>
      </c>
      <c r="K48" s="594">
        <v>668</v>
      </c>
      <c r="L48" s="594"/>
      <c r="M48" s="594">
        <v>668</v>
      </c>
      <c r="N48" s="594"/>
      <c r="O48" s="594"/>
      <c r="P48" s="616"/>
      <c r="Q48" s="595"/>
    </row>
    <row r="49" spans="1:17" ht="14.4" customHeight="1" x14ac:dyDescent="0.3">
      <c r="A49" s="590" t="s">
        <v>485</v>
      </c>
      <c r="B49" s="591" t="s">
        <v>2302</v>
      </c>
      <c r="C49" s="591" t="s">
        <v>2295</v>
      </c>
      <c r="D49" s="591" t="s">
        <v>2382</v>
      </c>
      <c r="E49" s="591" t="s">
        <v>2383</v>
      </c>
      <c r="F49" s="594">
        <v>1</v>
      </c>
      <c r="G49" s="594">
        <v>794</v>
      </c>
      <c r="H49" s="594">
        <v>1</v>
      </c>
      <c r="I49" s="594">
        <v>794</v>
      </c>
      <c r="J49" s="594">
        <v>3</v>
      </c>
      <c r="K49" s="594">
        <v>2400</v>
      </c>
      <c r="L49" s="594">
        <v>3.0226700251889169</v>
      </c>
      <c r="M49" s="594">
        <v>800</v>
      </c>
      <c r="N49" s="594">
        <v>2</v>
      </c>
      <c r="O49" s="594">
        <v>1610</v>
      </c>
      <c r="P49" s="616">
        <v>2.0277078085642319</v>
      </c>
      <c r="Q49" s="595">
        <v>805</v>
      </c>
    </row>
    <row r="50" spans="1:17" ht="14.4" customHeight="1" x14ac:dyDescent="0.3">
      <c r="A50" s="590" t="s">
        <v>485</v>
      </c>
      <c r="B50" s="591" t="s">
        <v>2302</v>
      </c>
      <c r="C50" s="591" t="s">
        <v>2295</v>
      </c>
      <c r="D50" s="591" t="s">
        <v>2384</v>
      </c>
      <c r="E50" s="591" t="s">
        <v>2385</v>
      </c>
      <c r="F50" s="594"/>
      <c r="G50" s="594"/>
      <c r="H50" s="594"/>
      <c r="I50" s="594"/>
      <c r="J50" s="594">
        <v>1</v>
      </c>
      <c r="K50" s="594">
        <v>6077</v>
      </c>
      <c r="L50" s="594"/>
      <c r="M50" s="594">
        <v>6077</v>
      </c>
      <c r="N50" s="594"/>
      <c r="O50" s="594"/>
      <c r="P50" s="616"/>
      <c r="Q50" s="595"/>
    </row>
    <row r="51" spans="1:17" ht="14.4" customHeight="1" x14ac:dyDescent="0.3">
      <c r="A51" s="590" t="s">
        <v>485</v>
      </c>
      <c r="B51" s="591" t="s">
        <v>2302</v>
      </c>
      <c r="C51" s="591" t="s">
        <v>2295</v>
      </c>
      <c r="D51" s="591" t="s">
        <v>2386</v>
      </c>
      <c r="E51" s="591" t="s">
        <v>2387</v>
      </c>
      <c r="F51" s="594">
        <v>2</v>
      </c>
      <c r="G51" s="594">
        <v>18000</v>
      </c>
      <c r="H51" s="594">
        <v>1</v>
      </c>
      <c r="I51" s="594">
        <v>9000</v>
      </c>
      <c r="J51" s="594">
        <v>3</v>
      </c>
      <c r="K51" s="594">
        <v>27102</v>
      </c>
      <c r="L51" s="594">
        <v>1.5056666666666667</v>
      </c>
      <c r="M51" s="594">
        <v>9034</v>
      </c>
      <c r="N51" s="594">
        <v>3</v>
      </c>
      <c r="O51" s="594">
        <v>27102</v>
      </c>
      <c r="P51" s="616">
        <v>1.5056666666666667</v>
      </c>
      <c r="Q51" s="595">
        <v>9034</v>
      </c>
    </row>
    <row r="52" spans="1:17" ht="14.4" customHeight="1" x14ac:dyDescent="0.3">
      <c r="A52" s="590" t="s">
        <v>485</v>
      </c>
      <c r="B52" s="591" t="s">
        <v>2302</v>
      </c>
      <c r="C52" s="591" t="s">
        <v>2295</v>
      </c>
      <c r="D52" s="591" t="s">
        <v>2388</v>
      </c>
      <c r="E52" s="591" t="s">
        <v>2389</v>
      </c>
      <c r="F52" s="594"/>
      <c r="G52" s="594"/>
      <c r="H52" s="594"/>
      <c r="I52" s="594"/>
      <c r="J52" s="594">
        <v>1</v>
      </c>
      <c r="K52" s="594">
        <v>431</v>
      </c>
      <c r="L52" s="594"/>
      <c r="M52" s="594">
        <v>431</v>
      </c>
      <c r="N52" s="594">
        <v>1</v>
      </c>
      <c r="O52" s="594">
        <v>431</v>
      </c>
      <c r="P52" s="616"/>
      <c r="Q52" s="595">
        <v>431</v>
      </c>
    </row>
    <row r="53" spans="1:17" ht="14.4" customHeight="1" x14ac:dyDescent="0.3">
      <c r="A53" s="590" t="s">
        <v>485</v>
      </c>
      <c r="B53" s="591" t="s">
        <v>2302</v>
      </c>
      <c r="C53" s="591" t="s">
        <v>2295</v>
      </c>
      <c r="D53" s="591" t="s">
        <v>2390</v>
      </c>
      <c r="E53" s="591" t="s">
        <v>2391</v>
      </c>
      <c r="F53" s="594">
        <v>1</v>
      </c>
      <c r="G53" s="594">
        <v>1040</v>
      </c>
      <c r="H53" s="594">
        <v>1</v>
      </c>
      <c r="I53" s="594">
        <v>1040</v>
      </c>
      <c r="J53" s="594"/>
      <c r="K53" s="594"/>
      <c r="L53" s="594"/>
      <c r="M53" s="594"/>
      <c r="N53" s="594"/>
      <c r="O53" s="594"/>
      <c r="P53" s="616"/>
      <c r="Q53" s="595"/>
    </row>
    <row r="54" spans="1:17" ht="14.4" customHeight="1" x14ac:dyDescent="0.3">
      <c r="A54" s="590" t="s">
        <v>485</v>
      </c>
      <c r="B54" s="591" t="s">
        <v>2302</v>
      </c>
      <c r="C54" s="591" t="s">
        <v>2295</v>
      </c>
      <c r="D54" s="591" t="s">
        <v>2392</v>
      </c>
      <c r="E54" s="591" t="s">
        <v>2393</v>
      </c>
      <c r="F54" s="594">
        <v>9</v>
      </c>
      <c r="G54" s="594">
        <v>7578</v>
      </c>
      <c r="H54" s="594">
        <v>1</v>
      </c>
      <c r="I54" s="594">
        <v>842</v>
      </c>
      <c r="J54" s="594"/>
      <c r="K54" s="594"/>
      <c r="L54" s="594"/>
      <c r="M54" s="594"/>
      <c r="N54" s="594">
        <v>17</v>
      </c>
      <c r="O54" s="594">
        <v>14420</v>
      </c>
      <c r="P54" s="616">
        <v>1.9028767484824491</v>
      </c>
      <c r="Q54" s="595">
        <v>848.23529411764707</v>
      </c>
    </row>
    <row r="55" spans="1:17" ht="14.4" customHeight="1" x14ac:dyDescent="0.3">
      <c r="A55" s="590" t="s">
        <v>485</v>
      </c>
      <c r="B55" s="591" t="s">
        <v>2302</v>
      </c>
      <c r="C55" s="591" t="s">
        <v>2295</v>
      </c>
      <c r="D55" s="591" t="s">
        <v>2394</v>
      </c>
      <c r="E55" s="591" t="s">
        <v>2395</v>
      </c>
      <c r="F55" s="594">
        <v>5</v>
      </c>
      <c r="G55" s="594">
        <v>17230</v>
      </c>
      <c r="H55" s="594">
        <v>1</v>
      </c>
      <c r="I55" s="594">
        <v>3446</v>
      </c>
      <c r="J55" s="594">
        <v>2</v>
      </c>
      <c r="K55" s="594">
        <v>6918</v>
      </c>
      <c r="L55" s="594">
        <v>0.40150899593731865</v>
      </c>
      <c r="M55" s="594">
        <v>3459</v>
      </c>
      <c r="N55" s="594">
        <v>5</v>
      </c>
      <c r="O55" s="594">
        <v>17387</v>
      </c>
      <c r="P55" s="616">
        <v>1.0091120139291934</v>
      </c>
      <c r="Q55" s="595">
        <v>3477.4</v>
      </c>
    </row>
    <row r="56" spans="1:17" ht="14.4" customHeight="1" x14ac:dyDescent="0.3">
      <c r="A56" s="590" t="s">
        <v>485</v>
      </c>
      <c r="B56" s="591" t="s">
        <v>2302</v>
      </c>
      <c r="C56" s="591" t="s">
        <v>2295</v>
      </c>
      <c r="D56" s="591" t="s">
        <v>2396</v>
      </c>
      <c r="E56" s="591" t="s">
        <v>2397</v>
      </c>
      <c r="F56" s="594">
        <v>1</v>
      </c>
      <c r="G56" s="594">
        <v>176</v>
      </c>
      <c r="H56" s="594">
        <v>1</v>
      </c>
      <c r="I56" s="594">
        <v>176</v>
      </c>
      <c r="J56" s="594">
        <v>1</v>
      </c>
      <c r="K56" s="594">
        <v>177</v>
      </c>
      <c r="L56" s="594">
        <v>1.0056818181818181</v>
      </c>
      <c r="M56" s="594">
        <v>177</v>
      </c>
      <c r="N56" s="594"/>
      <c r="O56" s="594"/>
      <c r="P56" s="616"/>
      <c r="Q56" s="595"/>
    </row>
    <row r="57" spans="1:17" ht="14.4" customHeight="1" x14ac:dyDescent="0.3">
      <c r="A57" s="590" t="s">
        <v>485</v>
      </c>
      <c r="B57" s="591" t="s">
        <v>2302</v>
      </c>
      <c r="C57" s="591" t="s">
        <v>2295</v>
      </c>
      <c r="D57" s="591" t="s">
        <v>527</v>
      </c>
      <c r="E57" s="591" t="s">
        <v>2398</v>
      </c>
      <c r="F57" s="594"/>
      <c r="G57" s="594"/>
      <c r="H57" s="594"/>
      <c r="I57" s="594"/>
      <c r="J57" s="594">
        <v>2</v>
      </c>
      <c r="K57" s="594">
        <v>3784</v>
      </c>
      <c r="L57" s="594"/>
      <c r="M57" s="594">
        <v>1892</v>
      </c>
      <c r="N57" s="594"/>
      <c r="O57" s="594"/>
      <c r="P57" s="616"/>
      <c r="Q57" s="595"/>
    </row>
    <row r="58" spans="1:17" ht="14.4" customHeight="1" x14ac:dyDescent="0.3">
      <c r="A58" s="590" t="s">
        <v>485</v>
      </c>
      <c r="B58" s="591" t="s">
        <v>2302</v>
      </c>
      <c r="C58" s="591" t="s">
        <v>2295</v>
      </c>
      <c r="D58" s="591" t="s">
        <v>2399</v>
      </c>
      <c r="E58" s="591" t="s">
        <v>2400</v>
      </c>
      <c r="F58" s="594"/>
      <c r="G58" s="594"/>
      <c r="H58" s="594"/>
      <c r="I58" s="594"/>
      <c r="J58" s="594">
        <v>1</v>
      </c>
      <c r="K58" s="594">
        <v>628</v>
      </c>
      <c r="L58" s="594"/>
      <c r="M58" s="594">
        <v>628</v>
      </c>
      <c r="N58" s="594"/>
      <c r="O58" s="594"/>
      <c r="P58" s="616"/>
      <c r="Q58" s="595"/>
    </row>
    <row r="59" spans="1:17" ht="14.4" customHeight="1" x14ac:dyDescent="0.3">
      <c r="A59" s="590" t="s">
        <v>485</v>
      </c>
      <c r="B59" s="591" t="s">
        <v>2302</v>
      </c>
      <c r="C59" s="591" t="s">
        <v>2295</v>
      </c>
      <c r="D59" s="591" t="s">
        <v>2401</v>
      </c>
      <c r="E59" s="591" t="s">
        <v>2402</v>
      </c>
      <c r="F59" s="594">
        <v>1</v>
      </c>
      <c r="G59" s="594">
        <v>14860</v>
      </c>
      <c r="H59" s="594">
        <v>1</v>
      </c>
      <c r="I59" s="594">
        <v>14860</v>
      </c>
      <c r="J59" s="594"/>
      <c r="K59" s="594"/>
      <c r="L59" s="594"/>
      <c r="M59" s="594"/>
      <c r="N59" s="594"/>
      <c r="O59" s="594"/>
      <c r="P59" s="616"/>
      <c r="Q59" s="595"/>
    </row>
    <row r="60" spans="1:17" ht="14.4" customHeight="1" x14ac:dyDescent="0.3">
      <c r="A60" s="590" t="s">
        <v>485</v>
      </c>
      <c r="B60" s="591" t="s">
        <v>2302</v>
      </c>
      <c r="C60" s="591" t="s">
        <v>2295</v>
      </c>
      <c r="D60" s="591" t="s">
        <v>2403</v>
      </c>
      <c r="E60" s="591" t="s">
        <v>2404</v>
      </c>
      <c r="F60" s="594">
        <v>1</v>
      </c>
      <c r="G60" s="594">
        <v>15311</v>
      </c>
      <c r="H60" s="594">
        <v>1</v>
      </c>
      <c r="I60" s="594">
        <v>15311</v>
      </c>
      <c r="J60" s="594">
        <v>1</v>
      </c>
      <c r="K60" s="594">
        <v>15368</v>
      </c>
      <c r="L60" s="594">
        <v>1.0037228136633793</v>
      </c>
      <c r="M60" s="594">
        <v>15368</v>
      </c>
      <c r="N60" s="594">
        <v>1</v>
      </c>
      <c r="O60" s="594">
        <v>15368</v>
      </c>
      <c r="P60" s="616">
        <v>1.0037228136633793</v>
      </c>
      <c r="Q60" s="595">
        <v>15368</v>
      </c>
    </row>
    <row r="61" spans="1:17" ht="14.4" customHeight="1" x14ac:dyDescent="0.3">
      <c r="A61" s="590" t="s">
        <v>485</v>
      </c>
      <c r="B61" s="591" t="s">
        <v>2302</v>
      </c>
      <c r="C61" s="591" t="s">
        <v>2295</v>
      </c>
      <c r="D61" s="591" t="s">
        <v>2405</v>
      </c>
      <c r="E61" s="591" t="s">
        <v>2406</v>
      </c>
      <c r="F61" s="594"/>
      <c r="G61" s="594"/>
      <c r="H61" s="594"/>
      <c r="I61" s="594"/>
      <c r="J61" s="594">
        <v>2</v>
      </c>
      <c r="K61" s="594">
        <v>0</v>
      </c>
      <c r="L61" s="594"/>
      <c r="M61" s="594">
        <v>0</v>
      </c>
      <c r="N61" s="594"/>
      <c r="O61" s="594"/>
      <c r="P61" s="616"/>
      <c r="Q61" s="595"/>
    </row>
    <row r="62" spans="1:17" ht="14.4" customHeight="1" x14ac:dyDescent="0.3">
      <c r="A62" s="590" t="s">
        <v>485</v>
      </c>
      <c r="B62" s="591" t="s">
        <v>2302</v>
      </c>
      <c r="C62" s="591" t="s">
        <v>2295</v>
      </c>
      <c r="D62" s="591" t="s">
        <v>2407</v>
      </c>
      <c r="E62" s="591" t="s">
        <v>2408</v>
      </c>
      <c r="F62" s="594">
        <v>1</v>
      </c>
      <c r="G62" s="594">
        <v>349</v>
      </c>
      <c r="H62" s="594">
        <v>1</v>
      </c>
      <c r="I62" s="594">
        <v>349</v>
      </c>
      <c r="J62" s="594"/>
      <c r="K62" s="594"/>
      <c r="L62" s="594"/>
      <c r="M62" s="594"/>
      <c r="N62" s="594">
        <v>1</v>
      </c>
      <c r="O62" s="594">
        <v>355</v>
      </c>
      <c r="P62" s="616">
        <v>1.0171919770773639</v>
      </c>
      <c r="Q62" s="595">
        <v>355</v>
      </c>
    </row>
    <row r="63" spans="1:17" ht="14.4" customHeight="1" x14ac:dyDescent="0.3">
      <c r="A63" s="590" t="s">
        <v>485</v>
      </c>
      <c r="B63" s="591" t="s">
        <v>2302</v>
      </c>
      <c r="C63" s="591" t="s">
        <v>2295</v>
      </c>
      <c r="D63" s="591" t="s">
        <v>2409</v>
      </c>
      <c r="E63" s="591" t="s">
        <v>2410</v>
      </c>
      <c r="F63" s="594"/>
      <c r="G63" s="594"/>
      <c r="H63" s="594"/>
      <c r="I63" s="594"/>
      <c r="J63" s="594">
        <v>1</v>
      </c>
      <c r="K63" s="594">
        <v>0</v>
      </c>
      <c r="L63" s="594"/>
      <c r="M63" s="594">
        <v>0</v>
      </c>
      <c r="N63" s="594"/>
      <c r="O63" s="594"/>
      <c r="P63" s="616"/>
      <c r="Q63" s="595"/>
    </row>
    <row r="64" spans="1:17" ht="14.4" customHeight="1" x14ac:dyDescent="0.3">
      <c r="A64" s="590" t="s">
        <v>485</v>
      </c>
      <c r="B64" s="591" t="s">
        <v>2302</v>
      </c>
      <c r="C64" s="591" t="s">
        <v>2295</v>
      </c>
      <c r="D64" s="591" t="s">
        <v>2411</v>
      </c>
      <c r="E64" s="591" t="s">
        <v>2412</v>
      </c>
      <c r="F64" s="594"/>
      <c r="G64" s="594"/>
      <c r="H64" s="594"/>
      <c r="I64" s="594"/>
      <c r="J64" s="594">
        <v>1</v>
      </c>
      <c r="K64" s="594">
        <v>7097</v>
      </c>
      <c r="L64" s="594"/>
      <c r="M64" s="594">
        <v>7097</v>
      </c>
      <c r="N64" s="594">
        <v>1</v>
      </c>
      <c r="O64" s="594">
        <v>7159</v>
      </c>
      <c r="P64" s="616"/>
      <c r="Q64" s="595">
        <v>7159</v>
      </c>
    </row>
    <row r="65" spans="1:17" ht="14.4" customHeight="1" x14ac:dyDescent="0.3">
      <c r="A65" s="590" t="s">
        <v>485</v>
      </c>
      <c r="B65" s="591" t="s">
        <v>2302</v>
      </c>
      <c r="C65" s="591" t="s">
        <v>2295</v>
      </c>
      <c r="D65" s="591" t="s">
        <v>2413</v>
      </c>
      <c r="E65" s="591" t="s">
        <v>2414</v>
      </c>
      <c r="F65" s="594"/>
      <c r="G65" s="594"/>
      <c r="H65" s="594"/>
      <c r="I65" s="594"/>
      <c r="J65" s="594">
        <v>2</v>
      </c>
      <c r="K65" s="594">
        <v>13588</v>
      </c>
      <c r="L65" s="594"/>
      <c r="M65" s="594">
        <v>6794</v>
      </c>
      <c r="N65" s="594"/>
      <c r="O65" s="594"/>
      <c r="P65" s="616"/>
      <c r="Q65" s="595"/>
    </row>
    <row r="66" spans="1:17" ht="14.4" customHeight="1" x14ac:dyDescent="0.3">
      <c r="A66" s="590" t="s">
        <v>485</v>
      </c>
      <c r="B66" s="591" t="s">
        <v>2302</v>
      </c>
      <c r="C66" s="591" t="s">
        <v>2295</v>
      </c>
      <c r="D66" s="591" t="s">
        <v>2415</v>
      </c>
      <c r="E66" s="591" t="s">
        <v>2416</v>
      </c>
      <c r="F66" s="594">
        <v>1</v>
      </c>
      <c r="G66" s="594">
        <v>0</v>
      </c>
      <c r="H66" s="594"/>
      <c r="I66" s="594">
        <v>0</v>
      </c>
      <c r="J66" s="594">
        <v>8</v>
      </c>
      <c r="K66" s="594">
        <v>0</v>
      </c>
      <c r="L66" s="594"/>
      <c r="M66" s="594">
        <v>0</v>
      </c>
      <c r="N66" s="594">
        <v>3</v>
      </c>
      <c r="O66" s="594">
        <v>0</v>
      </c>
      <c r="P66" s="616"/>
      <c r="Q66" s="595">
        <v>0</v>
      </c>
    </row>
    <row r="67" spans="1:17" ht="14.4" customHeight="1" x14ac:dyDescent="0.3">
      <c r="A67" s="590" t="s">
        <v>485</v>
      </c>
      <c r="B67" s="591" t="s">
        <v>2302</v>
      </c>
      <c r="C67" s="591" t="s">
        <v>2295</v>
      </c>
      <c r="D67" s="591" t="s">
        <v>2417</v>
      </c>
      <c r="E67" s="591" t="s">
        <v>2418</v>
      </c>
      <c r="F67" s="594">
        <v>1</v>
      </c>
      <c r="G67" s="594">
        <v>6016</v>
      </c>
      <c r="H67" s="594">
        <v>1</v>
      </c>
      <c r="I67" s="594">
        <v>6016</v>
      </c>
      <c r="J67" s="594">
        <v>3</v>
      </c>
      <c r="K67" s="594">
        <v>18135</v>
      </c>
      <c r="L67" s="594">
        <v>3.0144614361702127</v>
      </c>
      <c r="M67" s="594">
        <v>6045</v>
      </c>
      <c r="N67" s="594"/>
      <c r="O67" s="594"/>
      <c r="P67" s="616"/>
      <c r="Q67" s="595"/>
    </row>
    <row r="68" spans="1:17" ht="14.4" customHeight="1" x14ac:dyDescent="0.3">
      <c r="A68" s="590" t="s">
        <v>485</v>
      </c>
      <c r="B68" s="591" t="s">
        <v>2302</v>
      </c>
      <c r="C68" s="591" t="s">
        <v>2295</v>
      </c>
      <c r="D68" s="591" t="s">
        <v>2419</v>
      </c>
      <c r="E68" s="591" t="s">
        <v>2420</v>
      </c>
      <c r="F68" s="594">
        <v>4</v>
      </c>
      <c r="G68" s="594">
        <v>17280</v>
      </c>
      <c r="H68" s="594">
        <v>1</v>
      </c>
      <c r="I68" s="594">
        <v>4320</v>
      </c>
      <c r="J68" s="594">
        <v>2</v>
      </c>
      <c r="K68" s="594">
        <v>8680</v>
      </c>
      <c r="L68" s="594">
        <v>0.50231481481481477</v>
      </c>
      <c r="M68" s="594">
        <v>4340</v>
      </c>
      <c r="N68" s="594">
        <v>1</v>
      </c>
      <c r="O68" s="594">
        <v>4340</v>
      </c>
      <c r="P68" s="616">
        <v>0.25115740740740738</v>
      </c>
      <c r="Q68" s="595">
        <v>4340</v>
      </c>
    </row>
    <row r="69" spans="1:17" ht="14.4" customHeight="1" x14ac:dyDescent="0.3">
      <c r="A69" s="590" t="s">
        <v>485</v>
      </c>
      <c r="B69" s="591" t="s">
        <v>2302</v>
      </c>
      <c r="C69" s="591" t="s">
        <v>2295</v>
      </c>
      <c r="D69" s="591" t="s">
        <v>2421</v>
      </c>
      <c r="E69" s="591" t="s">
        <v>2422</v>
      </c>
      <c r="F69" s="594"/>
      <c r="G69" s="594"/>
      <c r="H69" s="594"/>
      <c r="I69" s="594"/>
      <c r="J69" s="594">
        <v>4</v>
      </c>
      <c r="K69" s="594">
        <v>12820</v>
      </c>
      <c r="L69" s="594"/>
      <c r="M69" s="594">
        <v>3205</v>
      </c>
      <c r="N69" s="594">
        <v>6</v>
      </c>
      <c r="O69" s="594">
        <v>19258</v>
      </c>
      <c r="P69" s="616"/>
      <c r="Q69" s="595">
        <v>3209.6666666666665</v>
      </c>
    </row>
    <row r="70" spans="1:17" ht="14.4" customHeight="1" x14ac:dyDescent="0.3">
      <c r="A70" s="590" t="s">
        <v>485</v>
      </c>
      <c r="B70" s="591" t="s">
        <v>2302</v>
      </c>
      <c r="C70" s="591" t="s">
        <v>2295</v>
      </c>
      <c r="D70" s="591" t="s">
        <v>2423</v>
      </c>
      <c r="E70" s="591" t="s">
        <v>2424</v>
      </c>
      <c r="F70" s="594"/>
      <c r="G70" s="594"/>
      <c r="H70" s="594"/>
      <c r="I70" s="594"/>
      <c r="J70" s="594">
        <v>4</v>
      </c>
      <c r="K70" s="594">
        <v>7052</v>
      </c>
      <c r="L70" s="594"/>
      <c r="M70" s="594">
        <v>1763</v>
      </c>
      <c r="N70" s="594"/>
      <c r="O70" s="594"/>
      <c r="P70" s="616"/>
      <c r="Q70" s="595"/>
    </row>
    <row r="71" spans="1:17" ht="14.4" customHeight="1" x14ac:dyDescent="0.3">
      <c r="A71" s="590" t="s">
        <v>485</v>
      </c>
      <c r="B71" s="591" t="s">
        <v>2302</v>
      </c>
      <c r="C71" s="591" t="s">
        <v>2295</v>
      </c>
      <c r="D71" s="591" t="s">
        <v>2425</v>
      </c>
      <c r="E71" s="591" t="s">
        <v>2426</v>
      </c>
      <c r="F71" s="594">
        <v>1</v>
      </c>
      <c r="G71" s="594">
        <v>0</v>
      </c>
      <c r="H71" s="594"/>
      <c r="I71" s="594">
        <v>0</v>
      </c>
      <c r="J71" s="594">
        <v>4</v>
      </c>
      <c r="K71" s="594">
        <v>0</v>
      </c>
      <c r="L71" s="594"/>
      <c r="M71" s="594">
        <v>0</v>
      </c>
      <c r="N71" s="594">
        <v>3</v>
      </c>
      <c r="O71" s="594">
        <v>0</v>
      </c>
      <c r="P71" s="616"/>
      <c r="Q71" s="595">
        <v>0</v>
      </c>
    </row>
    <row r="72" spans="1:17" ht="14.4" customHeight="1" x14ac:dyDescent="0.3">
      <c r="A72" s="590" t="s">
        <v>485</v>
      </c>
      <c r="B72" s="591" t="s">
        <v>2302</v>
      </c>
      <c r="C72" s="591" t="s">
        <v>2295</v>
      </c>
      <c r="D72" s="591" t="s">
        <v>2427</v>
      </c>
      <c r="E72" s="591" t="s">
        <v>2428</v>
      </c>
      <c r="F72" s="594"/>
      <c r="G72" s="594"/>
      <c r="H72" s="594"/>
      <c r="I72" s="594"/>
      <c r="J72" s="594">
        <v>1</v>
      </c>
      <c r="K72" s="594">
        <v>0</v>
      </c>
      <c r="L72" s="594"/>
      <c r="M72" s="594">
        <v>0</v>
      </c>
      <c r="N72" s="594"/>
      <c r="O72" s="594"/>
      <c r="P72" s="616"/>
      <c r="Q72" s="595"/>
    </row>
    <row r="73" spans="1:17" ht="14.4" customHeight="1" x14ac:dyDescent="0.3">
      <c r="A73" s="590" t="s">
        <v>485</v>
      </c>
      <c r="B73" s="591" t="s">
        <v>2302</v>
      </c>
      <c r="C73" s="591" t="s">
        <v>2295</v>
      </c>
      <c r="D73" s="591" t="s">
        <v>2429</v>
      </c>
      <c r="E73" s="591" t="s">
        <v>2430</v>
      </c>
      <c r="F73" s="594"/>
      <c r="G73" s="594"/>
      <c r="H73" s="594"/>
      <c r="I73" s="594"/>
      <c r="J73" s="594"/>
      <c r="K73" s="594"/>
      <c r="L73" s="594"/>
      <c r="M73" s="594"/>
      <c r="N73" s="594">
        <v>1</v>
      </c>
      <c r="O73" s="594">
        <v>2445</v>
      </c>
      <c r="P73" s="616"/>
      <c r="Q73" s="595">
        <v>2445</v>
      </c>
    </row>
    <row r="74" spans="1:17" ht="14.4" customHeight="1" x14ac:dyDescent="0.3">
      <c r="A74" s="590" t="s">
        <v>485</v>
      </c>
      <c r="B74" s="591" t="s">
        <v>2302</v>
      </c>
      <c r="C74" s="591" t="s">
        <v>2295</v>
      </c>
      <c r="D74" s="591" t="s">
        <v>2431</v>
      </c>
      <c r="E74" s="591" t="s">
        <v>2432</v>
      </c>
      <c r="F74" s="594"/>
      <c r="G74" s="594"/>
      <c r="H74" s="594"/>
      <c r="I74" s="594"/>
      <c r="J74" s="594">
        <v>1</v>
      </c>
      <c r="K74" s="594">
        <v>8058</v>
      </c>
      <c r="L74" s="594"/>
      <c r="M74" s="594">
        <v>8058</v>
      </c>
      <c r="N74" s="594"/>
      <c r="O74" s="594"/>
      <c r="P74" s="616"/>
      <c r="Q74" s="595"/>
    </row>
    <row r="75" spans="1:17" ht="14.4" customHeight="1" x14ac:dyDescent="0.3">
      <c r="A75" s="590" t="s">
        <v>485</v>
      </c>
      <c r="B75" s="591" t="s">
        <v>2302</v>
      </c>
      <c r="C75" s="591" t="s">
        <v>2295</v>
      </c>
      <c r="D75" s="591" t="s">
        <v>2433</v>
      </c>
      <c r="E75" s="591" t="s">
        <v>2434</v>
      </c>
      <c r="F75" s="594"/>
      <c r="G75" s="594"/>
      <c r="H75" s="594"/>
      <c r="I75" s="594"/>
      <c r="J75" s="594">
        <v>1</v>
      </c>
      <c r="K75" s="594">
        <v>8963</v>
      </c>
      <c r="L75" s="594"/>
      <c r="M75" s="594">
        <v>8963</v>
      </c>
      <c r="N75" s="594"/>
      <c r="O75" s="594"/>
      <c r="P75" s="616"/>
      <c r="Q75" s="595"/>
    </row>
    <row r="76" spans="1:17" ht="14.4" customHeight="1" x14ac:dyDescent="0.3">
      <c r="A76" s="590" t="s">
        <v>485</v>
      </c>
      <c r="B76" s="591" t="s">
        <v>2302</v>
      </c>
      <c r="C76" s="591" t="s">
        <v>2295</v>
      </c>
      <c r="D76" s="591" t="s">
        <v>2435</v>
      </c>
      <c r="E76" s="591" t="s">
        <v>2436</v>
      </c>
      <c r="F76" s="594"/>
      <c r="G76" s="594"/>
      <c r="H76" s="594"/>
      <c r="I76" s="594"/>
      <c r="J76" s="594">
        <v>1</v>
      </c>
      <c r="K76" s="594">
        <v>3525</v>
      </c>
      <c r="L76" s="594"/>
      <c r="M76" s="594">
        <v>3525</v>
      </c>
      <c r="N76" s="594"/>
      <c r="O76" s="594"/>
      <c r="P76" s="616"/>
      <c r="Q76" s="595"/>
    </row>
    <row r="77" spans="1:17" ht="14.4" customHeight="1" x14ac:dyDescent="0.3">
      <c r="A77" s="590" t="s">
        <v>485</v>
      </c>
      <c r="B77" s="591" t="s">
        <v>2302</v>
      </c>
      <c r="C77" s="591" t="s">
        <v>2295</v>
      </c>
      <c r="D77" s="591" t="s">
        <v>2437</v>
      </c>
      <c r="E77" s="591" t="s">
        <v>2438</v>
      </c>
      <c r="F77" s="594">
        <v>2</v>
      </c>
      <c r="G77" s="594">
        <v>9188</v>
      </c>
      <c r="H77" s="594">
        <v>1</v>
      </c>
      <c r="I77" s="594">
        <v>4594</v>
      </c>
      <c r="J77" s="594">
        <v>7</v>
      </c>
      <c r="K77" s="594">
        <v>32319</v>
      </c>
      <c r="L77" s="594">
        <v>3.5175228558989988</v>
      </c>
      <c r="M77" s="594">
        <v>4617</v>
      </c>
      <c r="N77" s="594">
        <v>1</v>
      </c>
      <c r="O77" s="594">
        <v>4657</v>
      </c>
      <c r="P77" s="616">
        <v>0.50685676969960813</v>
      </c>
      <c r="Q77" s="595">
        <v>4657</v>
      </c>
    </row>
    <row r="78" spans="1:17" ht="14.4" customHeight="1" x14ac:dyDescent="0.3">
      <c r="A78" s="590" t="s">
        <v>485</v>
      </c>
      <c r="B78" s="591" t="s">
        <v>2302</v>
      </c>
      <c r="C78" s="591" t="s">
        <v>2295</v>
      </c>
      <c r="D78" s="591" t="s">
        <v>2439</v>
      </c>
      <c r="E78" s="591" t="s">
        <v>2440</v>
      </c>
      <c r="F78" s="594"/>
      <c r="G78" s="594"/>
      <c r="H78" s="594"/>
      <c r="I78" s="594"/>
      <c r="J78" s="594"/>
      <c r="K78" s="594"/>
      <c r="L78" s="594"/>
      <c r="M78" s="594"/>
      <c r="N78" s="594">
        <v>3</v>
      </c>
      <c r="O78" s="594">
        <v>13623</v>
      </c>
      <c r="P78" s="616"/>
      <c r="Q78" s="595">
        <v>4541</v>
      </c>
    </row>
    <row r="79" spans="1:17" ht="14.4" customHeight="1" x14ac:dyDescent="0.3">
      <c r="A79" s="590" t="s">
        <v>485</v>
      </c>
      <c r="B79" s="591" t="s">
        <v>2302</v>
      </c>
      <c r="C79" s="591" t="s">
        <v>2295</v>
      </c>
      <c r="D79" s="591" t="s">
        <v>2441</v>
      </c>
      <c r="E79" s="591" t="s">
        <v>2442</v>
      </c>
      <c r="F79" s="594"/>
      <c r="G79" s="594"/>
      <c r="H79" s="594"/>
      <c r="I79" s="594"/>
      <c r="J79" s="594"/>
      <c r="K79" s="594"/>
      <c r="L79" s="594"/>
      <c r="M79" s="594"/>
      <c r="N79" s="594">
        <v>1</v>
      </c>
      <c r="O79" s="594">
        <v>11811</v>
      </c>
      <c r="P79" s="616"/>
      <c r="Q79" s="595">
        <v>11811</v>
      </c>
    </row>
    <row r="80" spans="1:17" ht="14.4" customHeight="1" x14ac:dyDescent="0.3">
      <c r="A80" s="590" t="s">
        <v>485</v>
      </c>
      <c r="B80" s="591" t="s">
        <v>2302</v>
      </c>
      <c r="C80" s="591" t="s">
        <v>2295</v>
      </c>
      <c r="D80" s="591" t="s">
        <v>2443</v>
      </c>
      <c r="E80" s="591" t="s">
        <v>2444</v>
      </c>
      <c r="F80" s="594"/>
      <c r="G80" s="594"/>
      <c r="H80" s="594"/>
      <c r="I80" s="594"/>
      <c r="J80" s="594"/>
      <c r="K80" s="594"/>
      <c r="L80" s="594"/>
      <c r="M80" s="594"/>
      <c r="N80" s="594">
        <v>1</v>
      </c>
      <c r="O80" s="594">
        <v>2345</v>
      </c>
      <c r="P80" s="616"/>
      <c r="Q80" s="595">
        <v>2345</v>
      </c>
    </row>
    <row r="81" spans="1:17" ht="14.4" customHeight="1" x14ac:dyDescent="0.3">
      <c r="A81" s="590" t="s">
        <v>485</v>
      </c>
      <c r="B81" s="591" t="s">
        <v>2302</v>
      </c>
      <c r="C81" s="591" t="s">
        <v>2295</v>
      </c>
      <c r="D81" s="591" t="s">
        <v>2445</v>
      </c>
      <c r="E81" s="591" t="s">
        <v>2446</v>
      </c>
      <c r="F81" s="594">
        <v>1</v>
      </c>
      <c r="G81" s="594">
        <v>6076</v>
      </c>
      <c r="H81" s="594">
        <v>1</v>
      </c>
      <c r="I81" s="594">
        <v>6076</v>
      </c>
      <c r="J81" s="594">
        <v>1</v>
      </c>
      <c r="K81" s="594">
        <v>6105</v>
      </c>
      <c r="L81" s="594">
        <v>1.0047728768926925</v>
      </c>
      <c r="M81" s="594">
        <v>6105</v>
      </c>
      <c r="N81" s="594">
        <v>1</v>
      </c>
      <c r="O81" s="594">
        <v>6105</v>
      </c>
      <c r="P81" s="616">
        <v>1.0047728768926925</v>
      </c>
      <c r="Q81" s="595">
        <v>6105</v>
      </c>
    </row>
    <row r="82" spans="1:17" ht="14.4" customHeight="1" x14ac:dyDescent="0.3">
      <c r="A82" s="590" t="s">
        <v>485</v>
      </c>
      <c r="B82" s="591" t="s">
        <v>2302</v>
      </c>
      <c r="C82" s="591" t="s">
        <v>2295</v>
      </c>
      <c r="D82" s="591" t="s">
        <v>2447</v>
      </c>
      <c r="E82" s="591" t="s">
        <v>2448</v>
      </c>
      <c r="F82" s="594"/>
      <c r="G82" s="594"/>
      <c r="H82" s="594"/>
      <c r="I82" s="594"/>
      <c r="J82" s="594">
        <v>3</v>
      </c>
      <c r="K82" s="594">
        <v>15294</v>
      </c>
      <c r="L82" s="594"/>
      <c r="M82" s="594">
        <v>5098</v>
      </c>
      <c r="N82" s="594"/>
      <c r="O82" s="594"/>
      <c r="P82" s="616"/>
      <c r="Q82" s="595"/>
    </row>
    <row r="83" spans="1:17" ht="14.4" customHeight="1" x14ac:dyDescent="0.3">
      <c r="A83" s="590" t="s">
        <v>485</v>
      </c>
      <c r="B83" s="591" t="s">
        <v>2302</v>
      </c>
      <c r="C83" s="591" t="s">
        <v>2295</v>
      </c>
      <c r="D83" s="591" t="s">
        <v>2449</v>
      </c>
      <c r="E83" s="591" t="s">
        <v>2450</v>
      </c>
      <c r="F83" s="594"/>
      <c r="G83" s="594"/>
      <c r="H83" s="594"/>
      <c r="I83" s="594"/>
      <c r="J83" s="594">
        <v>4</v>
      </c>
      <c r="K83" s="594">
        <v>0</v>
      </c>
      <c r="L83" s="594"/>
      <c r="M83" s="594">
        <v>0</v>
      </c>
      <c r="N83" s="594"/>
      <c r="O83" s="594"/>
      <c r="P83" s="616"/>
      <c r="Q83" s="595"/>
    </row>
    <row r="84" spans="1:17" ht="14.4" customHeight="1" x14ac:dyDescent="0.3">
      <c r="A84" s="590" t="s">
        <v>485</v>
      </c>
      <c r="B84" s="591" t="s">
        <v>2302</v>
      </c>
      <c r="C84" s="591" t="s">
        <v>2295</v>
      </c>
      <c r="D84" s="591" t="s">
        <v>2451</v>
      </c>
      <c r="E84" s="591" t="s">
        <v>2452</v>
      </c>
      <c r="F84" s="594">
        <v>1</v>
      </c>
      <c r="G84" s="594">
        <v>10559</v>
      </c>
      <c r="H84" s="594">
        <v>1</v>
      </c>
      <c r="I84" s="594">
        <v>10559</v>
      </c>
      <c r="J84" s="594"/>
      <c r="K84" s="594"/>
      <c r="L84" s="594"/>
      <c r="M84" s="594"/>
      <c r="N84" s="594">
        <v>1</v>
      </c>
      <c r="O84" s="594">
        <v>10597</v>
      </c>
      <c r="P84" s="616">
        <v>1.0035988256463679</v>
      </c>
      <c r="Q84" s="595">
        <v>10597</v>
      </c>
    </row>
    <row r="85" spans="1:17" ht="14.4" customHeight="1" x14ac:dyDescent="0.3">
      <c r="A85" s="590" t="s">
        <v>485</v>
      </c>
      <c r="B85" s="591" t="s">
        <v>2302</v>
      </c>
      <c r="C85" s="591" t="s">
        <v>2295</v>
      </c>
      <c r="D85" s="591" t="s">
        <v>2453</v>
      </c>
      <c r="E85" s="591" t="s">
        <v>2454</v>
      </c>
      <c r="F85" s="594"/>
      <c r="G85" s="594"/>
      <c r="H85" s="594"/>
      <c r="I85" s="594"/>
      <c r="J85" s="594">
        <v>1</v>
      </c>
      <c r="K85" s="594">
        <v>0</v>
      </c>
      <c r="L85" s="594"/>
      <c r="M85" s="594">
        <v>0</v>
      </c>
      <c r="N85" s="594"/>
      <c r="O85" s="594"/>
      <c r="P85" s="616"/>
      <c r="Q85" s="595"/>
    </row>
    <row r="86" spans="1:17" ht="14.4" customHeight="1" x14ac:dyDescent="0.3">
      <c r="A86" s="590" t="s">
        <v>485</v>
      </c>
      <c r="B86" s="591" t="s">
        <v>2302</v>
      </c>
      <c r="C86" s="591" t="s">
        <v>2295</v>
      </c>
      <c r="D86" s="591" t="s">
        <v>2455</v>
      </c>
      <c r="E86" s="591" t="s">
        <v>2456</v>
      </c>
      <c r="F86" s="594">
        <v>1</v>
      </c>
      <c r="G86" s="594">
        <v>8712</v>
      </c>
      <c r="H86" s="594">
        <v>1</v>
      </c>
      <c r="I86" s="594">
        <v>8712</v>
      </c>
      <c r="J86" s="594"/>
      <c r="K86" s="594"/>
      <c r="L86" s="594"/>
      <c r="M86" s="594"/>
      <c r="N86" s="594"/>
      <c r="O86" s="594"/>
      <c r="P86" s="616"/>
      <c r="Q86" s="595"/>
    </row>
    <row r="87" spans="1:17" ht="14.4" customHeight="1" x14ac:dyDescent="0.3">
      <c r="A87" s="590" t="s">
        <v>485</v>
      </c>
      <c r="B87" s="591" t="s">
        <v>2302</v>
      </c>
      <c r="C87" s="591" t="s">
        <v>2295</v>
      </c>
      <c r="D87" s="591" t="s">
        <v>2457</v>
      </c>
      <c r="E87" s="591" t="s">
        <v>2458</v>
      </c>
      <c r="F87" s="594">
        <v>1</v>
      </c>
      <c r="G87" s="594">
        <v>3963</v>
      </c>
      <c r="H87" s="594">
        <v>1</v>
      </c>
      <c r="I87" s="594">
        <v>3963</v>
      </c>
      <c r="J87" s="594">
        <v>1</v>
      </c>
      <c r="K87" s="594">
        <v>3975</v>
      </c>
      <c r="L87" s="594">
        <v>1.0030280090840273</v>
      </c>
      <c r="M87" s="594">
        <v>3975</v>
      </c>
      <c r="N87" s="594"/>
      <c r="O87" s="594"/>
      <c r="P87" s="616"/>
      <c r="Q87" s="595"/>
    </row>
    <row r="88" spans="1:17" ht="14.4" customHeight="1" x14ac:dyDescent="0.3">
      <c r="A88" s="590" t="s">
        <v>485</v>
      </c>
      <c r="B88" s="591" t="s">
        <v>2302</v>
      </c>
      <c r="C88" s="591" t="s">
        <v>2295</v>
      </c>
      <c r="D88" s="591" t="s">
        <v>2459</v>
      </c>
      <c r="E88" s="591" t="s">
        <v>2460</v>
      </c>
      <c r="F88" s="594"/>
      <c r="G88" s="594"/>
      <c r="H88" s="594"/>
      <c r="I88" s="594"/>
      <c r="J88" s="594"/>
      <c r="K88" s="594"/>
      <c r="L88" s="594"/>
      <c r="M88" s="594"/>
      <c r="N88" s="594">
        <v>1</v>
      </c>
      <c r="O88" s="594">
        <v>0</v>
      </c>
      <c r="P88" s="616"/>
      <c r="Q88" s="595">
        <v>0</v>
      </c>
    </row>
    <row r="89" spans="1:17" ht="14.4" customHeight="1" x14ac:dyDescent="0.3">
      <c r="A89" s="590" t="s">
        <v>485</v>
      </c>
      <c r="B89" s="591" t="s">
        <v>2302</v>
      </c>
      <c r="C89" s="591" t="s">
        <v>2295</v>
      </c>
      <c r="D89" s="591" t="s">
        <v>2461</v>
      </c>
      <c r="E89" s="591" t="s">
        <v>2462</v>
      </c>
      <c r="F89" s="594"/>
      <c r="G89" s="594"/>
      <c r="H89" s="594"/>
      <c r="I89" s="594"/>
      <c r="J89" s="594"/>
      <c r="K89" s="594"/>
      <c r="L89" s="594"/>
      <c r="M89" s="594"/>
      <c r="N89" s="594">
        <v>1</v>
      </c>
      <c r="O89" s="594">
        <v>249</v>
      </c>
      <c r="P89" s="616"/>
      <c r="Q89" s="595">
        <v>249</v>
      </c>
    </row>
    <row r="90" spans="1:17" ht="14.4" customHeight="1" x14ac:dyDescent="0.3">
      <c r="A90" s="590" t="s">
        <v>485</v>
      </c>
      <c r="B90" s="591" t="s">
        <v>2302</v>
      </c>
      <c r="C90" s="591" t="s">
        <v>2295</v>
      </c>
      <c r="D90" s="591" t="s">
        <v>2463</v>
      </c>
      <c r="E90" s="591" t="s">
        <v>2464</v>
      </c>
      <c r="F90" s="594"/>
      <c r="G90" s="594"/>
      <c r="H90" s="594"/>
      <c r="I90" s="594"/>
      <c r="J90" s="594">
        <v>1</v>
      </c>
      <c r="K90" s="594">
        <v>0</v>
      </c>
      <c r="L90" s="594"/>
      <c r="M90" s="594">
        <v>0</v>
      </c>
      <c r="N90" s="594"/>
      <c r="O90" s="594"/>
      <c r="P90" s="616"/>
      <c r="Q90" s="595"/>
    </row>
    <row r="91" spans="1:17" ht="14.4" customHeight="1" x14ac:dyDescent="0.3">
      <c r="A91" s="590" t="s">
        <v>485</v>
      </c>
      <c r="B91" s="591" t="s">
        <v>2302</v>
      </c>
      <c r="C91" s="591" t="s">
        <v>2295</v>
      </c>
      <c r="D91" s="591" t="s">
        <v>2465</v>
      </c>
      <c r="E91" s="591" t="s">
        <v>2466</v>
      </c>
      <c r="F91" s="594">
        <v>2</v>
      </c>
      <c r="G91" s="594">
        <v>3826</v>
      </c>
      <c r="H91" s="594">
        <v>1</v>
      </c>
      <c r="I91" s="594">
        <v>1913</v>
      </c>
      <c r="J91" s="594">
        <v>2</v>
      </c>
      <c r="K91" s="594">
        <v>3840</v>
      </c>
      <c r="L91" s="594">
        <v>1.0036591740721379</v>
      </c>
      <c r="M91" s="594">
        <v>1920</v>
      </c>
      <c r="N91" s="594"/>
      <c r="O91" s="594"/>
      <c r="P91" s="616"/>
      <c r="Q91" s="595"/>
    </row>
    <row r="92" spans="1:17" ht="14.4" customHeight="1" x14ac:dyDescent="0.3">
      <c r="A92" s="590" t="s">
        <v>485</v>
      </c>
      <c r="B92" s="591" t="s">
        <v>2302</v>
      </c>
      <c r="C92" s="591" t="s">
        <v>2295</v>
      </c>
      <c r="D92" s="591" t="s">
        <v>2467</v>
      </c>
      <c r="E92" s="591" t="s">
        <v>2468</v>
      </c>
      <c r="F92" s="594">
        <v>1</v>
      </c>
      <c r="G92" s="594">
        <v>7990</v>
      </c>
      <c r="H92" s="594">
        <v>1</v>
      </c>
      <c r="I92" s="594">
        <v>7990</v>
      </c>
      <c r="J92" s="594"/>
      <c r="K92" s="594"/>
      <c r="L92" s="594"/>
      <c r="M92" s="594"/>
      <c r="N92" s="594">
        <v>2</v>
      </c>
      <c r="O92" s="594">
        <v>16056</v>
      </c>
      <c r="P92" s="616">
        <v>2.0095118898623281</v>
      </c>
      <c r="Q92" s="595">
        <v>8028</v>
      </c>
    </row>
    <row r="93" spans="1:17" ht="14.4" customHeight="1" x14ac:dyDescent="0.3">
      <c r="A93" s="590" t="s">
        <v>485</v>
      </c>
      <c r="B93" s="591" t="s">
        <v>2302</v>
      </c>
      <c r="C93" s="591" t="s">
        <v>2295</v>
      </c>
      <c r="D93" s="591" t="s">
        <v>2469</v>
      </c>
      <c r="E93" s="591" t="s">
        <v>2470</v>
      </c>
      <c r="F93" s="594"/>
      <c r="G93" s="594"/>
      <c r="H93" s="594"/>
      <c r="I93" s="594"/>
      <c r="J93" s="594"/>
      <c r="K93" s="594"/>
      <c r="L93" s="594"/>
      <c r="M93" s="594"/>
      <c r="N93" s="594">
        <v>1</v>
      </c>
      <c r="O93" s="594">
        <v>6138</v>
      </c>
      <c r="P93" s="616"/>
      <c r="Q93" s="595">
        <v>6138</v>
      </c>
    </row>
    <row r="94" spans="1:17" ht="14.4" customHeight="1" x14ac:dyDescent="0.3">
      <c r="A94" s="590" t="s">
        <v>485</v>
      </c>
      <c r="B94" s="591" t="s">
        <v>2302</v>
      </c>
      <c r="C94" s="591" t="s">
        <v>2295</v>
      </c>
      <c r="D94" s="591" t="s">
        <v>2471</v>
      </c>
      <c r="E94" s="591" t="s">
        <v>2472</v>
      </c>
      <c r="F94" s="594"/>
      <c r="G94" s="594"/>
      <c r="H94" s="594"/>
      <c r="I94" s="594"/>
      <c r="J94" s="594"/>
      <c r="K94" s="594"/>
      <c r="L94" s="594"/>
      <c r="M94" s="594"/>
      <c r="N94" s="594">
        <v>1</v>
      </c>
      <c r="O94" s="594">
        <v>0</v>
      </c>
      <c r="P94" s="616"/>
      <c r="Q94" s="595">
        <v>0</v>
      </c>
    </row>
    <row r="95" spans="1:17" ht="14.4" customHeight="1" x14ac:dyDescent="0.3">
      <c r="A95" s="590" t="s">
        <v>485</v>
      </c>
      <c r="B95" s="591" t="s">
        <v>2302</v>
      </c>
      <c r="C95" s="591" t="s">
        <v>2295</v>
      </c>
      <c r="D95" s="591" t="s">
        <v>2473</v>
      </c>
      <c r="E95" s="591" t="s">
        <v>2474</v>
      </c>
      <c r="F95" s="594"/>
      <c r="G95" s="594"/>
      <c r="H95" s="594"/>
      <c r="I95" s="594"/>
      <c r="J95" s="594">
        <v>1</v>
      </c>
      <c r="K95" s="594">
        <v>0</v>
      </c>
      <c r="L95" s="594"/>
      <c r="M95" s="594">
        <v>0</v>
      </c>
      <c r="N95" s="594"/>
      <c r="O95" s="594"/>
      <c r="P95" s="616"/>
      <c r="Q95" s="595"/>
    </row>
    <row r="96" spans="1:17" ht="14.4" customHeight="1" x14ac:dyDescent="0.3">
      <c r="A96" s="590" t="s">
        <v>485</v>
      </c>
      <c r="B96" s="591" t="s">
        <v>2302</v>
      </c>
      <c r="C96" s="591" t="s">
        <v>2295</v>
      </c>
      <c r="D96" s="591" t="s">
        <v>2475</v>
      </c>
      <c r="E96" s="591" t="s">
        <v>2476</v>
      </c>
      <c r="F96" s="594"/>
      <c r="G96" s="594"/>
      <c r="H96" s="594"/>
      <c r="I96" s="594"/>
      <c r="J96" s="594"/>
      <c r="K96" s="594"/>
      <c r="L96" s="594"/>
      <c r="M96" s="594"/>
      <c r="N96" s="594">
        <v>2</v>
      </c>
      <c r="O96" s="594">
        <v>3434</v>
      </c>
      <c r="P96" s="616"/>
      <c r="Q96" s="595">
        <v>1717</v>
      </c>
    </row>
    <row r="97" spans="1:17" ht="14.4" customHeight="1" x14ac:dyDescent="0.3">
      <c r="A97" s="590" t="s">
        <v>485</v>
      </c>
      <c r="B97" s="591" t="s">
        <v>2302</v>
      </c>
      <c r="C97" s="591" t="s">
        <v>2295</v>
      </c>
      <c r="D97" s="591" t="s">
        <v>2477</v>
      </c>
      <c r="E97" s="591" t="s">
        <v>2478</v>
      </c>
      <c r="F97" s="594"/>
      <c r="G97" s="594"/>
      <c r="H97" s="594"/>
      <c r="I97" s="594"/>
      <c r="J97" s="594">
        <v>1</v>
      </c>
      <c r="K97" s="594">
        <v>0</v>
      </c>
      <c r="L97" s="594"/>
      <c r="M97" s="594">
        <v>0</v>
      </c>
      <c r="N97" s="594"/>
      <c r="O97" s="594"/>
      <c r="P97" s="616"/>
      <c r="Q97" s="595"/>
    </row>
    <row r="98" spans="1:17" ht="14.4" customHeight="1" x14ac:dyDescent="0.3">
      <c r="A98" s="590" t="s">
        <v>485</v>
      </c>
      <c r="B98" s="591" t="s">
        <v>2302</v>
      </c>
      <c r="C98" s="591" t="s">
        <v>2295</v>
      </c>
      <c r="D98" s="591" t="s">
        <v>2479</v>
      </c>
      <c r="E98" s="591" t="s">
        <v>2480</v>
      </c>
      <c r="F98" s="594">
        <v>1</v>
      </c>
      <c r="G98" s="594">
        <v>0</v>
      </c>
      <c r="H98" s="594"/>
      <c r="I98" s="594">
        <v>0</v>
      </c>
      <c r="J98" s="594"/>
      <c r="K98" s="594"/>
      <c r="L98" s="594"/>
      <c r="M98" s="594"/>
      <c r="N98" s="594"/>
      <c r="O98" s="594"/>
      <c r="P98" s="616"/>
      <c r="Q98" s="595"/>
    </row>
    <row r="99" spans="1:17" ht="14.4" customHeight="1" x14ac:dyDescent="0.3">
      <c r="A99" s="590" t="s">
        <v>485</v>
      </c>
      <c r="B99" s="591" t="s">
        <v>2481</v>
      </c>
      <c r="C99" s="591" t="s">
        <v>2295</v>
      </c>
      <c r="D99" s="591" t="s">
        <v>2316</v>
      </c>
      <c r="E99" s="591" t="s">
        <v>2317</v>
      </c>
      <c r="F99" s="594"/>
      <c r="G99" s="594"/>
      <c r="H99" s="594"/>
      <c r="I99" s="594"/>
      <c r="J99" s="594"/>
      <c r="K99" s="594"/>
      <c r="L99" s="594"/>
      <c r="M99" s="594"/>
      <c r="N99" s="594">
        <v>2</v>
      </c>
      <c r="O99" s="594">
        <v>3234</v>
      </c>
      <c r="P99" s="616"/>
      <c r="Q99" s="595">
        <v>1617</v>
      </c>
    </row>
    <row r="100" spans="1:17" ht="14.4" customHeight="1" x14ac:dyDescent="0.3">
      <c r="A100" s="590" t="s">
        <v>485</v>
      </c>
      <c r="B100" s="591" t="s">
        <v>2481</v>
      </c>
      <c r="C100" s="591" t="s">
        <v>2295</v>
      </c>
      <c r="D100" s="591" t="s">
        <v>2320</v>
      </c>
      <c r="E100" s="591" t="s">
        <v>2321</v>
      </c>
      <c r="F100" s="594"/>
      <c r="G100" s="594"/>
      <c r="H100" s="594"/>
      <c r="I100" s="594"/>
      <c r="J100" s="594">
        <v>1</v>
      </c>
      <c r="K100" s="594">
        <v>2677</v>
      </c>
      <c r="L100" s="594"/>
      <c r="M100" s="594">
        <v>2677</v>
      </c>
      <c r="N100" s="594"/>
      <c r="O100" s="594"/>
      <c r="P100" s="616"/>
      <c r="Q100" s="595"/>
    </row>
    <row r="101" spans="1:17" ht="14.4" customHeight="1" x14ac:dyDescent="0.3">
      <c r="A101" s="590" t="s">
        <v>485</v>
      </c>
      <c r="B101" s="591" t="s">
        <v>2481</v>
      </c>
      <c r="C101" s="591" t="s">
        <v>2295</v>
      </c>
      <c r="D101" s="591" t="s">
        <v>2326</v>
      </c>
      <c r="E101" s="591" t="s">
        <v>2327</v>
      </c>
      <c r="F101" s="594">
        <v>1</v>
      </c>
      <c r="G101" s="594">
        <v>675</v>
      </c>
      <c r="H101" s="594">
        <v>1</v>
      </c>
      <c r="I101" s="594">
        <v>675</v>
      </c>
      <c r="J101" s="594"/>
      <c r="K101" s="594"/>
      <c r="L101" s="594"/>
      <c r="M101" s="594"/>
      <c r="N101" s="594">
        <v>5</v>
      </c>
      <c r="O101" s="594">
        <v>3415</v>
      </c>
      <c r="P101" s="616">
        <v>5.0592592592592593</v>
      </c>
      <c r="Q101" s="595">
        <v>683</v>
      </c>
    </row>
    <row r="102" spans="1:17" ht="14.4" customHeight="1" x14ac:dyDescent="0.3">
      <c r="A102" s="590" t="s">
        <v>485</v>
      </c>
      <c r="B102" s="591" t="s">
        <v>2481</v>
      </c>
      <c r="C102" s="591" t="s">
        <v>2295</v>
      </c>
      <c r="D102" s="591" t="s">
        <v>2482</v>
      </c>
      <c r="E102" s="591" t="s">
        <v>2483</v>
      </c>
      <c r="F102" s="594"/>
      <c r="G102" s="594"/>
      <c r="H102" s="594"/>
      <c r="I102" s="594"/>
      <c r="J102" s="594">
        <v>1</v>
      </c>
      <c r="K102" s="594">
        <v>91</v>
      </c>
      <c r="L102" s="594"/>
      <c r="M102" s="594">
        <v>91</v>
      </c>
      <c r="N102" s="594"/>
      <c r="O102" s="594"/>
      <c r="P102" s="616"/>
      <c r="Q102" s="595"/>
    </row>
    <row r="103" spans="1:17" ht="14.4" customHeight="1" x14ac:dyDescent="0.3">
      <c r="A103" s="590" t="s">
        <v>485</v>
      </c>
      <c r="B103" s="591" t="s">
        <v>2481</v>
      </c>
      <c r="C103" s="591" t="s">
        <v>2295</v>
      </c>
      <c r="D103" s="591" t="s">
        <v>2484</v>
      </c>
      <c r="E103" s="591" t="s">
        <v>2485</v>
      </c>
      <c r="F103" s="594">
        <v>1</v>
      </c>
      <c r="G103" s="594">
        <v>221</v>
      </c>
      <c r="H103" s="594">
        <v>1</v>
      </c>
      <c r="I103" s="594">
        <v>221</v>
      </c>
      <c r="J103" s="594"/>
      <c r="K103" s="594"/>
      <c r="L103" s="594"/>
      <c r="M103" s="594"/>
      <c r="N103" s="594"/>
      <c r="O103" s="594"/>
      <c r="P103" s="616"/>
      <c r="Q103" s="595"/>
    </row>
    <row r="104" spans="1:17" ht="14.4" customHeight="1" x14ac:dyDescent="0.3">
      <c r="A104" s="590" t="s">
        <v>485</v>
      </c>
      <c r="B104" s="591" t="s">
        <v>2481</v>
      </c>
      <c r="C104" s="591" t="s">
        <v>2295</v>
      </c>
      <c r="D104" s="591" t="s">
        <v>2486</v>
      </c>
      <c r="E104" s="591" t="s">
        <v>2487</v>
      </c>
      <c r="F104" s="594"/>
      <c r="G104" s="594"/>
      <c r="H104" s="594"/>
      <c r="I104" s="594"/>
      <c r="J104" s="594"/>
      <c r="K104" s="594"/>
      <c r="L104" s="594"/>
      <c r="M104" s="594"/>
      <c r="N104" s="594">
        <v>2</v>
      </c>
      <c r="O104" s="594">
        <v>6932</v>
      </c>
      <c r="P104" s="616"/>
      <c r="Q104" s="595">
        <v>3466</v>
      </c>
    </row>
    <row r="105" spans="1:17" ht="14.4" customHeight="1" x14ac:dyDescent="0.3">
      <c r="A105" s="590" t="s">
        <v>485</v>
      </c>
      <c r="B105" s="591" t="s">
        <v>2481</v>
      </c>
      <c r="C105" s="591" t="s">
        <v>2295</v>
      </c>
      <c r="D105" s="591" t="s">
        <v>2488</v>
      </c>
      <c r="E105" s="591" t="s">
        <v>2489</v>
      </c>
      <c r="F105" s="594"/>
      <c r="G105" s="594"/>
      <c r="H105" s="594"/>
      <c r="I105" s="594"/>
      <c r="J105" s="594">
        <v>1</v>
      </c>
      <c r="K105" s="594">
        <v>112</v>
      </c>
      <c r="L105" s="594"/>
      <c r="M105" s="594">
        <v>112</v>
      </c>
      <c r="N105" s="594"/>
      <c r="O105" s="594"/>
      <c r="P105" s="616"/>
      <c r="Q105" s="595"/>
    </row>
    <row r="106" spans="1:17" ht="14.4" customHeight="1" x14ac:dyDescent="0.3">
      <c r="A106" s="590" t="s">
        <v>485</v>
      </c>
      <c r="B106" s="591" t="s">
        <v>2481</v>
      </c>
      <c r="C106" s="591" t="s">
        <v>2295</v>
      </c>
      <c r="D106" s="591" t="s">
        <v>2490</v>
      </c>
      <c r="E106" s="591" t="s">
        <v>2491</v>
      </c>
      <c r="F106" s="594"/>
      <c r="G106" s="594"/>
      <c r="H106" s="594"/>
      <c r="I106" s="594"/>
      <c r="J106" s="594">
        <v>1</v>
      </c>
      <c r="K106" s="594">
        <v>4284</v>
      </c>
      <c r="L106" s="594"/>
      <c r="M106" s="594">
        <v>4284</v>
      </c>
      <c r="N106" s="594"/>
      <c r="O106" s="594"/>
      <c r="P106" s="616"/>
      <c r="Q106" s="595"/>
    </row>
    <row r="107" spans="1:17" ht="14.4" customHeight="1" x14ac:dyDescent="0.3">
      <c r="A107" s="590" t="s">
        <v>485</v>
      </c>
      <c r="B107" s="591" t="s">
        <v>2481</v>
      </c>
      <c r="C107" s="591" t="s">
        <v>2295</v>
      </c>
      <c r="D107" s="591" t="s">
        <v>2492</v>
      </c>
      <c r="E107" s="591" t="s">
        <v>2493</v>
      </c>
      <c r="F107" s="594">
        <v>1</v>
      </c>
      <c r="G107" s="594">
        <v>2315</v>
      </c>
      <c r="H107" s="594">
        <v>1</v>
      </c>
      <c r="I107" s="594">
        <v>2315</v>
      </c>
      <c r="J107" s="594"/>
      <c r="K107" s="594"/>
      <c r="L107" s="594"/>
      <c r="M107" s="594"/>
      <c r="N107" s="594"/>
      <c r="O107" s="594"/>
      <c r="P107" s="616"/>
      <c r="Q107" s="595"/>
    </row>
    <row r="108" spans="1:17" ht="14.4" customHeight="1" x14ac:dyDescent="0.3">
      <c r="A108" s="590" t="s">
        <v>485</v>
      </c>
      <c r="B108" s="591" t="s">
        <v>2481</v>
      </c>
      <c r="C108" s="591" t="s">
        <v>2295</v>
      </c>
      <c r="D108" s="591" t="s">
        <v>2494</v>
      </c>
      <c r="E108" s="591" t="s">
        <v>2495</v>
      </c>
      <c r="F108" s="594"/>
      <c r="G108" s="594"/>
      <c r="H108" s="594"/>
      <c r="I108" s="594"/>
      <c r="J108" s="594">
        <v>1</v>
      </c>
      <c r="K108" s="594">
        <v>5323</v>
      </c>
      <c r="L108" s="594"/>
      <c r="M108" s="594">
        <v>5323</v>
      </c>
      <c r="N108" s="594"/>
      <c r="O108" s="594"/>
      <c r="P108" s="616"/>
      <c r="Q108" s="595"/>
    </row>
    <row r="109" spans="1:17" ht="14.4" customHeight="1" x14ac:dyDescent="0.3">
      <c r="A109" s="590" t="s">
        <v>485</v>
      </c>
      <c r="B109" s="591" t="s">
        <v>2481</v>
      </c>
      <c r="C109" s="591" t="s">
        <v>2295</v>
      </c>
      <c r="D109" s="591" t="s">
        <v>2496</v>
      </c>
      <c r="E109" s="591" t="s">
        <v>2497</v>
      </c>
      <c r="F109" s="594"/>
      <c r="G109" s="594"/>
      <c r="H109" s="594"/>
      <c r="I109" s="594"/>
      <c r="J109" s="594">
        <v>1</v>
      </c>
      <c r="K109" s="594">
        <v>4033</v>
      </c>
      <c r="L109" s="594"/>
      <c r="M109" s="594">
        <v>4033</v>
      </c>
      <c r="N109" s="594">
        <v>2</v>
      </c>
      <c r="O109" s="594">
        <v>8066</v>
      </c>
      <c r="P109" s="616"/>
      <c r="Q109" s="595">
        <v>4033</v>
      </c>
    </row>
    <row r="110" spans="1:17" ht="14.4" customHeight="1" x14ac:dyDescent="0.3">
      <c r="A110" s="590" t="s">
        <v>485</v>
      </c>
      <c r="B110" s="591" t="s">
        <v>2481</v>
      </c>
      <c r="C110" s="591" t="s">
        <v>2295</v>
      </c>
      <c r="D110" s="591" t="s">
        <v>2340</v>
      </c>
      <c r="E110" s="591" t="s">
        <v>2341</v>
      </c>
      <c r="F110" s="594"/>
      <c r="G110" s="594"/>
      <c r="H110" s="594"/>
      <c r="I110" s="594"/>
      <c r="J110" s="594"/>
      <c r="K110" s="594"/>
      <c r="L110" s="594"/>
      <c r="M110" s="594"/>
      <c r="N110" s="594">
        <v>3</v>
      </c>
      <c r="O110" s="594">
        <v>2427</v>
      </c>
      <c r="P110" s="616"/>
      <c r="Q110" s="595">
        <v>809</v>
      </c>
    </row>
    <row r="111" spans="1:17" ht="14.4" customHeight="1" x14ac:dyDescent="0.3">
      <c r="A111" s="590" t="s">
        <v>485</v>
      </c>
      <c r="B111" s="591" t="s">
        <v>2481</v>
      </c>
      <c r="C111" s="591" t="s">
        <v>2295</v>
      </c>
      <c r="D111" s="591" t="s">
        <v>2376</v>
      </c>
      <c r="E111" s="591" t="s">
        <v>2377</v>
      </c>
      <c r="F111" s="594"/>
      <c r="G111" s="594"/>
      <c r="H111" s="594"/>
      <c r="I111" s="594"/>
      <c r="J111" s="594">
        <v>1</v>
      </c>
      <c r="K111" s="594">
        <v>745</v>
      </c>
      <c r="L111" s="594"/>
      <c r="M111" s="594">
        <v>745</v>
      </c>
      <c r="N111" s="594"/>
      <c r="O111" s="594"/>
      <c r="P111" s="616"/>
      <c r="Q111" s="595"/>
    </row>
    <row r="112" spans="1:17" ht="14.4" customHeight="1" x14ac:dyDescent="0.3">
      <c r="A112" s="590" t="s">
        <v>485</v>
      </c>
      <c r="B112" s="591" t="s">
        <v>2481</v>
      </c>
      <c r="C112" s="591" t="s">
        <v>2295</v>
      </c>
      <c r="D112" s="591" t="s">
        <v>2380</v>
      </c>
      <c r="E112" s="591" t="s">
        <v>2381</v>
      </c>
      <c r="F112" s="594">
        <v>1</v>
      </c>
      <c r="G112" s="594">
        <v>665</v>
      </c>
      <c r="H112" s="594">
        <v>1</v>
      </c>
      <c r="I112" s="594">
        <v>665</v>
      </c>
      <c r="J112" s="594"/>
      <c r="K112" s="594"/>
      <c r="L112" s="594"/>
      <c r="M112" s="594"/>
      <c r="N112" s="594"/>
      <c r="O112" s="594"/>
      <c r="P112" s="616"/>
      <c r="Q112" s="595"/>
    </row>
    <row r="113" spans="1:17" ht="14.4" customHeight="1" x14ac:dyDescent="0.3">
      <c r="A113" s="590" t="s">
        <v>485</v>
      </c>
      <c r="B113" s="591" t="s">
        <v>2481</v>
      </c>
      <c r="C113" s="591" t="s">
        <v>2295</v>
      </c>
      <c r="D113" s="591" t="s">
        <v>2498</v>
      </c>
      <c r="E113" s="591" t="s">
        <v>2499</v>
      </c>
      <c r="F113" s="594">
        <v>1</v>
      </c>
      <c r="G113" s="594">
        <v>2798</v>
      </c>
      <c r="H113" s="594">
        <v>1</v>
      </c>
      <c r="I113" s="594">
        <v>2798</v>
      </c>
      <c r="J113" s="594">
        <v>1</v>
      </c>
      <c r="K113" s="594">
        <v>2814</v>
      </c>
      <c r="L113" s="594">
        <v>1.0057183702644745</v>
      </c>
      <c r="M113" s="594">
        <v>2814</v>
      </c>
      <c r="N113" s="594"/>
      <c r="O113" s="594"/>
      <c r="P113" s="616"/>
      <c r="Q113" s="595"/>
    </row>
    <row r="114" spans="1:17" ht="14.4" customHeight="1" x14ac:dyDescent="0.3">
      <c r="A114" s="590" t="s">
        <v>485</v>
      </c>
      <c r="B114" s="591" t="s">
        <v>2481</v>
      </c>
      <c r="C114" s="591" t="s">
        <v>2295</v>
      </c>
      <c r="D114" s="591" t="s">
        <v>2388</v>
      </c>
      <c r="E114" s="591" t="s">
        <v>2389</v>
      </c>
      <c r="F114" s="594"/>
      <c r="G114" s="594"/>
      <c r="H114" s="594"/>
      <c r="I114" s="594"/>
      <c r="J114" s="594"/>
      <c r="K114" s="594"/>
      <c r="L114" s="594"/>
      <c r="M114" s="594"/>
      <c r="N114" s="594">
        <v>1</v>
      </c>
      <c r="O114" s="594">
        <v>431</v>
      </c>
      <c r="P114" s="616"/>
      <c r="Q114" s="595">
        <v>431</v>
      </c>
    </row>
    <row r="115" spans="1:17" ht="14.4" customHeight="1" x14ac:dyDescent="0.3">
      <c r="A115" s="590" t="s">
        <v>485</v>
      </c>
      <c r="B115" s="591" t="s">
        <v>2481</v>
      </c>
      <c r="C115" s="591" t="s">
        <v>2295</v>
      </c>
      <c r="D115" s="591" t="s">
        <v>2392</v>
      </c>
      <c r="E115" s="591" t="s">
        <v>2393</v>
      </c>
      <c r="F115" s="594"/>
      <c r="G115" s="594"/>
      <c r="H115" s="594"/>
      <c r="I115" s="594"/>
      <c r="J115" s="594">
        <v>1</v>
      </c>
      <c r="K115" s="594">
        <v>845</v>
      </c>
      <c r="L115" s="594"/>
      <c r="M115" s="594">
        <v>845</v>
      </c>
      <c r="N115" s="594">
        <v>6</v>
      </c>
      <c r="O115" s="594">
        <v>5075</v>
      </c>
      <c r="P115" s="616"/>
      <c r="Q115" s="595">
        <v>845.83333333333337</v>
      </c>
    </row>
    <row r="116" spans="1:17" ht="14.4" customHeight="1" x14ac:dyDescent="0.3">
      <c r="A116" s="590" t="s">
        <v>485</v>
      </c>
      <c r="B116" s="591" t="s">
        <v>2481</v>
      </c>
      <c r="C116" s="591" t="s">
        <v>2295</v>
      </c>
      <c r="D116" s="591" t="s">
        <v>2500</v>
      </c>
      <c r="E116" s="591" t="s">
        <v>2501</v>
      </c>
      <c r="F116" s="594">
        <v>2</v>
      </c>
      <c r="G116" s="594">
        <v>222</v>
      </c>
      <c r="H116" s="594">
        <v>1</v>
      </c>
      <c r="I116" s="594">
        <v>111</v>
      </c>
      <c r="J116" s="594">
        <v>4</v>
      </c>
      <c r="K116" s="594">
        <v>448</v>
      </c>
      <c r="L116" s="594">
        <v>2.0180180180180178</v>
      </c>
      <c r="M116" s="594">
        <v>112</v>
      </c>
      <c r="N116" s="594">
        <v>4</v>
      </c>
      <c r="O116" s="594">
        <v>448</v>
      </c>
      <c r="P116" s="616">
        <v>2.0180180180180178</v>
      </c>
      <c r="Q116" s="595">
        <v>112</v>
      </c>
    </row>
    <row r="117" spans="1:17" ht="14.4" customHeight="1" x14ac:dyDescent="0.3">
      <c r="A117" s="590" t="s">
        <v>485</v>
      </c>
      <c r="B117" s="591" t="s">
        <v>2481</v>
      </c>
      <c r="C117" s="591" t="s">
        <v>2295</v>
      </c>
      <c r="D117" s="591" t="s">
        <v>2396</v>
      </c>
      <c r="E117" s="591" t="s">
        <v>2397</v>
      </c>
      <c r="F117" s="594"/>
      <c r="G117" s="594"/>
      <c r="H117" s="594"/>
      <c r="I117" s="594"/>
      <c r="J117" s="594"/>
      <c r="K117" s="594"/>
      <c r="L117" s="594"/>
      <c r="M117" s="594"/>
      <c r="N117" s="594">
        <v>1</v>
      </c>
      <c r="O117" s="594">
        <v>177</v>
      </c>
      <c r="P117" s="616"/>
      <c r="Q117" s="595">
        <v>177</v>
      </c>
    </row>
    <row r="118" spans="1:17" ht="14.4" customHeight="1" x14ac:dyDescent="0.3">
      <c r="A118" s="590" t="s">
        <v>485</v>
      </c>
      <c r="B118" s="591" t="s">
        <v>2481</v>
      </c>
      <c r="C118" s="591" t="s">
        <v>2295</v>
      </c>
      <c r="D118" s="591" t="s">
        <v>2502</v>
      </c>
      <c r="E118" s="591" t="s">
        <v>2503</v>
      </c>
      <c r="F118" s="594">
        <v>22</v>
      </c>
      <c r="G118" s="594">
        <v>3520</v>
      </c>
      <c r="H118" s="594">
        <v>1</v>
      </c>
      <c r="I118" s="594">
        <v>160</v>
      </c>
      <c r="J118" s="594">
        <v>3</v>
      </c>
      <c r="K118" s="594">
        <v>483</v>
      </c>
      <c r="L118" s="594">
        <v>0.13721590909090908</v>
      </c>
      <c r="M118" s="594">
        <v>161</v>
      </c>
      <c r="N118" s="594"/>
      <c r="O118" s="594"/>
      <c r="P118" s="616"/>
      <c r="Q118" s="595"/>
    </row>
    <row r="119" spans="1:17" ht="14.4" customHeight="1" x14ac:dyDescent="0.3">
      <c r="A119" s="590" t="s">
        <v>485</v>
      </c>
      <c r="B119" s="591" t="s">
        <v>2481</v>
      </c>
      <c r="C119" s="591" t="s">
        <v>2295</v>
      </c>
      <c r="D119" s="591" t="s">
        <v>2504</v>
      </c>
      <c r="E119" s="591" t="s">
        <v>2505</v>
      </c>
      <c r="F119" s="594"/>
      <c r="G119" s="594"/>
      <c r="H119" s="594"/>
      <c r="I119" s="594"/>
      <c r="J119" s="594">
        <v>1</v>
      </c>
      <c r="K119" s="594">
        <v>2510</v>
      </c>
      <c r="L119" s="594"/>
      <c r="M119" s="594">
        <v>2510</v>
      </c>
      <c r="N119" s="594">
        <v>1</v>
      </c>
      <c r="O119" s="594">
        <v>2510</v>
      </c>
      <c r="P119" s="616"/>
      <c r="Q119" s="595">
        <v>2510</v>
      </c>
    </row>
    <row r="120" spans="1:17" ht="14.4" customHeight="1" x14ac:dyDescent="0.3">
      <c r="A120" s="590" t="s">
        <v>485</v>
      </c>
      <c r="B120" s="591" t="s">
        <v>2481</v>
      </c>
      <c r="C120" s="591" t="s">
        <v>2295</v>
      </c>
      <c r="D120" s="591" t="s">
        <v>2506</v>
      </c>
      <c r="E120" s="591" t="s">
        <v>2507</v>
      </c>
      <c r="F120" s="594"/>
      <c r="G120" s="594"/>
      <c r="H120" s="594"/>
      <c r="I120" s="594"/>
      <c r="J120" s="594">
        <v>1</v>
      </c>
      <c r="K120" s="594">
        <v>2443</v>
      </c>
      <c r="L120" s="594"/>
      <c r="M120" s="594">
        <v>2443</v>
      </c>
      <c r="N120" s="594"/>
      <c r="O120" s="594"/>
      <c r="P120" s="616"/>
      <c r="Q120" s="595"/>
    </row>
    <row r="121" spans="1:17" ht="14.4" customHeight="1" x14ac:dyDescent="0.3">
      <c r="A121" s="590" t="s">
        <v>485</v>
      </c>
      <c r="B121" s="591" t="s">
        <v>2481</v>
      </c>
      <c r="C121" s="591" t="s">
        <v>2295</v>
      </c>
      <c r="D121" s="591" t="s">
        <v>2508</v>
      </c>
      <c r="E121" s="591" t="s">
        <v>2509</v>
      </c>
      <c r="F121" s="594"/>
      <c r="G121" s="594"/>
      <c r="H121" s="594"/>
      <c r="I121" s="594"/>
      <c r="J121" s="594">
        <v>5</v>
      </c>
      <c r="K121" s="594">
        <v>4810</v>
      </c>
      <c r="L121" s="594"/>
      <c r="M121" s="594">
        <v>962</v>
      </c>
      <c r="N121" s="594"/>
      <c r="O121" s="594"/>
      <c r="P121" s="616"/>
      <c r="Q121" s="595"/>
    </row>
    <row r="122" spans="1:17" ht="14.4" customHeight="1" x14ac:dyDescent="0.3">
      <c r="A122" s="590" t="s">
        <v>485</v>
      </c>
      <c r="B122" s="591" t="s">
        <v>2481</v>
      </c>
      <c r="C122" s="591" t="s">
        <v>2295</v>
      </c>
      <c r="D122" s="591" t="s">
        <v>2510</v>
      </c>
      <c r="E122" s="591" t="s">
        <v>2511</v>
      </c>
      <c r="F122" s="594"/>
      <c r="G122" s="594"/>
      <c r="H122" s="594"/>
      <c r="I122" s="594"/>
      <c r="J122" s="594"/>
      <c r="K122" s="594"/>
      <c r="L122" s="594"/>
      <c r="M122" s="594"/>
      <c r="N122" s="594">
        <v>2</v>
      </c>
      <c r="O122" s="594">
        <v>1372</v>
      </c>
      <c r="P122" s="616"/>
      <c r="Q122" s="595">
        <v>686</v>
      </c>
    </row>
    <row r="123" spans="1:17" ht="14.4" customHeight="1" x14ac:dyDescent="0.3">
      <c r="A123" s="590" t="s">
        <v>485</v>
      </c>
      <c r="B123" s="591" t="s">
        <v>2481</v>
      </c>
      <c r="C123" s="591" t="s">
        <v>2295</v>
      </c>
      <c r="D123" s="591" t="s">
        <v>2512</v>
      </c>
      <c r="E123" s="591" t="s">
        <v>2513</v>
      </c>
      <c r="F123" s="594"/>
      <c r="G123" s="594"/>
      <c r="H123" s="594"/>
      <c r="I123" s="594"/>
      <c r="J123" s="594">
        <v>1</v>
      </c>
      <c r="K123" s="594">
        <v>311</v>
      </c>
      <c r="L123" s="594"/>
      <c r="M123" s="594">
        <v>311</v>
      </c>
      <c r="N123" s="594">
        <v>2</v>
      </c>
      <c r="O123" s="594">
        <v>622</v>
      </c>
      <c r="P123" s="616"/>
      <c r="Q123" s="595">
        <v>311</v>
      </c>
    </row>
    <row r="124" spans="1:17" ht="14.4" customHeight="1" x14ac:dyDescent="0.3">
      <c r="A124" s="590" t="s">
        <v>485</v>
      </c>
      <c r="B124" s="591" t="s">
        <v>2481</v>
      </c>
      <c r="C124" s="591" t="s">
        <v>2295</v>
      </c>
      <c r="D124" s="591" t="s">
        <v>2514</v>
      </c>
      <c r="E124" s="591" t="s">
        <v>2515</v>
      </c>
      <c r="F124" s="594"/>
      <c r="G124" s="594"/>
      <c r="H124" s="594"/>
      <c r="I124" s="594"/>
      <c r="J124" s="594"/>
      <c r="K124" s="594"/>
      <c r="L124" s="594"/>
      <c r="M124" s="594"/>
      <c r="N124" s="594">
        <v>1</v>
      </c>
      <c r="O124" s="594">
        <v>1796</v>
      </c>
      <c r="P124" s="616"/>
      <c r="Q124" s="595">
        <v>1796</v>
      </c>
    </row>
    <row r="125" spans="1:17" ht="14.4" customHeight="1" x14ac:dyDescent="0.3">
      <c r="A125" s="590" t="s">
        <v>485</v>
      </c>
      <c r="B125" s="591" t="s">
        <v>2516</v>
      </c>
      <c r="C125" s="591" t="s">
        <v>2295</v>
      </c>
      <c r="D125" s="591" t="s">
        <v>2517</v>
      </c>
      <c r="E125" s="591" t="s">
        <v>2518</v>
      </c>
      <c r="F125" s="594">
        <v>1</v>
      </c>
      <c r="G125" s="594">
        <v>5359</v>
      </c>
      <c r="H125" s="594">
        <v>1</v>
      </c>
      <c r="I125" s="594">
        <v>5359</v>
      </c>
      <c r="J125" s="594"/>
      <c r="K125" s="594"/>
      <c r="L125" s="594"/>
      <c r="M125" s="594"/>
      <c r="N125" s="594"/>
      <c r="O125" s="594"/>
      <c r="P125" s="616"/>
      <c r="Q125" s="595"/>
    </row>
    <row r="126" spans="1:17" ht="14.4" customHeight="1" x14ac:dyDescent="0.3">
      <c r="A126" s="590" t="s">
        <v>485</v>
      </c>
      <c r="B126" s="591" t="s">
        <v>2516</v>
      </c>
      <c r="C126" s="591" t="s">
        <v>2295</v>
      </c>
      <c r="D126" s="591" t="s">
        <v>2519</v>
      </c>
      <c r="E126" s="591" t="s">
        <v>2520</v>
      </c>
      <c r="F126" s="594">
        <v>1</v>
      </c>
      <c r="G126" s="594">
        <v>171</v>
      </c>
      <c r="H126" s="594">
        <v>1</v>
      </c>
      <c r="I126" s="594">
        <v>171</v>
      </c>
      <c r="J126" s="594"/>
      <c r="K126" s="594"/>
      <c r="L126" s="594"/>
      <c r="M126" s="594"/>
      <c r="N126" s="594"/>
      <c r="O126" s="594"/>
      <c r="P126" s="616"/>
      <c r="Q126" s="595"/>
    </row>
    <row r="127" spans="1:17" ht="14.4" customHeight="1" x14ac:dyDescent="0.3">
      <c r="A127" s="590" t="s">
        <v>485</v>
      </c>
      <c r="B127" s="591" t="s">
        <v>2516</v>
      </c>
      <c r="C127" s="591" t="s">
        <v>2295</v>
      </c>
      <c r="D127" s="591" t="s">
        <v>2521</v>
      </c>
      <c r="E127" s="591" t="s">
        <v>2522</v>
      </c>
      <c r="F127" s="594">
        <v>1</v>
      </c>
      <c r="G127" s="594">
        <v>5192</v>
      </c>
      <c r="H127" s="594">
        <v>1</v>
      </c>
      <c r="I127" s="594">
        <v>5192</v>
      </c>
      <c r="J127" s="594"/>
      <c r="K127" s="594"/>
      <c r="L127" s="594"/>
      <c r="M127" s="594"/>
      <c r="N127" s="594"/>
      <c r="O127" s="594"/>
      <c r="P127" s="616"/>
      <c r="Q127" s="595"/>
    </row>
    <row r="128" spans="1:17" ht="14.4" customHeight="1" x14ac:dyDescent="0.3">
      <c r="A128" s="590" t="s">
        <v>485</v>
      </c>
      <c r="B128" s="591" t="s">
        <v>2516</v>
      </c>
      <c r="C128" s="591" t="s">
        <v>2295</v>
      </c>
      <c r="D128" s="591" t="s">
        <v>2523</v>
      </c>
      <c r="E128" s="591" t="s">
        <v>2524</v>
      </c>
      <c r="F128" s="594">
        <v>1</v>
      </c>
      <c r="G128" s="594">
        <v>3912</v>
      </c>
      <c r="H128" s="594">
        <v>1</v>
      </c>
      <c r="I128" s="594">
        <v>3912</v>
      </c>
      <c r="J128" s="594"/>
      <c r="K128" s="594"/>
      <c r="L128" s="594"/>
      <c r="M128" s="594"/>
      <c r="N128" s="594"/>
      <c r="O128" s="594"/>
      <c r="P128" s="616"/>
      <c r="Q128" s="595"/>
    </row>
    <row r="129" spans="1:17" ht="14.4" customHeight="1" x14ac:dyDescent="0.3">
      <c r="A129" s="590" t="s">
        <v>485</v>
      </c>
      <c r="B129" s="591" t="s">
        <v>2516</v>
      </c>
      <c r="C129" s="591" t="s">
        <v>2295</v>
      </c>
      <c r="D129" s="591" t="s">
        <v>2525</v>
      </c>
      <c r="E129" s="591" t="s">
        <v>2526</v>
      </c>
      <c r="F129" s="594">
        <v>1</v>
      </c>
      <c r="G129" s="594">
        <v>1762</v>
      </c>
      <c r="H129" s="594">
        <v>1</v>
      </c>
      <c r="I129" s="594">
        <v>1762</v>
      </c>
      <c r="J129" s="594"/>
      <c r="K129" s="594"/>
      <c r="L129" s="594"/>
      <c r="M129" s="594"/>
      <c r="N129" s="594"/>
      <c r="O129" s="594"/>
      <c r="P129" s="616"/>
      <c r="Q129" s="595"/>
    </row>
    <row r="130" spans="1:17" ht="14.4" customHeight="1" x14ac:dyDescent="0.3">
      <c r="A130" s="590" t="s">
        <v>485</v>
      </c>
      <c r="B130" s="591" t="s">
        <v>2516</v>
      </c>
      <c r="C130" s="591" t="s">
        <v>2295</v>
      </c>
      <c r="D130" s="591" t="s">
        <v>2527</v>
      </c>
      <c r="E130" s="591" t="s">
        <v>2528</v>
      </c>
      <c r="F130" s="594">
        <v>1</v>
      </c>
      <c r="G130" s="594">
        <v>4183</v>
      </c>
      <c r="H130" s="594">
        <v>1</v>
      </c>
      <c r="I130" s="594">
        <v>4183</v>
      </c>
      <c r="J130" s="594"/>
      <c r="K130" s="594"/>
      <c r="L130" s="594"/>
      <c r="M130" s="594"/>
      <c r="N130" s="594"/>
      <c r="O130" s="594"/>
      <c r="P130" s="616"/>
      <c r="Q130" s="595"/>
    </row>
    <row r="131" spans="1:17" ht="14.4" customHeight="1" x14ac:dyDescent="0.3">
      <c r="A131" s="590" t="s">
        <v>485</v>
      </c>
      <c r="B131" s="591" t="s">
        <v>2529</v>
      </c>
      <c r="C131" s="591" t="s">
        <v>2530</v>
      </c>
      <c r="D131" s="591" t="s">
        <v>2531</v>
      </c>
      <c r="E131" s="591" t="s">
        <v>2532</v>
      </c>
      <c r="F131" s="594"/>
      <c r="G131" s="594"/>
      <c r="H131" s="594"/>
      <c r="I131" s="594"/>
      <c r="J131" s="594"/>
      <c r="K131" s="594"/>
      <c r="L131" s="594"/>
      <c r="M131" s="594"/>
      <c r="N131" s="594">
        <v>0.9</v>
      </c>
      <c r="O131" s="594">
        <v>10925.4</v>
      </c>
      <c r="P131" s="616"/>
      <c r="Q131" s="595">
        <v>12139.333333333332</v>
      </c>
    </row>
    <row r="132" spans="1:17" ht="14.4" customHeight="1" x14ac:dyDescent="0.3">
      <c r="A132" s="590" t="s">
        <v>485</v>
      </c>
      <c r="B132" s="591" t="s">
        <v>2529</v>
      </c>
      <c r="C132" s="591" t="s">
        <v>2530</v>
      </c>
      <c r="D132" s="591" t="s">
        <v>2533</v>
      </c>
      <c r="E132" s="591" t="s">
        <v>2534</v>
      </c>
      <c r="F132" s="594"/>
      <c r="G132" s="594"/>
      <c r="H132" s="594"/>
      <c r="I132" s="594"/>
      <c r="J132" s="594"/>
      <c r="K132" s="594"/>
      <c r="L132" s="594"/>
      <c r="M132" s="594"/>
      <c r="N132" s="594">
        <v>4</v>
      </c>
      <c r="O132" s="594">
        <v>333.2</v>
      </c>
      <c r="P132" s="616"/>
      <c r="Q132" s="595">
        <v>83.3</v>
      </c>
    </row>
    <row r="133" spans="1:17" ht="14.4" customHeight="1" x14ac:dyDescent="0.3">
      <c r="A133" s="590" t="s">
        <v>485</v>
      </c>
      <c r="B133" s="591" t="s">
        <v>2529</v>
      </c>
      <c r="C133" s="591" t="s">
        <v>2530</v>
      </c>
      <c r="D133" s="591" t="s">
        <v>2535</v>
      </c>
      <c r="E133" s="591" t="s">
        <v>1577</v>
      </c>
      <c r="F133" s="594"/>
      <c r="G133" s="594"/>
      <c r="H133" s="594"/>
      <c r="I133" s="594"/>
      <c r="J133" s="594"/>
      <c r="K133" s="594"/>
      <c r="L133" s="594"/>
      <c r="M133" s="594"/>
      <c r="N133" s="594">
        <v>1</v>
      </c>
      <c r="O133" s="594">
        <v>82.92</v>
      </c>
      <c r="P133" s="616"/>
      <c r="Q133" s="595">
        <v>82.92</v>
      </c>
    </row>
    <row r="134" spans="1:17" ht="14.4" customHeight="1" x14ac:dyDescent="0.3">
      <c r="A134" s="590" t="s">
        <v>485</v>
      </c>
      <c r="B134" s="591" t="s">
        <v>2529</v>
      </c>
      <c r="C134" s="591" t="s">
        <v>2530</v>
      </c>
      <c r="D134" s="591" t="s">
        <v>2536</v>
      </c>
      <c r="E134" s="591" t="s">
        <v>1747</v>
      </c>
      <c r="F134" s="594"/>
      <c r="G134" s="594"/>
      <c r="H134" s="594"/>
      <c r="I134" s="594"/>
      <c r="J134" s="594"/>
      <c r="K134" s="594"/>
      <c r="L134" s="594"/>
      <c r="M134" s="594"/>
      <c r="N134" s="594">
        <v>2</v>
      </c>
      <c r="O134" s="594">
        <v>2128.64</v>
      </c>
      <c r="P134" s="616"/>
      <c r="Q134" s="595">
        <v>1064.32</v>
      </c>
    </row>
    <row r="135" spans="1:17" ht="14.4" customHeight="1" x14ac:dyDescent="0.3">
      <c r="A135" s="590" t="s">
        <v>485</v>
      </c>
      <c r="B135" s="591" t="s">
        <v>2529</v>
      </c>
      <c r="C135" s="591" t="s">
        <v>2530</v>
      </c>
      <c r="D135" s="591" t="s">
        <v>2537</v>
      </c>
      <c r="E135" s="591" t="s">
        <v>2538</v>
      </c>
      <c r="F135" s="594"/>
      <c r="G135" s="594"/>
      <c r="H135" s="594"/>
      <c r="I135" s="594"/>
      <c r="J135" s="594"/>
      <c r="K135" s="594"/>
      <c r="L135" s="594"/>
      <c r="M135" s="594"/>
      <c r="N135" s="594">
        <v>9</v>
      </c>
      <c r="O135" s="594">
        <v>46933.38</v>
      </c>
      <c r="P135" s="616"/>
      <c r="Q135" s="595">
        <v>5214.82</v>
      </c>
    </row>
    <row r="136" spans="1:17" ht="14.4" customHeight="1" x14ac:dyDescent="0.3">
      <c r="A136" s="590" t="s">
        <v>485</v>
      </c>
      <c r="B136" s="591" t="s">
        <v>2529</v>
      </c>
      <c r="C136" s="591" t="s">
        <v>2530</v>
      </c>
      <c r="D136" s="591" t="s">
        <v>2539</v>
      </c>
      <c r="E136" s="591" t="s">
        <v>1577</v>
      </c>
      <c r="F136" s="594"/>
      <c r="G136" s="594"/>
      <c r="H136" s="594"/>
      <c r="I136" s="594"/>
      <c r="J136" s="594"/>
      <c r="K136" s="594"/>
      <c r="L136" s="594"/>
      <c r="M136" s="594"/>
      <c r="N136" s="594">
        <v>106</v>
      </c>
      <c r="O136" s="594">
        <v>12503.76</v>
      </c>
      <c r="P136" s="616"/>
      <c r="Q136" s="595">
        <v>117.96000000000001</v>
      </c>
    </row>
    <row r="137" spans="1:17" ht="14.4" customHeight="1" x14ac:dyDescent="0.3">
      <c r="A137" s="590" t="s">
        <v>485</v>
      </c>
      <c r="B137" s="591" t="s">
        <v>2529</v>
      </c>
      <c r="C137" s="591" t="s">
        <v>2530</v>
      </c>
      <c r="D137" s="591" t="s">
        <v>2540</v>
      </c>
      <c r="E137" s="591" t="s">
        <v>1577</v>
      </c>
      <c r="F137" s="594"/>
      <c r="G137" s="594"/>
      <c r="H137" s="594"/>
      <c r="I137" s="594"/>
      <c r="J137" s="594"/>
      <c r="K137" s="594"/>
      <c r="L137" s="594"/>
      <c r="M137" s="594"/>
      <c r="N137" s="594">
        <v>23</v>
      </c>
      <c r="O137" s="594">
        <v>1830.57</v>
      </c>
      <c r="P137" s="616"/>
      <c r="Q137" s="595">
        <v>79.59</v>
      </c>
    </row>
    <row r="138" spans="1:17" ht="14.4" customHeight="1" x14ac:dyDescent="0.3">
      <c r="A138" s="590" t="s">
        <v>485</v>
      </c>
      <c r="B138" s="591" t="s">
        <v>2529</v>
      </c>
      <c r="C138" s="591" t="s">
        <v>2530</v>
      </c>
      <c r="D138" s="591" t="s">
        <v>2541</v>
      </c>
      <c r="E138" s="591" t="s">
        <v>2542</v>
      </c>
      <c r="F138" s="594"/>
      <c r="G138" s="594"/>
      <c r="H138" s="594"/>
      <c r="I138" s="594"/>
      <c r="J138" s="594"/>
      <c r="K138" s="594"/>
      <c r="L138" s="594"/>
      <c r="M138" s="594"/>
      <c r="N138" s="594">
        <v>44.2</v>
      </c>
      <c r="O138" s="594">
        <v>27799.030000000002</v>
      </c>
      <c r="P138" s="616"/>
      <c r="Q138" s="595">
        <v>628.93733031674208</v>
      </c>
    </row>
    <row r="139" spans="1:17" ht="14.4" customHeight="1" x14ac:dyDescent="0.3">
      <c r="A139" s="590" t="s">
        <v>485</v>
      </c>
      <c r="B139" s="591" t="s">
        <v>2529</v>
      </c>
      <c r="C139" s="591" t="s">
        <v>2530</v>
      </c>
      <c r="D139" s="591" t="s">
        <v>2543</v>
      </c>
      <c r="E139" s="591" t="s">
        <v>2544</v>
      </c>
      <c r="F139" s="594"/>
      <c r="G139" s="594"/>
      <c r="H139" s="594"/>
      <c r="I139" s="594"/>
      <c r="J139" s="594"/>
      <c r="K139" s="594"/>
      <c r="L139" s="594"/>
      <c r="M139" s="594"/>
      <c r="N139" s="594">
        <v>41.5</v>
      </c>
      <c r="O139" s="594">
        <v>3489.32</v>
      </c>
      <c r="P139" s="616"/>
      <c r="Q139" s="595">
        <v>84.08</v>
      </c>
    </row>
    <row r="140" spans="1:17" ht="14.4" customHeight="1" x14ac:dyDescent="0.3">
      <c r="A140" s="590" t="s">
        <v>485</v>
      </c>
      <c r="B140" s="591" t="s">
        <v>2529</v>
      </c>
      <c r="C140" s="591" t="s">
        <v>2530</v>
      </c>
      <c r="D140" s="591" t="s">
        <v>2545</v>
      </c>
      <c r="E140" s="591" t="s">
        <v>1544</v>
      </c>
      <c r="F140" s="594"/>
      <c r="G140" s="594"/>
      <c r="H140" s="594"/>
      <c r="I140" s="594"/>
      <c r="J140" s="594"/>
      <c r="K140" s="594"/>
      <c r="L140" s="594"/>
      <c r="M140" s="594"/>
      <c r="N140" s="594">
        <v>330</v>
      </c>
      <c r="O140" s="594">
        <v>20146.5</v>
      </c>
      <c r="P140" s="616"/>
      <c r="Q140" s="595">
        <v>61.05</v>
      </c>
    </row>
    <row r="141" spans="1:17" ht="14.4" customHeight="1" x14ac:dyDescent="0.3">
      <c r="A141" s="590" t="s">
        <v>485</v>
      </c>
      <c r="B141" s="591" t="s">
        <v>2529</v>
      </c>
      <c r="C141" s="591" t="s">
        <v>2530</v>
      </c>
      <c r="D141" s="591" t="s">
        <v>2546</v>
      </c>
      <c r="E141" s="591" t="s">
        <v>1473</v>
      </c>
      <c r="F141" s="594"/>
      <c r="G141" s="594"/>
      <c r="H141" s="594"/>
      <c r="I141" s="594"/>
      <c r="J141" s="594"/>
      <c r="K141" s="594"/>
      <c r="L141" s="594"/>
      <c r="M141" s="594"/>
      <c r="N141" s="594">
        <v>17.32</v>
      </c>
      <c r="O141" s="594">
        <v>12535.259999999998</v>
      </c>
      <c r="P141" s="616"/>
      <c r="Q141" s="595">
        <v>723.74480369515004</v>
      </c>
    </row>
    <row r="142" spans="1:17" ht="14.4" customHeight="1" x14ac:dyDescent="0.3">
      <c r="A142" s="590" t="s">
        <v>485</v>
      </c>
      <c r="B142" s="591" t="s">
        <v>2529</v>
      </c>
      <c r="C142" s="591" t="s">
        <v>2530</v>
      </c>
      <c r="D142" s="591" t="s">
        <v>2547</v>
      </c>
      <c r="E142" s="591" t="s">
        <v>1581</v>
      </c>
      <c r="F142" s="594"/>
      <c r="G142" s="594"/>
      <c r="H142" s="594"/>
      <c r="I142" s="594"/>
      <c r="J142" s="594"/>
      <c r="K142" s="594"/>
      <c r="L142" s="594"/>
      <c r="M142" s="594"/>
      <c r="N142" s="594">
        <v>8.1999999999999993</v>
      </c>
      <c r="O142" s="594">
        <v>111510.16</v>
      </c>
      <c r="P142" s="616"/>
      <c r="Q142" s="595">
        <v>13598.800000000001</v>
      </c>
    </row>
    <row r="143" spans="1:17" ht="14.4" customHeight="1" x14ac:dyDescent="0.3">
      <c r="A143" s="590" t="s">
        <v>485</v>
      </c>
      <c r="B143" s="591" t="s">
        <v>2529</v>
      </c>
      <c r="C143" s="591" t="s">
        <v>2530</v>
      </c>
      <c r="D143" s="591" t="s">
        <v>2548</v>
      </c>
      <c r="E143" s="591" t="s">
        <v>1615</v>
      </c>
      <c r="F143" s="594"/>
      <c r="G143" s="594"/>
      <c r="H143" s="594"/>
      <c r="I143" s="594"/>
      <c r="J143" s="594"/>
      <c r="K143" s="594"/>
      <c r="L143" s="594"/>
      <c r="M143" s="594"/>
      <c r="N143" s="594">
        <v>35</v>
      </c>
      <c r="O143" s="594">
        <v>122584.35</v>
      </c>
      <c r="P143" s="616"/>
      <c r="Q143" s="595">
        <v>3502.4100000000003</v>
      </c>
    </row>
    <row r="144" spans="1:17" ht="14.4" customHeight="1" x14ac:dyDescent="0.3">
      <c r="A144" s="590" t="s">
        <v>485</v>
      </c>
      <c r="B144" s="591" t="s">
        <v>2529</v>
      </c>
      <c r="C144" s="591" t="s">
        <v>2530</v>
      </c>
      <c r="D144" s="591" t="s">
        <v>2549</v>
      </c>
      <c r="E144" s="591" t="s">
        <v>1741</v>
      </c>
      <c r="F144" s="594"/>
      <c r="G144" s="594"/>
      <c r="H144" s="594"/>
      <c r="I144" s="594"/>
      <c r="J144" s="594"/>
      <c r="K144" s="594"/>
      <c r="L144" s="594"/>
      <c r="M144" s="594"/>
      <c r="N144" s="594">
        <v>284</v>
      </c>
      <c r="O144" s="594">
        <v>11462.24</v>
      </c>
      <c r="P144" s="616"/>
      <c r="Q144" s="595">
        <v>40.36</v>
      </c>
    </row>
    <row r="145" spans="1:17" ht="14.4" customHeight="1" x14ac:dyDescent="0.3">
      <c r="A145" s="590" t="s">
        <v>485</v>
      </c>
      <c r="B145" s="591" t="s">
        <v>2529</v>
      </c>
      <c r="C145" s="591" t="s">
        <v>2530</v>
      </c>
      <c r="D145" s="591" t="s">
        <v>2550</v>
      </c>
      <c r="E145" s="591" t="s">
        <v>1556</v>
      </c>
      <c r="F145" s="594"/>
      <c r="G145" s="594"/>
      <c r="H145" s="594"/>
      <c r="I145" s="594"/>
      <c r="J145" s="594"/>
      <c r="K145" s="594"/>
      <c r="L145" s="594"/>
      <c r="M145" s="594"/>
      <c r="N145" s="594">
        <v>15.400000000000002</v>
      </c>
      <c r="O145" s="594">
        <v>6224.68</v>
      </c>
      <c r="P145" s="616"/>
      <c r="Q145" s="595">
        <v>404.2</v>
      </c>
    </row>
    <row r="146" spans="1:17" ht="14.4" customHeight="1" x14ac:dyDescent="0.3">
      <c r="A146" s="590" t="s">
        <v>485</v>
      </c>
      <c r="B146" s="591" t="s">
        <v>2529</v>
      </c>
      <c r="C146" s="591" t="s">
        <v>2530</v>
      </c>
      <c r="D146" s="591" t="s">
        <v>1631</v>
      </c>
      <c r="E146" s="591" t="s">
        <v>2551</v>
      </c>
      <c r="F146" s="594"/>
      <c r="G146" s="594"/>
      <c r="H146" s="594"/>
      <c r="I146" s="594"/>
      <c r="J146" s="594"/>
      <c r="K146" s="594"/>
      <c r="L146" s="594"/>
      <c r="M146" s="594"/>
      <c r="N146" s="594">
        <v>2</v>
      </c>
      <c r="O146" s="594">
        <v>13793</v>
      </c>
      <c r="P146" s="616"/>
      <c r="Q146" s="595">
        <v>6896.5</v>
      </c>
    </row>
    <row r="147" spans="1:17" ht="14.4" customHeight="1" x14ac:dyDescent="0.3">
      <c r="A147" s="590" t="s">
        <v>485</v>
      </c>
      <c r="B147" s="591" t="s">
        <v>2529</v>
      </c>
      <c r="C147" s="591" t="s">
        <v>2530</v>
      </c>
      <c r="D147" s="591" t="s">
        <v>2552</v>
      </c>
      <c r="E147" s="591" t="s">
        <v>1750</v>
      </c>
      <c r="F147" s="594"/>
      <c r="G147" s="594"/>
      <c r="H147" s="594"/>
      <c r="I147" s="594"/>
      <c r="J147" s="594"/>
      <c r="K147" s="594"/>
      <c r="L147" s="594"/>
      <c r="M147" s="594"/>
      <c r="N147" s="594">
        <v>411</v>
      </c>
      <c r="O147" s="594">
        <v>19522.5</v>
      </c>
      <c r="P147" s="616"/>
      <c r="Q147" s="595">
        <v>47.5</v>
      </c>
    </row>
    <row r="148" spans="1:17" ht="14.4" customHeight="1" x14ac:dyDescent="0.3">
      <c r="A148" s="590" t="s">
        <v>485</v>
      </c>
      <c r="B148" s="591" t="s">
        <v>2529</v>
      </c>
      <c r="C148" s="591" t="s">
        <v>2530</v>
      </c>
      <c r="D148" s="591" t="s">
        <v>2553</v>
      </c>
      <c r="E148" s="591" t="s">
        <v>1571</v>
      </c>
      <c r="F148" s="594"/>
      <c r="G148" s="594"/>
      <c r="H148" s="594"/>
      <c r="I148" s="594"/>
      <c r="J148" s="594"/>
      <c r="K148" s="594"/>
      <c r="L148" s="594"/>
      <c r="M148" s="594"/>
      <c r="N148" s="594">
        <v>6</v>
      </c>
      <c r="O148" s="594">
        <v>484.38</v>
      </c>
      <c r="P148" s="616"/>
      <c r="Q148" s="595">
        <v>80.73</v>
      </c>
    </row>
    <row r="149" spans="1:17" ht="14.4" customHeight="1" x14ac:dyDescent="0.3">
      <c r="A149" s="590" t="s">
        <v>485</v>
      </c>
      <c r="B149" s="591" t="s">
        <v>2529</v>
      </c>
      <c r="C149" s="591" t="s">
        <v>2530</v>
      </c>
      <c r="D149" s="591" t="s">
        <v>2554</v>
      </c>
      <c r="E149" s="591" t="s">
        <v>1724</v>
      </c>
      <c r="F149" s="594"/>
      <c r="G149" s="594"/>
      <c r="H149" s="594"/>
      <c r="I149" s="594"/>
      <c r="J149" s="594"/>
      <c r="K149" s="594"/>
      <c r="L149" s="594"/>
      <c r="M149" s="594"/>
      <c r="N149" s="594">
        <v>168.8</v>
      </c>
      <c r="O149" s="594">
        <v>64101.8</v>
      </c>
      <c r="P149" s="616"/>
      <c r="Q149" s="595">
        <v>379.75</v>
      </c>
    </row>
    <row r="150" spans="1:17" ht="14.4" customHeight="1" x14ac:dyDescent="0.3">
      <c r="A150" s="590" t="s">
        <v>485</v>
      </c>
      <c r="B150" s="591" t="s">
        <v>2529</v>
      </c>
      <c r="C150" s="591" t="s">
        <v>2530</v>
      </c>
      <c r="D150" s="591" t="s">
        <v>2555</v>
      </c>
      <c r="E150" s="591" t="s">
        <v>1730</v>
      </c>
      <c r="F150" s="594"/>
      <c r="G150" s="594"/>
      <c r="H150" s="594"/>
      <c r="I150" s="594"/>
      <c r="J150" s="594"/>
      <c r="K150" s="594"/>
      <c r="L150" s="594"/>
      <c r="M150" s="594"/>
      <c r="N150" s="594">
        <v>69.3</v>
      </c>
      <c r="O150" s="594">
        <v>3755.01</v>
      </c>
      <c r="P150" s="616"/>
      <c r="Q150" s="595">
        <v>54.184848484848487</v>
      </c>
    </row>
    <row r="151" spans="1:17" ht="14.4" customHeight="1" x14ac:dyDescent="0.3">
      <c r="A151" s="590" t="s">
        <v>485</v>
      </c>
      <c r="B151" s="591" t="s">
        <v>2529</v>
      </c>
      <c r="C151" s="591" t="s">
        <v>2530</v>
      </c>
      <c r="D151" s="591" t="s">
        <v>2556</v>
      </c>
      <c r="E151" s="591" t="s">
        <v>2557</v>
      </c>
      <c r="F151" s="594"/>
      <c r="G151" s="594"/>
      <c r="H151" s="594"/>
      <c r="I151" s="594"/>
      <c r="J151" s="594"/>
      <c r="K151" s="594"/>
      <c r="L151" s="594"/>
      <c r="M151" s="594"/>
      <c r="N151" s="594">
        <v>1</v>
      </c>
      <c r="O151" s="594">
        <v>35.61</v>
      </c>
      <c r="P151" s="616"/>
      <c r="Q151" s="595">
        <v>35.61</v>
      </c>
    </row>
    <row r="152" spans="1:17" ht="14.4" customHeight="1" x14ac:dyDescent="0.3">
      <c r="A152" s="590" t="s">
        <v>485</v>
      </c>
      <c r="B152" s="591" t="s">
        <v>2529</v>
      </c>
      <c r="C152" s="591" t="s">
        <v>2530</v>
      </c>
      <c r="D152" s="591" t="s">
        <v>2558</v>
      </c>
      <c r="E152" s="591" t="s">
        <v>1443</v>
      </c>
      <c r="F152" s="594"/>
      <c r="G152" s="594"/>
      <c r="H152" s="594"/>
      <c r="I152" s="594"/>
      <c r="J152" s="594"/>
      <c r="K152" s="594"/>
      <c r="L152" s="594"/>
      <c r="M152" s="594"/>
      <c r="N152" s="594">
        <v>12</v>
      </c>
      <c r="O152" s="594">
        <v>824.88</v>
      </c>
      <c r="P152" s="616"/>
      <c r="Q152" s="595">
        <v>68.739999999999995</v>
      </c>
    </row>
    <row r="153" spans="1:17" ht="14.4" customHeight="1" x14ac:dyDescent="0.3">
      <c r="A153" s="590" t="s">
        <v>485</v>
      </c>
      <c r="B153" s="591" t="s">
        <v>2529</v>
      </c>
      <c r="C153" s="591" t="s">
        <v>2530</v>
      </c>
      <c r="D153" s="591" t="s">
        <v>2559</v>
      </c>
      <c r="E153" s="591" t="s">
        <v>2560</v>
      </c>
      <c r="F153" s="594"/>
      <c r="G153" s="594"/>
      <c r="H153" s="594"/>
      <c r="I153" s="594"/>
      <c r="J153" s="594"/>
      <c r="K153" s="594"/>
      <c r="L153" s="594"/>
      <c r="M153" s="594"/>
      <c r="N153" s="594">
        <v>27.1</v>
      </c>
      <c r="O153" s="594">
        <v>106392.12000000001</v>
      </c>
      <c r="P153" s="616"/>
      <c r="Q153" s="595">
        <v>3925.908487084871</v>
      </c>
    </row>
    <row r="154" spans="1:17" ht="14.4" customHeight="1" x14ac:dyDescent="0.3">
      <c r="A154" s="590" t="s">
        <v>485</v>
      </c>
      <c r="B154" s="591" t="s">
        <v>2529</v>
      </c>
      <c r="C154" s="591" t="s">
        <v>2530</v>
      </c>
      <c r="D154" s="591" t="s">
        <v>2561</v>
      </c>
      <c r="E154" s="591" t="s">
        <v>2562</v>
      </c>
      <c r="F154" s="594"/>
      <c r="G154" s="594"/>
      <c r="H154" s="594"/>
      <c r="I154" s="594"/>
      <c r="J154" s="594"/>
      <c r="K154" s="594"/>
      <c r="L154" s="594"/>
      <c r="M154" s="594"/>
      <c r="N154" s="594">
        <v>0.6</v>
      </c>
      <c r="O154" s="594">
        <v>1321.86</v>
      </c>
      <c r="P154" s="616"/>
      <c r="Q154" s="595">
        <v>2203.1</v>
      </c>
    </row>
    <row r="155" spans="1:17" ht="14.4" customHeight="1" x14ac:dyDescent="0.3">
      <c r="A155" s="590" t="s">
        <v>485</v>
      </c>
      <c r="B155" s="591" t="s">
        <v>2529</v>
      </c>
      <c r="C155" s="591" t="s">
        <v>2530</v>
      </c>
      <c r="D155" s="591" t="s">
        <v>2563</v>
      </c>
      <c r="E155" s="591" t="s">
        <v>1743</v>
      </c>
      <c r="F155" s="594"/>
      <c r="G155" s="594"/>
      <c r="H155" s="594"/>
      <c r="I155" s="594"/>
      <c r="J155" s="594"/>
      <c r="K155" s="594"/>
      <c r="L155" s="594"/>
      <c r="M155" s="594"/>
      <c r="N155" s="594">
        <v>51</v>
      </c>
      <c r="O155" s="594">
        <v>5843.58</v>
      </c>
      <c r="P155" s="616"/>
      <c r="Q155" s="595">
        <v>114.58</v>
      </c>
    </row>
    <row r="156" spans="1:17" ht="14.4" customHeight="1" x14ac:dyDescent="0.3">
      <c r="A156" s="590" t="s">
        <v>485</v>
      </c>
      <c r="B156" s="591" t="s">
        <v>2529</v>
      </c>
      <c r="C156" s="591" t="s">
        <v>2530</v>
      </c>
      <c r="D156" s="591" t="s">
        <v>2564</v>
      </c>
      <c r="E156" s="591" t="s">
        <v>1745</v>
      </c>
      <c r="F156" s="594"/>
      <c r="G156" s="594"/>
      <c r="H156" s="594"/>
      <c r="I156" s="594"/>
      <c r="J156" s="594"/>
      <c r="K156" s="594"/>
      <c r="L156" s="594"/>
      <c r="M156" s="594"/>
      <c r="N156" s="594">
        <v>47</v>
      </c>
      <c r="O156" s="594">
        <v>10770.52</v>
      </c>
      <c r="P156" s="616"/>
      <c r="Q156" s="595">
        <v>229.16</v>
      </c>
    </row>
    <row r="157" spans="1:17" ht="14.4" customHeight="1" x14ac:dyDescent="0.3">
      <c r="A157" s="590" t="s">
        <v>485</v>
      </c>
      <c r="B157" s="591" t="s">
        <v>2529</v>
      </c>
      <c r="C157" s="591" t="s">
        <v>2530</v>
      </c>
      <c r="D157" s="591" t="s">
        <v>2565</v>
      </c>
      <c r="E157" s="591" t="s">
        <v>2566</v>
      </c>
      <c r="F157" s="594"/>
      <c r="G157" s="594"/>
      <c r="H157" s="594"/>
      <c r="I157" s="594"/>
      <c r="J157" s="594"/>
      <c r="K157" s="594"/>
      <c r="L157" s="594"/>
      <c r="M157" s="594"/>
      <c r="N157" s="594">
        <v>1.4</v>
      </c>
      <c r="O157" s="594">
        <v>303.79999999999995</v>
      </c>
      <c r="P157" s="616"/>
      <c r="Q157" s="595">
        <v>216.99999999999997</v>
      </c>
    </row>
    <row r="158" spans="1:17" ht="14.4" customHeight="1" x14ac:dyDescent="0.3">
      <c r="A158" s="590" t="s">
        <v>485</v>
      </c>
      <c r="B158" s="591" t="s">
        <v>2529</v>
      </c>
      <c r="C158" s="591" t="s">
        <v>2530</v>
      </c>
      <c r="D158" s="591" t="s">
        <v>2567</v>
      </c>
      <c r="E158" s="591" t="s">
        <v>2568</v>
      </c>
      <c r="F158" s="594"/>
      <c r="G158" s="594"/>
      <c r="H158" s="594"/>
      <c r="I158" s="594"/>
      <c r="J158" s="594"/>
      <c r="K158" s="594"/>
      <c r="L158" s="594"/>
      <c r="M158" s="594"/>
      <c r="N158" s="594">
        <v>8</v>
      </c>
      <c r="O158" s="594">
        <v>549.91999999999996</v>
      </c>
      <c r="P158" s="616"/>
      <c r="Q158" s="595">
        <v>68.739999999999995</v>
      </c>
    </row>
    <row r="159" spans="1:17" ht="14.4" customHeight="1" x14ac:dyDescent="0.3">
      <c r="A159" s="590" t="s">
        <v>485</v>
      </c>
      <c r="B159" s="591" t="s">
        <v>2529</v>
      </c>
      <c r="C159" s="591" t="s">
        <v>2530</v>
      </c>
      <c r="D159" s="591" t="s">
        <v>2569</v>
      </c>
      <c r="E159" s="591" t="s">
        <v>1446</v>
      </c>
      <c r="F159" s="594"/>
      <c r="G159" s="594"/>
      <c r="H159" s="594"/>
      <c r="I159" s="594"/>
      <c r="J159" s="594"/>
      <c r="K159" s="594"/>
      <c r="L159" s="594"/>
      <c r="M159" s="594"/>
      <c r="N159" s="594">
        <v>10.5</v>
      </c>
      <c r="O159" s="594">
        <v>1017.97</v>
      </c>
      <c r="P159" s="616"/>
      <c r="Q159" s="595">
        <v>96.949523809523811</v>
      </c>
    </row>
    <row r="160" spans="1:17" ht="14.4" customHeight="1" x14ac:dyDescent="0.3">
      <c r="A160" s="590" t="s">
        <v>485</v>
      </c>
      <c r="B160" s="591" t="s">
        <v>2529</v>
      </c>
      <c r="C160" s="591" t="s">
        <v>2530</v>
      </c>
      <c r="D160" s="591" t="s">
        <v>2570</v>
      </c>
      <c r="E160" s="591" t="s">
        <v>2571</v>
      </c>
      <c r="F160" s="594"/>
      <c r="G160" s="594"/>
      <c r="H160" s="594"/>
      <c r="I160" s="594"/>
      <c r="J160" s="594"/>
      <c r="K160" s="594"/>
      <c r="L160" s="594"/>
      <c r="M160" s="594"/>
      <c r="N160" s="594">
        <v>38</v>
      </c>
      <c r="O160" s="594">
        <v>51143.44</v>
      </c>
      <c r="P160" s="616"/>
      <c r="Q160" s="595">
        <v>1345.88</v>
      </c>
    </row>
    <row r="161" spans="1:17" ht="14.4" customHeight="1" x14ac:dyDescent="0.3">
      <c r="A161" s="590" t="s">
        <v>485</v>
      </c>
      <c r="B161" s="591" t="s">
        <v>2529</v>
      </c>
      <c r="C161" s="591" t="s">
        <v>2530</v>
      </c>
      <c r="D161" s="591" t="s">
        <v>2572</v>
      </c>
      <c r="E161" s="591" t="s">
        <v>2573</v>
      </c>
      <c r="F161" s="594"/>
      <c r="G161" s="594"/>
      <c r="H161" s="594"/>
      <c r="I161" s="594"/>
      <c r="J161" s="594"/>
      <c r="K161" s="594"/>
      <c r="L161" s="594"/>
      <c r="M161" s="594"/>
      <c r="N161" s="594">
        <v>7.3999999999999995</v>
      </c>
      <c r="O161" s="594">
        <v>5920</v>
      </c>
      <c r="P161" s="616"/>
      <c r="Q161" s="595">
        <v>800.00000000000011</v>
      </c>
    </row>
    <row r="162" spans="1:17" ht="14.4" customHeight="1" x14ac:dyDescent="0.3">
      <c r="A162" s="590" t="s">
        <v>485</v>
      </c>
      <c r="B162" s="591" t="s">
        <v>2529</v>
      </c>
      <c r="C162" s="591" t="s">
        <v>2530</v>
      </c>
      <c r="D162" s="591" t="s">
        <v>2574</v>
      </c>
      <c r="E162" s="591" t="s">
        <v>1584</v>
      </c>
      <c r="F162" s="594"/>
      <c r="G162" s="594"/>
      <c r="H162" s="594"/>
      <c r="I162" s="594"/>
      <c r="J162" s="594"/>
      <c r="K162" s="594"/>
      <c r="L162" s="594"/>
      <c r="M162" s="594"/>
      <c r="N162" s="594">
        <v>7.3000000000000007</v>
      </c>
      <c r="O162" s="594">
        <v>15757.890000000001</v>
      </c>
      <c r="P162" s="616"/>
      <c r="Q162" s="595">
        <v>2158.6150684931508</v>
      </c>
    </row>
    <row r="163" spans="1:17" ht="14.4" customHeight="1" x14ac:dyDescent="0.3">
      <c r="A163" s="590" t="s">
        <v>485</v>
      </c>
      <c r="B163" s="591" t="s">
        <v>2529</v>
      </c>
      <c r="C163" s="591" t="s">
        <v>2530</v>
      </c>
      <c r="D163" s="591" t="s">
        <v>2575</v>
      </c>
      <c r="E163" s="591" t="s">
        <v>1476</v>
      </c>
      <c r="F163" s="594"/>
      <c r="G163" s="594"/>
      <c r="H163" s="594"/>
      <c r="I163" s="594"/>
      <c r="J163" s="594"/>
      <c r="K163" s="594"/>
      <c r="L163" s="594"/>
      <c r="M163" s="594"/>
      <c r="N163" s="594">
        <v>3.2</v>
      </c>
      <c r="O163" s="594">
        <v>2006.72</v>
      </c>
      <c r="P163" s="616"/>
      <c r="Q163" s="595">
        <v>627.1</v>
      </c>
    </row>
    <row r="164" spans="1:17" ht="14.4" customHeight="1" x14ac:dyDescent="0.3">
      <c r="A164" s="590" t="s">
        <v>485</v>
      </c>
      <c r="B164" s="591" t="s">
        <v>2529</v>
      </c>
      <c r="C164" s="591" t="s">
        <v>2530</v>
      </c>
      <c r="D164" s="591" t="s">
        <v>2576</v>
      </c>
      <c r="E164" s="591" t="s">
        <v>1507</v>
      </c>
      <c r="F164" s="594"/>
      <c r="G164" s="594"/>
      <c r="H164" s="594"/>
      <c r="I164" s="594"/>
      <c r="J164" s="594"/>
      <c r="K164" s="594"/>
      <c r="L164" s="594"/>
      <c r="M164" s="594"/>
      <c r="N164" s="594">
        <v>7.3</v>
      </c>
      <c r="O164" s="594">
        <v>5898.43</v>
      </c>
      <c r="P164" s="616"/>
      <c r="Q164" s="595">
        <v>808.00410958904115</v>
      </c>
    </row>
    <row r="165" spans="1:17" ht="14.4" customHeight="1" x14ac:dyDescent="0.3">
      <c r="A165" s="590" t="s">
        <v>485</v>
      </c>
      <c r="B165" s="591" t="s">
        <v>2529</v>
      </c>
      <c r="C165" s="591" t="s">
        <v>2530</v>
      </c>
      <c r="D165" s="591" t="s">
        <v>2577</v>
      </c>
      <c r="E165" s="591" t="s">
        <v>2578</v>
      </c>
      <c r="F165" s="594"/>
      <c r="G165" s="594"/>
      <c r="H165" s="594"/>
      <c r="I165" s="594"/>
      <c r="J165" s="594"/>
      <c r="K165" s="594"/>
      <c r="L165" s="594"/>
      <c r="M165" s="594"/>
      <c r="N165" s="594">
        <v>0.7</v>
      </c>
      <c r="O165" s="594">
        <v>565.06999999999994</v>
      </c>
      <c r="P165" s="616"/>
      <c r="Q165" s="595">
        <v>807.24285714285713</v>
      </c>
    </row>
    <row r="166" spans="1:17" ht="14.4" customHeight="1" x14ac:dyDescent="0.3">
      <c r="A166" s="590" t="s">
        <v>485</v>
      </c>
      <c r="B166" s="591" t="s">
        <v>2529</v>
      </c>
      <c r="C166" s="591" t="s">
        <v>2530</v>
      </c>
      <c r="D166" s="591" t="s">
        <v>2579</v>
      </c>
      <c r="E166" s="591" t="s">
        <v>2580</v>
      </c>
      <c r="F166" s="594"/>
      <c r="G166" s="594"/>
      <c r="H166" s="594"/>
      <c r="I166" s="594"/>
      <c r="J166" s="594"/>
      <c r="K166" s="594"/>
      <c r="L166" s="594"/>
      <c r="M166" s="594"/>
      <c r="N166" s="594">
        <v>41.949999999999996</v>
      </c>
      <c r="O166" s="594">
        <v>152141.47</v>
      </c>
      <c r="P166" s="616"/>
      <c r="Q166" s="595">
        <v>3626.733492252682</v>
      </c>
    </row>
    <row r="167" spans="1:17" ht="14.4" customHeight="1" x14ac:dyDescent="0.3">
      <c r="A167" s="590" t="s">
        <v>485</v>
      </c>
      <c r="B167" s="591" t="s">
        <v>2529</v>
      </c>
      <c r="C167" s="591" t="s">
        <v>2530</v>
      </c>
      <c r="D167" s="591" t="s">
        <v>2581</v>
      </c>
      <c r="E167" s="591" t="s">
        <v>1605</v>
      </c>
      <c r="F167" s="594"/>
      <c r="G167" s="594"/>
      <c r="H167" s="594"/>
      <c r="I167" s="594"/>
      <c r="J167" s="594"/>
      <c r="K167" s="594"/>
      <c r="L167" s="594"/>
      <c r="M167" s="594"/>
      <c r="N167" s="594">
        <v>6</v>
      </c>
      <c r="O167" s="594">
        <v>64794.06</v>
      </c>
      <c r="P167" s="616"/>
      <c r="Q167" s="595">
        <v>10799.01</v>
      </c>
    </row>
    <row r="168" spans="1:17" ht="14.4" customHeight="1" x14ac:dyDescent="0.3">
      <c r="A168" s="590" t="s">
        <v>485</v>
      </c>
      <c r="B168" s="591" t="s">
        <v>2529</v>
      </c>
      <c r="C168" s="591" t="s">
        <v>2530</v>
      </c>
      <c r="D168" s="591" t="s">
        <v>1629</v>
      </c>
      <c r="E168" s="591" t="s">
        <v>1634</v>
      </c>
      <c r="F168" s="594"/>
      <c r="G168" s="594"/>
      <c r="H168" s="594"/>
      <c r="I168" s="594"/>
      <c r="J168" s="594"/>
      <c r="K168" s="594"/>
      <c r="L168" s="594"/>
      <c r="M168" s="594"/>
      <c r="N168" s="594">
        <v>6</v>
      </c>
      <c r="O168" s="594">
        <v>21020.34</v>
      </c>
      <c r="P168" s="616"/>
      <c r="Q168" s="595">
        <v>3503.39</v>
      </c>
    </row>
    <row r="169" spans="1:17" ht="14.4" customHeight="1" x14ac:dyDescent="0.3">
      <c r="A169" s="590" t="s">
        <v>485</v>
      </c>
      <c r="B169" s="591" t="s">
        <v>2529</v>
      </c>
      <c r="C169" s="591" t="s">
        <v>2530</v>
      </c>
      <c r="D169" s="591" t="s">
        <v>1633</v>
      </c>
      <c r="E169" s="591" t="s">
        <v>1634</v>
      </c>
      <c r="F169" s="594"/>
      <c r="G169" s="594"/>
      <c r="H169" s="594"/>
      <c r="I169" s="594"/>
      <c r="J169" s="594"/>
      <c r="K169" s="594"/>
      <c r="L169" s="594"/>
      <c r="M169" s="594"/>
      <c r="N169" s="594">
        <v>1</v>
      </c>
      <c r="O169" s="594">
        <v>7006.78</v>
      </c>
      <c r="P169" s="616"/>
      <c r="Q169" s="595">
        <v>7006.78</v>
      </c>
    </row>
    <row r="170" spans="1:17" ht="14.4" customHeight="1" x14ac:dyDescent="0.3">
      <c r="A170" s="590" t="s">
        <v>485</v>
      </c>
      <c r="B170" s="591" t="s">
        <v>2529</v>
      </c>
      <c r="C170" s="591" t="s">
        <v>2530</v>
      </c>
      <c r="D170" s="591" t="s">
        <v>2582</v>
      </c>
      <c r="E170" s="591" t="s">
        <v>1527</v>
      </c>
      <c r="F170" s="594"/>
      <c r="G170" s="594"/>
      <c r="H170" s="594"/>
      <c r="I170" s="594"/>
      <c r="J170" s="594"/>
      <c r="K170" s="594"/>
      <c r="L170" s="594"/>
      <c r="M170" s="594"/>
      <c r="N170" s="594">
        <v>12</v>
      </c>
      <c r="O170" s="594">
        <v>35247.599999999999</v>
      </c>
      <c r="P170" s="616"/>
      <c r="Q170" s="595">
        <v>2937.2999999999997</v>
      </c>
    </row>
    <row r="171" spans="1:17" ht="14.4" customHeight="1" x14ac:dyDescent="0.3">
      <c r="A171" s="590" t="s">
        <v>485</v>
      </c>
      <c r="B171" s="591" t="s">
        <v>2529</v>
      </c>
      <c r="C171" s="591" t="s">
        <v>2530</v>
      </c>
      <c r="D171" s="591" t="s">
        <v>2583</v>
      </c>
      <c r="E171" s="591" t="s">
        <v>1608</v>
      </c>
      <c r="F171" s="594"/>
      <c r="G171" s="594"/>
      <c r="H171" s="594"/>
      <c r="I171" s="594"/>
      <c r="J171" s="594"/>
      <c r="K171" s="594"/>
      <c r="L171" s="594"/>
      <c r="M171" s="594"/>
      <c r="N171" s="594">
        <v>12</v>
      </c>
      <c r="O171" s="594">
        <v>182108.04</v>
      </c>
      <c r="P171" s="616"/>
      <c r="Q171" s="595">
        <v>15175.67</v>
      </c>
    </row>
    <row r="172" spans="1:17" ht="14.4" customHeight="1" x14ac:dyDescent="0.3">
      <c r="A172" s="590" t="s">
        <v>485</v>
      </c>
      <c r="B172" s="591" t="s">
        <v>2529</v>
      </c>
      <c r="C172" s="591" t="s">
        <v>2530</v>
      </c>
      <c r="D172" s="591" t="s">
        <v>2584</v>
      </c>
      <c r="E172" s="591" t="s">
        <v>1532</v>
      </c>
      <c r="F172" s="594"/>
      <c r="G172" s="594"/>
      <c r="H172" s="594"/>
      <c r="I172" s="594"/>
      <c r="J172" s="594"/>
      <c r="K172" s="594"/>
      <c r="L172" s="594"/>
      <c r="M172" s="594"/>
      <c r="N172" s="594">
        <v>1.6</v>
      </c>
      <c r="O172" s="594">
        <v>4667.68</v>
      </c>
      <c r="P172" s="616"/>
      <c r="Q172" s="595">
        <v>2917.3</v>
      </c>
    </row>
    <row r="173" spans="1:17" ht="14.4" customHeight="1" x14ac:dyDescent="0.3">
      <c r="A173" s="590" t="s">
        <v>485</v>
      </c>
      <c r="B173" s="591" t="s">
        <v>2529</v>
      </c>
      <c r="C173" s="591" t="s">
        <v>2530</v>
      </c>
      <c r="D173" s="591" t="s">
        <v>2585</v>
      </c>
      <c r="E173" s="591" t="s">
        <v>1619</v>
      </c>
      <c r="F173" s="594"/>
      <c r="G173" s="594"/>
      <c r="H173" s="594"/>
      <c r="I173" s="594"/>
      <c r="J173" s="594"/>
      <c r="K173" s="594"/>
      <c r="L173" s="594"/>
      <c r="M173" s="594"/>
      <c r="N173" s="594">
        <v>0.4</v>
      </c>
      <c r="O173" s="594">
        <v>4345.88</v>
      </c>
      <c r="P173" s="616"/>
      <c r="Q173" s="595">
        <v>10864.699999999999</v>
      </c>
    </row>
    <row r="174" spans="1:17" ht="14.4" customHeight="1" x14ac:dyDescent="0.3">
      <c r="A174" s="590" t="s">
        <v>485</v>
      </c>
      <c r="B174" s="591" t="s">
        <v>2529</v>
      </c>
      <c r="C174" s="591" t="s">
        <v>2586</v>
      </c>
      <c r="D174" s="591" t="s">
        <v>2587</v>
      </c>
      <c r="E174" s="591" t="s">
        <v>2588</v>
      </c>
      <c r="F174" s="594"/>
      <c r="G174" s="594"/>
      <c r="H174" s="594"/>
      <c r="I174" s="594"/>
      <c r="J174" s="594"/>
      <c r="K174" s="594"/>
      <c r="L174" s="594"/>
      <c r="M174" s="594"/>
      <c r="N174" s="594">
        <v>3</v>
      </c>
      <c r="O174" s="594">
        <v>3647.55</v>
      </c>
      <c r="P174" s="616"/>
      <c r="Q174" s="595">
        <v>1215.8500000000001</v>
      </c>
    </row>
    <row r="175" spans="1:17" ht="14.4" customHeight="1" x14ac:dyDescent="0.3">
      <c r="A175" s="590" t="s">
        <v>485</v>
      </c>
      <c r="B175" s="591" t="s">
        <v>2529</v>
      </c>
      <c r="C175" s="591" t="s">
        <v>2586</v>
      </c>
      <c r="D175" s="591" t="s">
        <v>2589</v>
      </c>
      <c r="E175" s="591" t="s">
        <v>2588</v>
      </c>
      <c r="F175" s="594"/>
      <c r="G175" s="594"/>
      <c r="H175" s="594"/>
      <c r="I175" s="594"/>
      <c r="J175" s="594"/>
      <c r="K175" s="594"/>
      <c r="L175" s="594"/>
      <c r="M175" s="594"/>
      <c r="N175" s="594">
        <v>407</v>
      </c>
      <c r="O175" s="594">
        <v>759291.06</v>
      </c>
      <c r="P175" s="616"/>
      <c r="Q175" s="595">
        <v>1865.5800000000002</v>
      </c>
    </row>
    <row r="176" spans="1:17" ht="14.4" customHeight="1" x14ac:dyDescent="0.3">
      <c r="A176" s="590" t="s">
        <v>485</v>
      </c>
      <c r="B176" s="591" t="s">
        <v>2529</v>
      </c>
      <c r="C176" s="591" t="s">
        <v>2586</v>
      </c>
      <c r="D176" s="591" t="s">
        <v>2590</v>
      </c>
      <c r="E176" s="591" t="s">
        <v>2588</v>
      </c>
      <c r="F176" s="594"/>
      <c r="G176" s="594"/>
      <c r="H176" s="594"/>
      <c r="I176" s="594"/>
      <c r="J176" s="594"/>
      <c r="K176" s="594"/>
      <c r="L176" s="594"/>
      <c r="M176" s="594"/>
      <c r="N176" s="594">
        <v>15</v>
      </c>
      <c r="O176" s="594">
        <v>40930.649999999994</v>
      </c>
      <c r="P176" s="616"/>
      <c r="Q176" s="595">
        <v>2728.7099999999996</v>
      </c>
    </row>
    <row r="177" spans="1:17" ht="14.4" customHeight="1" x14ac:dyDescent="0.3">
      <c r="A177" s="590" t="s">
        <v>485</v>
      </c>
      <c r="B177" s="591" t="s">
        <v>2529</v>
      </c>
      <c r="C177" s="591" t="s">
        <v>2586</v>
      </c>
      <c r="D177" s="591" t="s">
        <v>2591</v>
      </c>
      <c r="E177" s="591" t="s">
        <v>2588</v>
      </c>
      <c r="F177" s="594"/>
      <c r="G177" s="594"/>
      <c r="H177" s="594"/>
      <c r="I177" s="594"/>
      <c r="J177" s="594"/>
      <c r="K177" s="594"/>
      <c r="L177" s="594"/>
      <c r="M177" s="594"/>
      <c r="N177" s="594">
        <v>3</v>
      </c>
      <c r="O177" s="594">
        <v>5596.74</v>
      </c>
      <c r="P177" s="616"/>
      <c r="Q177" s="595">
        <v>1865.58</v>
      </c>
    </row>
    <row r="178" spans="1:17" ht="14.4" customHeight="1" x14ac:dyDescent="0.3">
      <c r="A178" s="590" t="s">
        <v>485</v>
      </c>
      <c r="B178" s="591" t="s">
        <v>2529</v>
      </c>
      <c r="C178" s="591" t="s">
        <v>2586</v>
      </c>
      <c r="D178" s="591" t="s">
        <v>2592</v>
      </c>
      <c r="E178" s="591" t="s">
        <v>2588</v>
      </c>
      <c r="F178" s="594"/>
      <c r="G178" s="594"/>
      <c r="H178" s="594"/>
      <c r="I178" s="594"/>
      <c r="J178" s="594"/>
      <c r="K178" s="594"/>
      <c r="L178" s="594"/>
      <c r="M178" s="594"/>
      <c r="N178" s="594">
        <v>1</v>
      </c>
      <c r="O178" s="594">
        <v>8191.63</v>
      </c>
      <c r="P178" s="616"/>
      <c r="Q178" s="595">
        <v>8191.63</v>
      </c>
    </row>
    <row r="179" spans="1:17" ht="14.4" customHeight="1" x14ac:dyDescent="0.3">
      <c r="A179" s="590" t="s">
        <v>485</v>
      </c>
      <c r="B179" s="591" t="s">
        <v>2529</v>
      </c>
      <c r="C179" s="591" t="s">
        <v>2586</v>
      </c>
      <c r="D179" s="591" t="s">
        <v>2593</v>
      </c>
      <c r="E179" s="591" t="s">
        <v>2588</v>
      </c>
      <c r="F179" s="594"/>
      <c r="G179" s="594"/>
      <c r="H179" s="594"/>
      <c r="I179" s="594"/>
      <c r="J179" s="594"/>
      <c r="K179" s="594"/>
      <c r="L179" s="594"/>
      <c r="M179" s="594"/>
      <c r="N179" s="594">
        <v>2</v>
      </c>
      <c r="O179" s="594">
        <v>16148.72</v>
      </c>
      <c r="P179" s="616"/>
      <c r="Q179" s="595">
        <v>8074.36</v>
      </c>
    </row>
    <row r="180" spans="1:17" ht="14.4" customHeight="1" x14ac:dyDescent="0.3">
      <c r="A180" s="590" t="s">
        <v>485</v>
      </c>
      <c r="B180" s="591" t="s">
        <v>2529</v>
      </c>
      <c r="C180" s="591" t="s">
        <v>2586</v>
      </c>
      <c r="D180" s="591" t="s">
        <v>2594</v>
      </c>
      <c r="E180" s="591" t="s">
        <v>2588</v>
      </c>
      <c r="F180" s="594"/>
      <c r="G180" s="594"/>
      <c r="H180" s="594"/>
      <c r="I180" s="594"/>
      <c r="J180" s="594"/>
      <c r="K180" s="594"/>
      <c r="L180" s="594"/>
      <c r="M180" s="594"/>
      <c r="N180" s="594">
        <v>28</v>
      </c>
      <c r="O180" s="594">
        <v>271210.8</v>
      </c>
      <c r="P180" s="616"/>
      <c r="Q180" s="595">
        <v>9686.1</v>
      </c>
    </row>
    <row r="181" spans="1:17" ht="14.4" customHeight="1" x14ac:dyDescent="0.3">
      <c r="A181" s="590" t="s">
        <v>485</v>
      </c>
      <c r="B181" s="591" t="s">
        <v>2529</v>
      </c>
      <c r="C181" s="591" t="s">
        <v>2586</v>
      </c>
      <c r="D181" s="591" t="s">
        <v>2595</v>
      </c>
      <c r="E181" s="591" t="s">
        <v>2588</v>
      </c>
      <c r="F181" s="594"/>
      <c r="G181" s="594"/>
      <c r="H181" s="594"/>
      <c r="I181" s="594"/>
      <c r="J181" s="594"/>
      <c r="K181" s="594"/>
      <c r="L181" s="594"/>
      <c r="M181" s="594"/>
      <c r="N181" s="594">
        <v>196</v>
      </c>
      <c r="O181" s="594">
        <v>181411.72</v>
      </c>
      <c r="P181" s="616"/>
      <c r="Q181" s="595">
        <v>925.57</v>
      </c>
    </row>
    <row r="182" spans="1:17" ht="14.4" customHeight="1" x14ac:dyDescent="0.3">
      <c r="A182" s="590" t="s">
        <v>485</v>
      </c>
      <c r="B182" s="591" t="s">
        <v>2529</v>
      </c>
      <c r="C182" s="591" t="s">
        <v>2586</v>
      </c>
      <c r="D182" s="591" t="s">
        <v>2596</v>
      </c>
      <c r="E182" s="591" t="s">
        <v>2588</v>
      </c>
      <c r="F182" s="594"/>
      <c r="G182" s="594"/>
      <c r="H182" s="594"/>
      <c r="I182" s="594"/>
      <c r="J182" s="594"/>
      <c r="K182" s="594"/>
      <c r="L182" s="594"/>
      <c r="M182" s="594"/>
      <c r="N182" s="594">
        <v>7</v>
      </c>
      <c r="O182" s="594">
        <v>1670.7600000000002</v>
      </c>
      <c r="P182" s="616"/>
      <c r="Q182" s="595">
        <v>238.68000000000004</v>
      </c>
    </row>
    <row r="183" spans="1:17" ht="14.4" customHeight="1" x14ac:dyDescent="0.3">
      <c r="A183" s="590" t="s">
        <v>485</v>
      </c>
      <c r="B183" s="591" t="s">
        <v>2529</v>
      </c>
      <c r="C183" s="591" t="s">
        <v>2597</v>
      </c>
      <c r="D183" s="591" t="s">
        <v>2598</v>
      </c>
      <c r="E183" s="591" t="s">
        <v>2599</v>
      </c>
      <c r="F183" s="594"/>
      <c r="G183" s="594"/>
      <c r="H183" s="594"/>
      <c r="I183" s="594"/>
      <c r="J183" s="594"/>
      <c r="K183" s="594"/>
      <c r="L183" s="594"/>
      <c r="M183" s="594"/>
      <c r="N183" s="594">
        <v>1</v>
      </c>
      <c r="O183" s="594">
        <v>329.98</v>
      </c>
      <c r="P183" s="616"/>
      <c r="Q183" s="595">
        <v>329.98</v>
      </c>
    </row>
    <row r="184" spans="1:17" ht="14.4" customHeight="1" x14ac:dyDescent="0.3">
      <c r="A184" s="590" t="s">
        <v>485</v>
      </c>
      <c r="B184" s="591" t="s">
        <v>2529</v>
      </c>
      <c r="C184" s="591" t="s">
        <v>2597</v>
      </c>
      <c r="D184" s="591" t="s">
        <v>2600</v>
      </c>
      <c r="E184" s="591" t="s">
        <v>2601</v>
      </c>
      <c r="F184" s="594"/>
      <c r="G184" s="594"/>
      <c r="H184" s="594"/>
      <c r="I184" s="594"/>
      <c r="J184" s="594"/>
      <c r="K184" s="594"/>
      <c r="L184" s="594"/>
      <c r="M184" s="594"/>
      <c r="N184" s="594">
        <v>0.2</v>
      </c>
      <c r="O184" s="594">
        <v>192.55</v>
      </c>
      <c r="P184" s="616"/>
      <c r="Q184" s="595">
        <v>962.75</v>
      </c>
    </row>
    <row r="185" spans="1:17" ht="14.4" customHeight="1" x14ac:dyDescent="0.3">
      <c r="A185" s="590" t="s">
        <v>485</v>
      </c>
      <c r="B185" s="591" t="s">
        <v>2529</v>
      </c>
      <c r="C185" s="591" t="s">
        <v>2597</v>
      </c>
      <c r="D185" s="591" t="s">
        <v>2602</v>
      </c>
      <c r="E185" s="591" t="s">
        <v>2601</v>
      </c>
      <c r="F185" s="594"/>
      <c r="G185" s="594"/>
      <c r="H185" s="594"/>
      <c r="I185" s="594"/>
      <c r="J185" s="594"/>
      <c r="K185" s="594"/>
      <c r="L185" s="594"/>
      <c r="M185" s="594"/>
      <c r="N185" s="594">
        <v>1.4</v>
      </c>
      <c r="O185" s="594">
        <v>881.41</v>
      </c>
      <c r="P185" s="616"/>
      <c r="Q185" s="595">
        <v>629.57857142857142</v>
      </c>
    </row>
    <row r="186" spans="1:17" ht="14.4" customHeight="1" x14ac:dyDescent="0.3">
      <c r="A186" s="590" t="s">
        <v>485</v>
      </c>
      <c r="B186" s="591" t="s">
        <v>2529</v>
      </c>
      <c r="C186" s="591" t="s">
        <v>2597</v>
      </c>
      <c r="D186" s="591" t="s">
        <v>2603</v>
      </c>
      <c r="E186" s="591" t="s">
        <v>2604</v>
      </c>
      <c r="F186" s="594"/>
      <c r="G186" s="594"/>
      <c r="H186" s="594"/>
      <c r="I186" s="594"/>
      <c r="J186" s="594"/>
      <c r="K186" s="594"/>
      <c r="L186" s="594"/>
      <c r="M186" s="594"/>
      <c r="N186" s="594">
        <v>6</v>
      </c>
      <c r="O186" s="594">
        <v>15387</v>
      </c>
      <c r="P186" s="616"/>
      <c r="Q186" s="595">
        <v>2564.5</v>
      </c>
    </row>
    <row r="187" spans="1:17" ht="14.4" customHeight="1" x14ac:dyDescent="0.3">
      <c r="A187" s="590" t="s">
        <v>485</v>
      </c>
      <c r="B187" s="591" t="s">
        <v>2529</v>
      </c>
      <c r="C187" s="591" t="s">
        <v>2597</v>
      </c>
      <c r="D187" s="591" t="s">
        <v>2605</v>
      </c>
      <c r="E187" s="591" t="s">
        <v>2606</v>
      </c>
      <c r="F187" s="594"/>
      <c r="G187" s="594"/>
      <c r="H187" s="594"/>
      <c r="I187" s="594"/>
      <c r="J187" s="594"/>
      <c r="K187" s="594"/>
      <c r="L187" s="594"/>
      <c r="M187" s="594"/>
      <c r="N187" s="594">
        <v>2</v>
      </c>
      <c r="O187" s="594">
        <v>3887.8</v>
      </c>
      <c r="P187" s="616"/>
      <c r="Q187" s="595">
        <v>1943.9</v>
      </c>
    </row>
    <row r="188" spans="1:17" ht="14.4" customHeight="1" x14ac:dyDescent="0.3">
      <c r="A188" s="590" t="s">
        <v>485</v>
      </c>
      <c r="B188" s="591" t="s">
        <v>2529</v>
      </c>
      <c r="C188" s="591" t="s">
        <v>2597</v>
      </c>
      <c r="D188" s="591" t="s">
        <v>2607</v>
      </c>
      <c r="E188" s="591" t="s">
        <v>2608</v>
      </c>
      <c r="F188" s="594"/>
      <c r="G188" s="594"/>
      <c r="H188" s="594"/>
      <c r="I188" s="594"/>
      <c r="J188" s="594"/>
      <c r="K188" s="594"/>
      <c r="L188" s="594"/>
      <c r="M188" s="594"/>
      <c r="N188" s="594">
        <v>2</v>
      </c>
      <c r="O188" s="594">
        <v>3887.8</v>
      </c>
      <c r="P188" s="616"/>
      <c r="Q188" s="595">
        <v>1943.9</v>
      </c>
    </row>
    <row r="189" spans="1:17" ht="14.4" customHeight="1" x14ac:dyDescent="0.3">
      <c r="A189" s="590" t="s">
        <v>485</v>
      </c>
      <c r="B189" s="591" t="s">
        <v>2529</v>
      </c>
      <c r="C189" s="591" t="s">
        <v>2597</v>
      </c>
      <c r="D189" s="591" t="s">
        <v>2609</v>
      </c>
      <c r="E189" s="591" t="s">
        <v>2610</v>
      </c>
      <c r="F189" s="594"/>
      <c r="G189" s="594"/>
      <c r="H189" s="594"/>
      <c r="I189" s="594"/>
      <c r="J189" s="594"/>
      <c r="K189" s="594"/>
      <c r="L189" s="594"/>
      <c r="M189" s="594"/>
      <c r="N189" s="594">
        <v>5</v>
      </c>
      <c r="O189" s="594">
        <v>345.1</v>
      </c>
      <c r="P189" s="616"/>
      <c r="Q189" s="595">
        <v>69.02000000000001</v>
      </c>
    </row>
    <row r="190" spans="1:17" ht="14.4" customHeight="1" x14ac:dyDescent="0.3">
      <c r="A190" s="590" t="s">
        <v>485</v>
      </c>
      <c r="B190" s="591" t="s">
        <v>2529</v>
      </c>
      <c r="C190" s="591" t="s">
        <v>2597</v>
      </c>
      <c r="D190" s="591" t="s">
        <v>2611</v>
      </c>
      <c r="E190" s="591" t="s">
        <v>2612</v>
      </c>
      <c r="F190" s="594"/>
      <c r="G190" s="594"/>
      <c r="H190" s="594"/>
      <c r="I190" s="594"/>
      <c r="J190" s="594"/>
      <c r="K190" s="594"/>
      <c r="L190" s="594"/>
      <c r="M190" s="594"/>
      <c r="N190" s="594">
        <v>1</v>
      </c>
      <c r="O190" s="594">
        <v>5440.91</v>
      </c>
      <c r="P190" s="616"/>
      <c r="Q190" s="595">
        <v>5440.91</v>
      </c>
    </row>
    <row r="191" spans="1:17" ht="14.4" customHeight="1" x14ac:dyDescent="0.3">
      <c r="A191" s="590" t="s">
        <v>485</v>
      </c>
      <c r="B191" s="591" t="s">
        <v>2529</v>
      </c>
      <c r="C191" s="591" t="s">
        <v>2597</v>
      </c>
      <c r="D191" s="591" t="s">
        <v>2613</v>
      </c>
      <c r="E191" s="591" t="s">
        <v>2614</v>
      </c>
      <c r="F191" s="594"/>
      <c r="G191" s="594"/>
      <c r="H191" s="594"/>
      <c r="I191" s="594"/>
      <c r="J191" s="594"/>
      <c r="K191" s="594"/>
      <c r="L191" s="594"/>
      <c r="M191" s="594"/>
      <c r="N191" s="594">
        <v>3</v>
      </c>
      <c r="O191" s="594">
        <v>20498.25</v>
      </c>
      <c r="P191" s="616"/>
      <c r="Q191" s="595">
        <v>6832.75</v>
      </c>
    </row>
    <row r="192" spans="1:17" ht="14.4" customHeight="1" x14ac:dyDescent="0.3">
      <c r="A192" s="590" t="s">
        <v>485</v>
      </c>
      <c r="B192" s="591" t="s">
        <v>2529</v>
      </c>
      <c r="C192" s="591" t="s">
        <v>2597</v>
      </c>
      <c r="D192" s="591" t="s">
        <v>2615</v>
      </c>
      <c r="E192" s="591" t="s">
        <v>2616</v>
      </c>
      <c r="F192" s="594"/>
      <c r="G192" s="594"/>
      <c r="H192" s="594"/>
      <c r="I192" s="594"/>
      <c r="J192" s="594"/>
      <c r="K192" s="594"/>
      <c r="L192" s="594"/>
      <c r="M192" s="594"/>
      <c r="N192" s="594">
        <v>1</v>
      </c>
      <c r="O192" s="594">
        <v>5083.3599999999997</v>
      </c>
      <c r="P192" s="616"/>
      <c r="Q192" s="595">
        <v>5083.3599999999997</v>
      </c>
    </row>
    <row r="193" spans="1:17" ht="14.4" customHeight="1" x14ac:dyDescent="0.3">
      <c r="A193" s="590" t="s">
        <v>485</v>
      </c>
      <c r="B193" s="591" t="s">
        <v>2529</v>
      </c>
      <c r="C193" s="591" t="s">
        <v>2597</v>
      </c>
      <c r="D193" s="591" t="s">
        <v>2617</v>
      </c>
      <c r="E193" s="591" t="s">
        <v>2618</v>
      </c>
      <c r="F193" s="594"/>
      <c r="G193" s="594"/>
      <c r="H193" s="594"/>
      <c r="I193" s="594"/>
      <c r="J193" s="594"/>
      <c r="K193" s="594"/>
      <c r="L193" s="594"/>
      <c r="M193" s="594"/>
      <c r="N193" s="594">
        <v>3</v>
      </c>
      <c r="O193" s="594">
        <v>19711.650000000001</v>
      </c>
      <c r="P193" s="616"/>
      <c r="Q193" s="595">
        <v>6570.55</v>
      </c>
    </row>
    <row r="194" spans="1:17" ht="14.4" customHeight="1" x14ac:dyDescent="0.3">
      <c r="A194" s="590" t="s">
        <v>485</v>
      </c>
      <c r="B194" s="591" t="s">
        <v>2529</v>
      </c>
      <c r="C194" s="591" t="s">
        <v>2597</v>
      </c>
      <c r="D194" s="591" t="s">
        <v>2619</v>
      </c>
      <c r="E194" s="591" t="s">
        <v>2610</v>
      </c>
      <c r="F194" s="594"/>
      <c r="G194" s="594"/>
      <c r="H194" s="594"/>
      <c r="I194" s="594"/>
      <c r="J194" s="594"/>
      <c r="K194" s="594"/>
      <c r="L194" s="594"/>
      <c r="M194" s="594"/>
      <c r="N194" s="594">
        <v>2</v>
      </c>
      <c r="O194" s="594">
        <v>242.5</v>
      </c>
      <c r="P194" s="616"/>
      <c r="Q194" s="595">
        <v>121.25</v>
      </c>
    </row>
    <row r="195" spans="1:17" ht="14.4" customHeight="1" x14ac:dyDescent="0.3">
      <c r="A195" s="590" t="s">
        <v>485</v>
      </c>
      <c r="B195" s="591" t="s">
        <v>2529</v>
      </c>
      <c r="C195" s="591" t="s">
        <v>2597</v>
      </c>
      <c r="D195" s="591" t="s">
        <v>2620</v>
      </c>
      <c r="E195" s="591" t="s">
        <v>2621</v>
      </c>
      <c r="F195" s="594"/>
      <c r="G195" s="594"/>
      <c r="H195" s="594"/>
      <c r="I195" s="594"/>
      <c r="J195" s="594"/>
      <c r="K195" s="594"/>
      <c r="L195" s="594"/>
      <c r="M195" s="594"/>
      <c r="N195" s="594">
        <v>3</v>
      </c>
      <c r="O195" s="594">
        <v>2367.87</v>
      </c>
      <c r="P195" s="616"/>
      <c r="Q195" s="595">
        <v>789.29</v>
      </c>
    </row>
    <row r="196" spans="1:17" ht="14.4" customHeight="1" x14ac:dyDescent="0.3">
      <c r="A196" s="590" t="s">
        <v>485</v>
      </c>
      <c r="B196" s="591" t="s">
        <v>2529</v>
      </c>
      <c r="C196" s="591" t="s">
        <v>2597</v>
      </c>
      <c r="D196" s="591" t="s">
        <v>2622</v>
      </c>
      <c r="E196" s="591" t="s">
        <v>2623</v>
      </c>
      <c r="F196" s="594"/>
      <c r="G196" s="594"/>
      <c r="H196" s="594"/>
      <c r="I196" s="594"/>
      <c r="J196" s="594"/>
      <c r="K196" s="594"/>
      <c r="L196" s="594"/>
      <c r="M196" s="594"/>
      <c r="N196" s="594">
        <v>1</v>
      </c>
      <c r="O196" s="594">
        <v>68578</v>
      </c>
      <c r="P196" s="616"/>
      <c r="Q196" s="595">
        <v>68578</v>
      </c>
    </row>
    <row r="197" spans="1:17" ht="14.4" customHeight="1" x14ac:dyDescent="0.3">
      <c r="A197" s="590" t="s">
        <v>485</v>
      </c>
      <c r="B197" s="591" t="s">
        <v>2529</v>
      </c>
      <c r="C197" s="591" t="s">
        <v>2597</v>
      </c>
      <c r="D197" s="591" t="s">
        <v>2624</v>
      </c>
      <c r="E197" s="591" t="s">
        <v>2625</v>
      </c>
      <c r="F197" s="594"/>
      <c r="G197" s="594"/>
      <c r="H197" s="594"/>
      <c r="I197" s="594"/>
      <c r="J197" s="594"/>
      <c r="K197" s="594"/>
      <c r="L197" s="594"/>
      <c r="M197" s="594"/>
      <c r="N197" s="594">
        <v>1</v>
      </c>
      <c r="O197" s="594">
        <v>15998.9</v>
      </c>
      <c r="P197" s="616"/>
      <c r="Q197" s="595">
        <v>15998.9</v>
      </c>
    </row>
    <row r="198" spans="1:17" ht="14.4" customHeight="1" x14ac:dyDescent="0.3">
      <c r="A198" s="590" t="s">
        <v>485</v>
      </c>
      <c r="B198" s="591" t="s">
        <v>2529</v>
      </c>
      <c r="C198" s="591" t="s">
        <v>2597</v>
      </c>
      <c r="D198" s="591" t="s">
        <v>2626</v>
      </c>
      <c r="E198" s="591" t="s">
        <v>2627</v>
      </c>
      <c r="F198" s="594"/>
      <c r="G198" s="594"/>
      <c r="H198" s="594"/>
      <c r="I198" s="594"/>
      <c r="J198" s="594"/>
      <c r="K198" s="594"/>
      <c r="L198" s="594"/>
      <c r="M198" s="594"/>
      <c r="N198" s="594">
        <v>2</v>
      </c>
      <c r="O198" s="594">
        <v>7428.44</v>
      </c>
      <c r="P198" s="616"/>
      <c r="Q198" s="595">
        <v>3714.22</v>
      </c>
    </row>
    <row r="199" spans="1:17" ht="14.4" customHeight="1" x14ac:dyDescent="0.3">
      <c r="A199" s="590" t="s">
        <v>485</v>
      </c>
      <c r="B199" s="591" t="s">
        <v>2529</v>
      </c>
      <c r="C199" s="591" t="s">
        <v>2597</v>
      </c>
      <c r="D199" s="591" t="s">
        <v>2628</v>
      </c>
      <c r="E199" s="591" t="s">
        <v>2629</v>
      </c>
      <c r="F199" s="594"/>
      <c r="G199" s="594"/>
      <c r="H199" s="594"/>
      <c r="I199" s="594"/>
      <c r="J199" s="594"/>
      <c r="K199" s="594"/>
      <c r="L199" s="594"/>
      <c r="M199" s="594"/>
      <c r="N199" s="594">
        <v>1</v>
      </c>
      <c r="O199" s="594">
        <v>10124.24</v>
      </c>
      <c r="P199" s="616"/>
      <c r="Q199" s="595">
        <v>10124.24</v>
      </c>
    </row>
    <row r="200" spans="1:17" ht="14.4" customHeight="1" x14ac:dyDescent="0.3">
      <c r="A200" s="590" t="s">
        <v>485</v>
      </c>
      <c r="B200" s="591" t="s">
        <v>2529</v>
      </c>
      <c r="C200" s="591" t="s">
        <v>2597</v>
      </c>
      <c r="D200" s="591" t="s">
        <v>2630</v>
      </c>
      <c r="E200" s="591" t="s">
        <v>2631</v>
      </c>
      <c r="F200" s="594"/>
      <c r="G200" s="594"/>
      <c r="H200" s="594"/>
      <c r="I200" s="594"/>
      <c r="J200" s="594"/>
      <c r="K200" s="594"/>
      <c r="L200" s="594"/>
      <c r="M200" s="594"/>
      <c r="N200" s="594">
        <v>1</v>
      </c>
      <c r="O200" s="594">
        <v>1796</v>
      </c>
      <c r="P200" s="616"/>
      <c r="Q200" s="595">
        <v>1796</v>
      </c>
    </row>
    <row r="201" spans="1:17" ht="14.4" customHeight="1" x14ac:dyDescent="0.3">
      <c r="A201" s="590" t="s">
        <v>485</v>
      </c>
      <c r="B201" s="591" t="s">
        <v>2529</v>
      </c>
      <c r="C201" s="591" t="s">
        <v>2597</v>
      </c>
      <c r="D201" s="591" t="s">
        <v>2632</v>
      </c>
      <c r="E201" s="591" t="s">
        <v>2633</v>
      </c>
      <c r="F201" s="594"/>
      <c r="G201" s="594"/>
      <c r="H201" s="594"/>
      <c r="I201" s="594"/>
      <c r="J201" s="594"/>
      <c r="K201" s="594"/>
      <c r="L201" s="594"/>
      <c r="M201" s="594"/>
      <c r="N201" s="594">
        <v>1</v>
      </c>
      <c r="O201" s="594">
        <v>1796</v>
      </c>
      <c r="P201" s="616"/>
      <c r="Q201" s="595">
        <v>1796</v>
      </c>
    </row>
    <row r="202" spans="1:17" ht="14.4" customHeight="1" x14ac:dyDescent="0.3">
      <c r="A202" s="590" t="s">
        <v>485</v>
      </c>
      <c r="B202" s="591" t="s">
        <v>2529</v>
      </c>
      <c r="C202" s="591" t="s">
        <v>2597</v>
      </c>
      <c r="D202" s="591" t="s">
        <v>2634</v>
      </c>
      <c r="E202" s="591" t="s">
        <v>2635</v>
      </c>
      <c r="F202" s="594"/>
      <c r="G202" s="594"/>
      <c r="H202" s="594"/>
      <c r="I202" s="594"/>
      <c r="J202" s="594"/>
      <c r="K202" s="594"/>
      <c r="L202" s="594"/>
      <c r="M202" s="594"/>
      <c r="N202" s="594">
        <v>1</v>
      </c>
      <c r="O202" s="594">
        <v>1796</v>
      </c>
      <c r="P202" s="616"/>
      <c r="Q202" s="595">
        <v>1796</v>
      </c>
    </row>
    <row r="203" spans="1:17" ht="14.4" customHeight="1" x14ac:dyDescent="0.3">
      <c r="A203" s="590" t="s">
        <v>485</v>
      </c>
      <c r="B203" s="591" t="s">
        <v>2529</v>
      </c>
      <c r="C203" s="591" t="s">
        <v>2597</v>
      </c>
      <c r="D203" s="591" t="s">
        <v>2636</v>
      </c>
      <c r="E203" s="591" t="s">
        <v>2637</v>
      </c>
      <c r="F203" s="594"/>
      <c r="G203" s="594"/>
      <c r="H203" s="594"/>
      <c r="I203" s="594"/>
      <c r="J203" s="594"/>
      <c r="K203" s="594"/>
      <c r="L203" s="594"/>
      <c r="M203" s="594"/>
      <c r="N203" s="594">
        <v>15</v>
      </c>
      <c r="O203" s="594">
        <v>8347.5</v>
      </c>
      <c r="P203" s="616"/>
      <c r="Q203" s="595">
        <v>556.5</v>
      </c>
    </row>
    <row r="204" spans="1:17" ht="14.4" customHeight="1" x14ac:dyDescent="0.3">
      <c r="A204" s="590" t="s">
        <v>485</v>
      </c>
      <c r="B204" s="591" t="s">
        <v>2529</v>
      </c>
      <c r="C204" s="591" t="s">
        <v>2597</v>
      </c>
      <c r="D204" s="591" t="s">
        <v>2638</v>
      </c>
      <c r="E204" s="591" t="s">
        <v>2601</v>
      </c>
      <c r="F204" s="594"/>
      <c r="G204" s="594"/>
      <c r="H204" s="594"/>
      <c r="I204" s="594"/>
      <c r="J204" s="594"/>
      <c r="K204" s="594"/>
      <c r="L204" s="594"/>
      <c r="M204" s="594"/>
      <c r="N204" s="594">
        <v>0.6</v>
      </c>
      <c r="O204" s="594">
        <v>151.21</v>
      </c>
      <c r="P204" s="616"/>
      <c r="Q204" s="595">
        <v>252.01666666666668</v>
      </c>
    </row>
    <row r="205" spans="1:17" ht="14.4" customHeight="1" x14ac:dyDescent="0.3">
      <c r="A205" s="590" t="s">
        <v>485</v>
      </c>
      <c r="B205" s="591" t="s">
        <v>2529</v>
      </c>
      <c r="C205" s="591" t="s">
        <v>2597</v>
      </c>
      <c r="D205" s="591" t="s">
        <v>2639</v>
      </c>
      <c r="E205" s="591" t="s">
        <v>2601</v>
      </c>
      <c r="F205" s="594"/>
      <c r="G205" s="594"/>
      <c r="H205" s="594"/>
      <c r="I205" s="594"/>
      <c r="J205" s="594"/>
      <c r="K205" s="594"/>
      <c r="L205" s="594"/>
      <c r="M205" s="594"/>
      <c r="N205" s="594">
        <v>8</v>
      </c>
      <c r="O205" s="594">
        <v>14790.96</v>
      </c>
      <c r="P205" s="616"/>
      <c r="Q205" s="595">
        <v>1848.87</v>
      </c>
    </row>
    <row r="206" spans="1:17" ht="14.4" customHeight="1" x14ac:dyDescent="0.3">
      <c r="A206" s="590" t="s">
        <v>485</v>
      </c>
      <c r="B206" s="591" t="s">
        <v>2529</v>
      </c>
      <c r="C206" s="591" t="s">
        <v>2597</v>
      </c>
      <c r="D206" s="591" t="s">
        <v>2640</v>
      </c>
      <c r="E206" s="591" t="s">
        <v>2641</v>
      </c>
      <c r="F206" s="594"/>
      <c r="G206" s="594"/>
      <c r="H206" s="594"/>
      <c r="I206" s="594"/>
      <c r="J206" s="594"/>
      <c r="K206" s="594"/>
      <c r="L206" s="594"/>
      <c r="M206" s="594"/>
      <c r="N206" s="594">
        <v>14</v>
      </c>
      <c r="O206" s="594">
        <v>18368</v>
      </c>
      <c r="P206" s="616"/>
      <c r="Q206" s="595">
        <v>1312</v>
      </c>
    </row>
    <row r="207" spans="1:17" ht="14.4" customHeight="1" x14ac:dyDescent="0.3">
      <c r="A207" s="590" t="s">
        <v>485</v>
      </c>
      <c r="B207" s="591" t="s">
        <v>2529</v>
      </c>
      <c r="C207" s="591" t="s">
        <v>2597</v>
      </c>
      <c r="D207" s="591" t="s">
        <v>2642</v>
      </c>
      <c r="E207" s="591" t="s">
        <v>2643</v>
      </c>
      <c r="F207" s="594"/>
      <c r="G207" s="594"/>
      <c r="H207" s="594"/>
      <c r="I207" s="594"/>
      <c r="J207" s="594"/>
      <c r="K207" s="594"/>
      <c r="L207" s="594"/>
      <c r="M207" s="594"/>
      <c r="N207" s="594">
        <v>10</v>
      </c>
      <c r="O207" s="594">
        <v>15600</v>
      </c>
      <c r="P207" s="616"/>
      <c r="Q207" s="595">
        <v>1560</v>
      </c>
    </row>
    <row r="208" spans="1:17" ht="14.4" customHeight="1" x14ac:dyDescent="0.3">
      <c r="A208" s="590" t="s">
        <v>485</v>
      </c>
      <c r="B208" s="591" t="s">
        <v>2529</v>
      </c>
      <c r="C208" s="591" t="s">
        <v>2597</v>
      </c>
      <c r="D208" s="591" t="s">
        <v>2644</v>
      </c>
      <c r="E208" s="591" t="s">
        <v>2645</v>
      </c>
      <c r="F208" s="594"/>
      <c r="G208" s="594"/>
      <c r="H208" s="594"/>
      <c r="I208" s="594"/>
      <c r="J208" s="594"/>
      <c r="K208" s="594"/>
      <c r="L208" s="594"/>
      <c r="M208" s="594"/>
      <c r="N208" s="594">
        <v>1</v>
      </c>
      <c r="O208" s="594">
        <v>3960</v>
      </c>
      <c r="P208" s="616"/>
      <c r="Q208" s="595">
        <v>3960</v>
      </c>
    </row>
    <row r="209" spans="1:17" ht="14.4" customHeight="1" x14ac:dyDescent="0.3">
      <c r="A209" s="590" t="s">
        <v>485</v>
      </c>
      <c r="B209" s="591" t="s">
        <v>2529</v>
      </c>
      <c r="C209" s="591" t="s">
        <v>2597</v>
      </c>
      <c r="D209" s="591" t="s">
        <v>2646</v>
      </c>
      <c r="E209" s="591" t="s">
        <v>2645</v>
      </c>
      <c r="F209" s="594"/>
      <c r="G209" s="594"/>
      <c r="H209" s="594"/>
      <c r="I209" s="594"/>
      <c r="J209" s="594"/>
      <c r="K209" s="594"/>
      <c r="L209" s="594"/>
      <c r="M209" s="594"/>
      <c r="N209" s="594">
        <v>2</v>
      </c>
      <c r="O209" s="594">
        <v>10800</v>
      </c>
      <c r="P209" s="616"/>
      <c r="Q209" s="595">
        <v>5400</v>
      </c>
    </row>
    <row r="210" spans="1:17" ht="14.4" customHeight="1" x14ac:dyDescent="0.3">
      <c r="A210" s="590" t="s">
        <v>485</v>
      </c>
      <c r="B210" s="591" t="s">
        <v>2529</v>
      </c>
      <c r="C210" s="591" t="s">
        <v>2597</v>
      </c>
      <c r="D210" s="591" t="s">
        <v>2647</v>
      </c>
      <c r="E210" s="591" t="s">
        <v>2648</v>
      </c>
      <c r="F210" s="594"/>
      <c r="G210" s="594"/>
      <c r="H210" s="594"/>
      <c r="I210" s="594"/>
      <c r="J210" s="594"/>
      <c r="K210" s="594"/>
      <c r="L210" s="594"/>
      <c r="M210" s="594"/>
      <c r="N210" s="594">
        <v>20</v>
      </c>
      <c r="O210" s="594">
        <v>11006</v>
      </c>
      <c r="P210" s="616"/>
      <c r="Q210" s="595">
        <v>550.29999999999995</v>
      </c>
    </row>
    <row r="211" spans="1:17" ht="14.4" customHeight="1" x14ac:dyDescent="0.3">
      <c r="A211" s="590" t="s">
        <v>485</v>
      </c>
      <c r="B211" s="591" t="s">
        <v>2529</v>
      </c>
      <c r="C211" s="591" t="s">
        <v>2597</v>
      </c>
      <c r="D211" s="591" t="s">
        <v>2649</v>
      </c>
      <c r="E211" s="591" t="s">
        <v>2650</v>
      </c>
      <c r="F211" s="594"/>
      <c r="G211" s="594"/>
      <c r="H211" s="594"/>
      <c r="I211" s="594"/>
      <c r="J211" s="594"/>
      <c r="K211" s="594"/>
      <c r="L211" s="594"/>
      <c r="M211" s="594"/>
      <c r="N211" s="594">
        <v>9</v>
      </c>
      <c r="O211" s="594">
        <v>5436</v>
      </c>
      <c r="P211" s="616"/>
      <c r="Q211" s="595">
        <v>604</v>
      </c>
    </row>
    <row r="212" spans="1:17" ht="14.4" customHeight="1" x14ac:dyDescent="0.3">
      <c r="A212" s="590" t="s">
        <v>485</v>
      </c>
      <c r="B212" s="591" t="s">
        <v>2529</v>
      </c>
      <c r="C212" s="591" t="s">
        <v>2597</v>
      </c>
      <c r="D212" s="591" t="s">
        <v>2651</v>
      </c>
      <c r="E212" s="591" t="s">
        <v>2652</v>
      </c>
      <c r="F212" s="594"/>
      <c r="G212" s="594"/>
      <c r="H212" s="594"/>
      <c r="I212" s="594"/>
      <c r="J212" s="594"/>
      <c r="K212" s="594"/>
      <c r="L212" s="594"/>
      <c r="M212" s="594"/>
      <c r="N212" s="594">
        <v>2</v>
      </c>
      <c r="O212" s="594">
        <v>6810.98</v>
      </c>
      <c r="P212" s="616"/>
      <c r="Q212" s="595">
        <v>3405.49</v>
      </c>
    </row>
    <row r="213" spans="1:17" ht="14.4" customHeight="1" x14ac:dyDescent="0.3">
      <c r="A213" s="590" t="s">
        <v>485</v>
      </c>
      <c r="B213" s="591" t="s">
        <v>2529</v>
      </c>
      <c r="C213" s="591" t="s">
        <v>2597</v>
      </c>
      <c r="D213" s="591" t="s">
        <v>2653</v>
      </c>
      <c r="E213" s="591" t="s">
        <v>2654</v>
      </c>
      <c r="F213" s="594"/>
      <c r="G213" s="594"/>
      <c r="H213" s="594"/>
      <c r="I213" s="594"/>
      <c r="J213" s="594"/>
      <c r="K213" s="594"/>
      <c r="L213" s="594"/>
      <c r="M213" s="594"/>
      <c r="N213" s="594">
        <v>1</v>
      </c>
      <c r="O213" s="594">
        <v>19433.599999999999</v>
      </c>
      <c r="P213" s="616"/>
      <c r="Q213" s="595">
        <v>19433.599999999999</v>
      </c>
    </row>
    <row r="214" spans="1:17" ht="14.4" customHeight="1" x14ac:dyDescent="0.3">
      <c r="A214" s="590" t="s">
        <v>485</v>
      </c>
      <c r="B214" s="591" t="s">
        <v>2529</v>
      </c>
      <c r="C214" s="591" t="s">
        <v>2597</v>
      </c>
      <c r="D214" s="591" t="s">
        <v>2655</v>
      </c>
      <c r="E214" s="591" t="s">
        <v>2656</v>
      </c>
      <c r="F214" s="594"/>
      <c r="G214" s="594"/>
      <c r="H214" s="594"/>
      <c r="I214" s="594"/>
      <c r="J214" s="594"/>
      <c r="K214" s="594"/>
      <c r="L214" s="594"/>
      <c r="M214" s="594"/>
      <c r="N214" s="594">
        <v>0.1</v>
      </c>
      <c r="O214" s="594">
        <v>633.25</v>
      </c>
      <c r="P214" s="616"/>
      <c r="Q214" s="595">
        <v>6332.5</v>
      </c>
    </row>
    <row r="215" spans="1:17" ht="14.4" customHeight="1" x14ac:dyDescent="0.3">
      <c r="A215" s="590" t="s">
        <v>485</v>
      </c>
      <c r="B215" s="591" t="s">
        <v>2529</v>
      </c>
      <c r="C215" s="591" t="s">
        <v>2597</v>
      </c>
      <c r="D215" s="591" t="s">
        <v>2657</v>
      </c>
      <c r="E215" s="591" t="s">
        <v>2658</v>
      </c>
      <c r="F215" s="594"/>
      <c r="G215" s="594"/>
      <c r="H215" s="594"/>
      <c r="I215" s="594"/>
      <c r="J215" s="594"/>
      <c r="K215" s="594"/>
      <c r="L215" s="594"/>
      <c r="M215" s="594"/>
      <c r="N215" s="594">
        <v>1</v>
      </c>
      <c r="O215" s="594">
        <v>3360</v>
      </c>
      <c r="P215" s="616"/>
      <c r="Q215" s="595">
        <v>3360</v>
      </c>
    </row>
    <row r="216" spans="1:17" ht="14.4" customHeight="1" x14ac:dyDescent="0.3">
      <c r="A216" s="590" t="s">
        <v>485</v>
      </c>
      <c r="B216" s="591" t="s">
        <v>2529</v>
      </c>
      <c r="C216" s="591" t="s">
        <v>2295</v>
      </c>
      <c r="D216" s="591" t="s">
        <v>2659</v>
      </c>
      <c r="E216" s="591" t="s">
        <v>2660</v>
      </c>
      <c r="F216" s="594"/>
      <c r="G216" s="594"/>
      <c r="H216" s="594"/>
      <c r="I216" s="594"/>
      <c r="J216" s="594"/>
      <c r="K216" s="594"/>
      <c r="L216" s="594"/>
      <c r="M216" s="594"/>
      <c r="N216" s="594">
        <v>3</v>
      </c>
      <c r="O216" s="594">
        <v>95898</v>
      </c>
      <c r="P216" s="616"/>
      <c r="Q216" s="595">
        <v>31966</v>
      </c>
    </row>
    <row r="217" spans="1:17" ht="14.4" customHeight="1" x14ac:dyDescent="0.3">
      <c r="A217" s="590" t="s">
        <v>485</v>
      </c>
      <c r="B217" s="591" t="s">
        <v>2529</v>
      </c>
      <c r="C217" s="591" t="s">
        <v>2295</v>
      </c>
      <c r="D217" s="591" t="s">
        <v>2661</v>
      </c>
      <c r="E217" s="591" t="s">
        <v>2662</v>
      </c>
      <c r="F217" s="594"/>
      <c r="G217" s="594"/>
      <c r="H217" s="594"/>
      <c r="I217" s="594"/>
      <c r="J217" s="594"/>
      <c r="K217" s="594"/>
      <c r="L217" s="594"/>
      <c r="M217" s="594"/>
      <c r="N217" s="594">
        <v>1088</v>
      </c>
      <c r="O217" s="594">
        <v>12943936</v>
      </c>
      <c r="P217" s="616"/>
      <c r="Q217" s="595">
        <v>11897</v>
      </c>
    </row>
    <row r="218" spans="1:17" ht="14.4" customHeight="1" x14ac:dyDescent="0.3">
      <c r="A218" s="590" t="s">
        <v>485</v>
      </c>
      <c r="B218" s="591" t="s">
        <v>2529</v>
      </c>
      <c r="C218" s="591" t="s">
        <v>2295</v>
      </c>
      <c r="D218" s="591" t="s">
        <v>2663</v>
      </c>
      <c r="E218" s="591" t="s">
        <v>2664</v>
      </c>
      <c r="F218" s="594"/>
      <c r="G218" s="594"/>
      <c r="H218" s="594"/>
      <c r="I218" s="594"/>
      <c r="J218" s="594"/>
      <c r="K218" s="594"/>
      <c r="L218" s="594"/>
      <c r="M218" s="594"/>
      <c r="N218" s="594">
        <v>1</v>
      </c>
      <c r="O218" s="594">
        <v>188</v>
      </c>
      <c r="P218" s="616"/>
      <c r="Q218" s="595">
        <v>188</v>
      </c>
    </row>
    <row r="219" spans="1:17" ht="14.4" customHeight="1" x14ac:dyDescent="0.3">
      <c r="A219" s="590" t="s">
        <v>485</v>
      </c>
      <c r="B219" s="591" t="s">
        <v>2529</v>
      </c>
      <c r="C219" s="591" t="s">
        <v>2295</v>
      </c>
      <c r="D219" s="591" t="s">
        <v>2665</v>
      </c>
      <c r="E219" s="591" t="s">
        <v>2666</v>
      </c>
      <c r="F219" s="594"/>
      <c r="G219" s="594"/>
      <c r="H219" s="594"/>
      <c r="I219" s="594"/>
      <c r="J219" s="594"/>
      <c r="K219" s="594"/>
      <c r="L219" s="594"/>
      <c r="M219" s="594"/>
      <c r="N219" s="594">
        <v>13</v>
      </c>
      <c r="O219" s="594">
        <v>5551</v>
      </c>
      <c r="P219" s="616"/>
      <c r="Q219" s="595">
        <v>427</v>
      </c>
    </row>
    <row r="220" spans="1:17" ht="14.4" customHeight="1" x14ac:dyDescent="0.3">
      <c r="A220" s="590" t="s">
        <v>485</v>
      </c>
      <c r="B220" s="591" t="s">
        <v>2529</v>
      </c>
      <c r="C220" s="591" t="s">
        <v>2295</v>
      </c>
      <c r="D220" s="591" t="s">
        <v>2667</v>
      </c>
      <c r="E220" s="591" t="s">
        <v>2668</v>
      </c>
      <c r="F220" s="594"/>
      <c r="G220" s="594"/>
      <c r="H220" s="594"/>
      <c r="I220" s="594"/>
      <c r="J220" s="594"/>
      <c r="K220" s="594"/>
      <c r="L220" s="594"/>
      <c r="M220" s="594"/>
      <c r="N220" s="594">
        <v>638</v>
      </c>
      <c r="O220" s="594">
        <v>244023</v>
      </c>
      <c r="P220" s="616"/>
      <c r="Q220" s="595">
        <v>382.48119122257054</v>
      </c>
    </row>
    <row r="221" spans="1:17" ht="14.4" customHeight="1" x14ac:dyDescent="0.3">
      <c r="A221" s="590" t="s">
        <v>485</v>
      </c>
      <c r="B221" s="591" t="s">
        <v>2529</v>
      </c>
      <c r="C221" s="591" t="s">
        <v>2295</v>
      </c>
      <c r="D221" s="591" t="s">
        <v>2669</v>
      </c>
      <c r="E221" s="591" t="s">
        <v>2670</v>
      </c>
      <c r="F221" s="594"/>
      <c r="G221" s="594"/>
      <c r="H221" s="594"/>
      <c r="I221" s="594"/>
      <c r="J221" s="594"/>
      <c r="K221" s="594"/>
      <c r="L221" s="594"/>
      <c r="M221" s="594"/>
      <c r="N221" s="594">
        <v>479</v>
      </c>
      <c r="O221" s="594">
        <v>111460</v>
      </c>
      <c r="P221" s="616"/>
      <c r="Q221" s="595">
        <v>232.69311064718164</v>
      </c>
    </row>
    <row r="222" spans="1:17" ht="14.4" customHeight="1" x14ac:dyDescent="0.3">
      <c r="A222" s="590" t="s">
        <v>485</v>
      </c>
      <c r="B222" s="591" t="s">
        <v>2529</v>
      </c>
      <c r="C222" s="591" t="s">
        <v>2295</v>
      </c>
      <c r="D222" s="591" t="s">
        <v>2671</v>
      </c>
      <c r="E222" s="591" t="s">
        <v>2672</v>
      </c>
      <c r="F222" s="594"/>
      <c r="G222" s="594"/>
      <c r="H222" s="594"/>
      <c r="I222" s="594"/>
      <c r="J222" s="594"/>
      <c r="K222" s="594"/>
      <c r="L222" s="594"/>
      <c r="M222" s="594"/>
      <c r="N222" s="594">
        <v>0</v>
      </c>
      <c r="O222" s="594">
        <v>0</v>
      </c>
      <c r="P222" s="616"/>
      <c r="Q222" s="595"/>
    </row>
    <row r="223" spans="1:17" ht="14.4" customHeight="1" x14ac:dyDescent="0.3">
      <c r="A223" s="590" t="s">
        <v>485</v>
      </c>
      <c r="B223" s="591" t="s">
        <v>2529</v>
      </c>
      <c r="C223" s="591" t="s">
        <v>2295</v>
      </c>
      <c r="D223" s="591" t="s">
        <v>2673</v>
      </c>
      <c r="E223" s="591" t="s">
        <v>2674</v>
      </c>
      <c r="F223" s="594"/>
      <c r="G223" s="594"/>
      <c r="H223" s="594"/>
      <c r="I223" s="594"/>
      <c r="J223" s="594"/>
      <c r="K223" s="594"/>
      <c r="L223" s="594"/>
      <c r="M223" s="594"/>
      <c r="N223" s="594">
        <v>581</v>
      </c>
      <c r="O223" s="594">
        <v>0</v>
      </c>
      <c r="P223" s="616"/>
      <c r="Q223" s="595">
        <v>0</v>
      </c>
    </row>
    <row r="224" spans="1:17" ht="14.4" customHeight="1" x14ac:dyDescent="0.3">
      <c r="A224" s="590" t="s">
        <v>485</v>
      </c>
      <c r="B224" s="591" t="s">
        <v>2529</v>
      </c>
      <c r="C224" s="591" t="s">
        <v>2295</v>
      </c>
      <c r="D224" s="591" t="s">
        <v>2675</v>
      </c>
      <c r="E224" s="591" t="s">
        <v>2676</v>
      </c>
      <c r="F224" s="594"/>
      <c r="G224" s="594"/>
      <c r="H224" s="594"/>
      <c r="I224" s="594"/>
      <c r="J224" s="594"/>
      <c r="K224" s="594"/>
      <c r="L224" s="594"/>
      <c r="M224" s="594"/>
      <c r="N224" s="594">
        <v>86</v>
      </c>
      <c r="O224" s="594">
        <v>0</v>
      </c>
      <c r="P224" s="616"/>
      <c r="Q224" s="595">
        <v>0</v>
      </c>
    </row>
    <row r="225" spans="1:17" ht="14.4" customHeight="1" x14ac:dyDescent="0.3">
      <c r="A225" s="590" t="s">
        <v>485</v>
      </c>
      <c r="B225" s="591" t="s">
        <v>2529</v>
      </c>
      <c r="C225" s="591" t="s">
        <v>2295</v>
      </c>
      <c r="D225" s="591" t="s">
        <v>2677</v>
      </c>
      <c r="E225" s="591" t="s">
        <v>2678</v>
      </c>
      <c r="F225" s="594"/>
      <c r="G225" s="594"/>
      <c r="H225" s="594"/>
      <c r="I225" s="594"/>
      <c r="J225" s="594"/>
      <c r="K225" s="594"/>
      <c r="L225" s="594"/>
      <c r="M225" s="594"/>
      <c r="N225" s="594">
        <v>29</v>
      </c>
      <c r="O225" s="594">
        <v>0</v>
      </c>
      <c r="P225" s="616"/>
      <c r="Q225" s="595">
        <v>0</v>
      </c>
    </row>
    <row r="226" spans="1:17" ht="14.4" customHeight="1" x14ac:dyDescent="0.3">
      <c r="A226" s="590" t="s">
        <v>485</v>
      </c>
      <c r="B226" s="591" t="s">
        <v>2529</v>
      </c>
      <c r="C226" s="591" t="s">
        <v>2295</v>
      </c>
      <c r="D226" s="591" t="s">
        <v>2679</v>
      </c>
      <c r="E226" s="591" t="s">
        <v>2680</v>
      </c>
      <c r="F226" s="594"/>
      <c r="G226" s="594"/>
      <c r="H226" s="594"/>
      <c r="I226" s="594"/>
      <c r="J226" s="594"/>
      <c r="K226" s="594"/>
      <c r="L226" s="594"/>
      <c r="M226" s="594"/>
      <c r="N226" s="594">
        <v>5</v>
      </c>
      <c r="O226" s="594">
        <v>0</v>
      </c>
      <c r="P226" s="616"/>
      <c r="Q226" s="595">
        <v>0</v>
      </c>
    </row>
    <row r="227" spans="1:17" ht="14.4" customHeight="1" x14ac:dyDescent="0.3">
      <c r="A227" s="590" t="s">
        <v>485</v>
      </c>
      <c r="B227" s="591" t="s">
        <v>2529</v>
      </c>
      <c r="C227" s="591" t="s">
        <v>2295</v>
      </c>
      <c r="D227" s="591" t="s">
        <v>2681</v>
      </c>
      <c r="E227" s="591" t="s">
        <v>2682</v>
      </c>
      <c r="F227" s="594"/>
      <c r="G227" s="594"/>
      <c r="H227" s="594"/>
      <c r="I227" s="594"/>
      <c r="J227" s="594"/>
      <c r="K227" s="594"/>
      <c r="L227" s="594"/>
      <c r="M227" s="594"/>
      <c r="N227" s="594">
        <v>1</v>
      </c>
      <c r="O227" s="594">
        <v>706</v>
      </c>
      <c r="P227" s="616"/>
      <c r="Q227" s="595">
        <v>706</v>
      </c>
    </row>
    <row r="228" spans="1:17" ht="14.4" customHeight="1" x14ac:dyDescent="0.3">
      <c r="A228" s="590" t="s">
        <v>485</v>
      </c>
      <c r="B228" s="591" t="s">
        <v>2529</v>
      </c>
      <c r="C228" s="591" t="s">
        <v>2295</v>
      </c>
      <c r="D228" s="591" t="s">
        <v>2683</v>
      </c>
      <c r="E228" s="591" t="s">
        <v>2678</v>
      </c>
      <c r="F228" s="594"/>
      <c r="G228" s="594"/>
      <c r="H228" s="594"/>
      <c r="I228" s="594"/>
      <c r="J228" s="594"/>
      <c r="K228" s="594"/>
      <c r="L228" s="594"/>
      <c r="M228" s="594"/>
      <c r="N228" s="594">
        <v>17</v>
      </c>
      <c r="O228" s="594">
        <v>0</v>
      </c>
      <c r="P228" s="616"/>
      <c r="Q228" s="595">
        <v>0</v>
      </c>
    </row>
    <row r="229" spans="1:17" ht="14.4" customHeight="1" x14ac:dyDescent="0.3">
      <c r="A229" s="590" t="s">
        <v>485</v>
      </c>
      <c r="B229" s="591" t="s">
        <v>2529</v>
      </c>
      <c r="C229" s="591" t="s">
        <v>2295</v>
      </c>
      <c r="D229" s="591" t="s">
        <v>2684</v>
      </c>
      <c r="E229" s="591" t="s">
        <v>2685</v>
      </c>
      <c r="F229" s="594"/>
      <c r="G229" s="594"/>
      <c r="H229" s="594"/>
      <c r="I229" s="594"/>
      <c r="J229" s="594"/>
      <c r="K229" s="594"/>
      <c r="L229" s="594"/>
      <c r="M229" s="594"/>
      <c r="N229" s="594">
        <v>27</v>
      </c>
      <c r="O229" s="594">
        <v>147852</v>
      </c>
      <c r="P229" s="616"/>
      <c r="Q229" s="595">
        <v>5476</v>
      </c>
    </row>
    <row r="230" spans="1:17" ht="14.4" customHeight="1" x14ac:dyDescent="0.3">
      <c r="A230" s="590" t="s">
        <v>485</v>
      </c>
      <c r="B230" s="591" t="s">
        <v>2529</v>
      </c>
      <c r="C230" s="591" t="s">
        <v>2295</v>
      </c>
      <c r="D230" s="591" t="s">
        <v>2686</v>
      </c>
      <c r="E230" s="591" t="s">
        <v>2687</v>
      </c>
      <c r="F230" s="594"/>
      <c r="G230" s="594"/>
      <c r="H230" s="594"/>
      <c r="I230" s="594"/>
      <c r="J230" s="594"/>
      <c r="K230" s="594"/>
      <c r="L230" s="594"/>
      <c r="M230" s="594"/>
      <c r="N230" s="594">
        <v>1</v>
      </c>
      <c r="O230" s="594">
        <v>0</v>
      </c>
      <c r="P230" s="616"/>
      <c r="Q230" s="595">
        <v>0</v>
      </c>
    </row>
    <row r="231" spans="1:17" ht="14.4" customHeight="1" x14ac:dyDescent="0.3">
      <c r="A231" s="590" t="s">
        <v>485</v>
      </c>
      <c r="B231" s="591" t="s">
        <v>2529</v>
      </c>
      <c r="C231" s="591" t="s">
        <v>2295</v>
      </c>
      <c r="D231" s="591" t="s">
        <v>2688</v>
      </c>
      <c r="E231" s="591" t="s">
        <v>2689</v>
      </c>
      <c r="F231" s="594"/>
      <c r="G231" s="594"/>
      <c r="H231" s="594"/>
      <c r="I231" s="594"/>
      <c r="J231" s="594"/>
      <c r="K231" s="594"/>
      <c r="L231" s="594"/>
      <c r="M231" s="594"/>
      <c r="N231" s="594">
        <v>80</v>
      </c>
      <c r="O231" s="594">
        <v>1917280</v>
      </c>
      <c r="P231" s="616"/>
      <c r="Q231" s="595">
        <v>23966</v>
      </c>
    </row>
    <row r="232" spans="1:17" ht="14.4" customHeight="1" x14ac:dyDescent="0.3">
      <c r="A232" s="590" t="s">
        <v>485</v>
      </c>
      <c r="B232" s="591" t="s">
        <v>2529</v>
      </c>
      <c r="C232" s="591" t="s">
        <v>2295</v>
      </c>
      <c r="D232" s="591" t="s">
        <v>2690</v>
      </c>
      <c r="E232" s="591" t="s">
        <v>2691</v>
      </c>
      <c r="F232" s="594"/>
      <c r="G232" s="594"/>
      <c r="H232" s="594"/>
      <c r="I232" s="594"/>
      <c r="J232" s="594"/>
      <c r="K232" s="594"/>
      <c r="L232" s="594"/>
      <c r="M232" s="594"/>
      <c r="N232" s="594">
        <v>187</v>
      </c>
      <c r="O232" s="594">
        <v>1248412</v>
      </c>
      <c r="P232" s="616"/>
      <c r="Q232" s="595">
        <v>6676</v>
      </c>
    </row>
    <row r="233" spans="1:17" ht="14.4" customHeight="1" x14ac:dyDescent="0.3">
      <c r="A233" s="590" t="s">
        <v>485</v>
      </c>
      <c r="B233" s="591" t="s">
        <v>2529</v>
      </c>
      <c r="C233" s="591" t="s">
        <v>2295</v>
      </c>
      <c r="D233" s="591" t="s">
        <v>2692</v>
      </c>
      <c r="E233" s="591" t="s">
        <v>2678</v>
      </c>
      <c r="F233" s="594"/>
      <c r="G233" s="594"/>
      <c r="H233" s="594"/>
      <c r="I233" s="594"/>
      <c r="J233" s="594"/>
      <c r="K233" s="594"/>
      <c r="L233" s="594"/>
      <c r="M233" s="594"/>
      <c r="N233" s="594">
        <v>6</v>
      </c>
      <c r="O233" s="594">
        <v>0</v>
      </c>
      <c r="P233" s="616"/>
      <c r="Q233" s="595">
        <v>0</v>
      </c>
    </row>
    <row r="234" spans="1:17" ht="14.4" customHeight="1" x14ac:dyDescent="0.3">
      <c r="A234" s="590" t="s">
        <v>485</v>
      </c>
      <c r="B234" s="591" t="s">
        <v>2529</v>
      </c>
      <c r="C234" s="591" t="s">
        <v>2295</v>
      </c>
      <c r="D234" s="591" t="s">
        <v>2693</v>
      </c>
      <c r="E234" s="591" t="s">
        <v>2694</v>
      </c>
      <c r="F234" s="594"/>
      <c r="G234" s="594"/>
      <c r="H234" s="594"/>
      <c r="I234" s="594"/>
      <c r="J234" s="594"/>
      <c r="K234" s="594"/>
      <c r="L234" s="594"/>
      <c r="M234" s="594"/>
      <c r="N234" s="594">
        <v>30</v>
      </c>
      <c r="O234" s="594">
        <v>838980</v>
      </c>
      <c r="P234" s="616"/>
      <c r="Q234" s="595">
        <v>27966</v>
      </c>
    </row>
    <row r="235" spans="1:17" ht="14.4" customHeight="1" x14ac:dyDescent="0.3">
      <c r="A235" s="590" t="s">
        <v>485</v>
      </c>
      <c r="B235" s="591" t="s">
        <v>2529</v>
      </c>
      <c r="C235" s="591" t="s">
        <v>2295</v>
      </c>
      <c r="D235" s="591" t="s">
        <v>2695</v>
      </c>
      <c r="E235" s="591" t="s">
        <v>2696</v>
      </c>
      <c r="F235" s="594"/>
      <c r="G235" s="594"/>
      <c r="H235" s="594"/>
      <c r="I235" s="594"/>
      <c r="J235" s="594"/>
      <c r="K235" s="594"/>
      <c r="L235" s="594"/>
      <c r="M235" s="594"/>
      <c r="N235" s="594">
        <v>235</v>
      </c>
      <c r="O235" s="594">
        <v>81240</v>
      </c>
      <c r="P235" s="616"/>
      <c r="Q235" s="595">
        <v>345.70212765957444</v>
      </c>
    </row>
    <row r="236" spans="1:17" ht="14.4" customHeight="1" x14ac:dyDescent="0.3">
      <c r="A236" s="590" t="s">
        <v>485</v>
      </c>
      <c r="B236" s="591" t="s">
        <v>2529</v>
      </c>
      <c r="C236" s="591" t="s">
        <v>2295</v>
      </c>
      <c r="D236" s="591" t="s">
        <v>2697</v>
      </c>
      <c r="E236" s="591" t="s">
        <v>2698</v>
      </c>
      <c r="F236" s="594"/>
      <c r="G236" s="594"/>
      <c r="H236" s="594"/>
      <c r="I236" s="594"/>
      <c r="J236" s="594"/>
      <c r="K236" s="594"/>
      <c r="L236" s="594"/>
      <c r="M236" s="594"/>
      <c r="N236" s="594">
        <v>22</v>
      </c>
      <c r="O236" s="594">
        <v>24420</v>
      </c>
      <c r="P236" s="616"/>
      <c r="Q236" s="595">
        <v>1110</v>
      </c>
    </row>
    <row r="237" spans="1:17" ht="14.4" customHeight="1" x14ac:dyDescent="0.3">
      <c r="A237" s="590" t="s">
        <v>485</v>
      </c>
      <c r="B237" s="591" t="s">
        <v>2529</v>
      </c>
      <c r="C237" s="591" t="s">
        <v>2295</v>
      </c>
      <c r="D237" s="591" t="s">
        <v>2699</v>
      </c>
      <c r="E237" s="591" t="s">
        <v>2700</v>
      </c>
      <c r="F237" s="594"/>
      <c r="G237" s="594"/>
      <c r="H237" s="594"/>
      <c r="I237" s="594"/>
      <c r="J237" s="594"/>
      <c r="K237" s="594"/>
      <c r="L237" s="594"/>
      <c r="M237" s="594"/>
      <c r="N237" s="594">
        <v>4</v>
      </c>
      <c r="O237" s="594">
        <v>0</v>
      </c>
      <c r="P237" s="616"/>
      <c r="Q237" s="595">
        <v>0</v>
      </c>
    </row>
    <row r="238" spans="1:17" ht="14.4" customHeight="1" x14ac:dyDescent="0.3">
      <c r="A238" s="590" t="s">
        <v>485</v>
      </c>
      <c r="B238" s="591" t="s">
        <v>2529</v>
      </c>
      <c r="C238" s="591" t="s">
        <v>2295</v>
      </c>
      <c r="D238" s="591" t="s">
        <v>2701</v>
      </c>
      <c r="E238" s="591" t="s">
        <v>2702</v>
      </c>
      <c r="F238" s="594"/>
      <c r="G238" s="594"/>
      <c r="H238" s="594"/>
      <c r="I238" s="594"/>
      <c r="J238" s="594"/>
      <c r="K238" s="594"/>
      <c r="L238" s="594"/>
      <c r="M238" s="594"/>
      <c r="N238" s="594">
        <v>1</v>
      </c>
      <c r="O238" s="594">
        <v>610</v>
      </c>
      <c r="P238" s="616"/>
      <c r="Q238" s="595">
        <v>610</v>
      </c>
    </row>
    <row r="239" spans="1:17" ht="14.4" customHeight="1" x14ac:dyDescent="0.3">
      <c r="A239" s="590" t="s">
        <v>485</v>
      </c>
      <c r="B239" s="591" t="s">
        <v>2529</v>
      </c>
      <c r="C239" s="591" t="s">
        <v>2295</v>
      </c>
      <c r="D239" s="591" t="s">
        <v>2703</v>
      </c>
      <c r="E239" s="591" t="s">
        <v>2678</v>
      </c>
      <c r="F239" s="594"/>
      <c r="G239" s="594"/>
      <c r="H239" s="594"/>
      <c r="I239" s="594"/>
      <c r="J239" s="594"/>
      <c r="K239" s="594"/>
      <c r="L239" s="594"/>
      <c r="M239" s="594"/>
      <c r="N239" s="594">
        <v>1</v>
      </c>
      <c r="O239" s="594">
        <v>0</v>
      </c>
      <c r="P239" s="616"/>
      <c r="Q239" s="595">
        <v>0</v>
      </c>
    </row>
    <row r="240" spans="1:17" ht="14.4" customHeight="1" x14ac:dyDescent="0.3">
      <c r="A240" s="590" t="s">
        <v>485</v>
      </c>
      <c r="B240" s="591" t="s">
        <v>2704</v>
      </c>
      <c r="C240" s="591" t="s">
        <v>2295</v>
      </c>
      <c r="D240" s="591" t="s">
        <v>2338</v>
      </c>
      <c r="E240" s="591" t="s">
        <v>2339</v>
      </c>
      <c r="F240" s="594"/>
      <c r="G240" s="594"/>
      <c r="H240" s="594"/>
      <c r="I240" s="594"/>
      <c r="J240" s="594"/>
      <c r="K240" s="594"/>
      <c r="L240" s="594"/>
      <c r="M240" s="594"/>
      <c r="N240" s="594">
        <v>1</v>
      </c>
      <c r="O240" s="594">
        <v>1363</v>
      </c>
      <c r="P240" s="616"/>
      <c r="Q240" s="595">
        <v>1363</v>
      </c>
    </row>
    <row r="241" spans="1:17" ht="14.4" customHeight="1" x14ac:dyDescent="0.3">
      <c r="A241" s="590" t="s">
        <v>485</v>
      </c>
      <c r="B241" s="591" t="s">
        <v>2704</v>
      </c>
      <c r="C241" s="591" t="s">
        <v>2295</v>
      </c>
      <c r="D241" s="591" t="s">
        <v>2705</v>
      </c>
      <c r="E241" s="591" t="s">
        <v>2706</v>
      </c>
      <c r="F241" s="594"/>
      <c r="G241" s="594"/>
      <c r="H241" s="594"/>
      <c r="I241" s="594"/>
      <c r="J241" s="594"/>
      <c r="K241" s="594"/>
      <c r="L241" s="594"/>
      <c r="M241" s="594"/>
      <c r="N241" s="594">
        <v>6</v>
      </c>
      <c r="O241" s="594">
        <v>396</v>
      </c>
      <c r="P241" s="616"/>
      <c r="Q241" s="595">
        <v>66</v>
      </c>
    </row>
    <row r="242" spans="1:17" ht="14.4" customHeight="1" x14ac:dyDescent="0.3">
      <c r="A242" s="590" t="s">
        <v>485</v>
      </c>
      <c r="B242" s="591" t="s">
        <v>2704</v>
      </c>
      <c r="C242" s="591" t="s">
        <v>2295</v>
      </c>
      <c r="D242" s="591" t="s">
        <v>2380</v>
      </c>
      <c r="E242" s="591" t="s">
        <v>2381</v>
      </c>
      <c r="F242" s="594"/>
      <c r="G242" s="594"/>
      <c r="H242" s="594"/>
      <c r="I242" s="594"/>
      <c r="J242" s="594"/>
      <c r="K242" s="594"/>
      <c r="L242" s="594"/>
      <c r="M242" s="594"/>
      <c r="N242" s="594">
        <v>1</v>
      </c>
      <c r="O242" s="594">
        <v>668</v>
      </c>
      <c r="P242" s="616"/>
      <c r="Q242" s="595">
        <v>668</v>
      </c>
    </row>
    <row r="243" spans="1:17" ht="14.4" customHeight="1" x14ac:dyDescent="0.3">
      <c r="A243" s="590" t="s">
        <v>485</v>
      </c>
      <c r="B243" s="591" t="s">
        <v>2704</v>
      </c>
      <c r="C243" s="591" t="s">
        <v>2295</v>
      </c>
      <c r="D243" s="591" t="s">
        <v>2390</v>
      </c>
      <c r="E243" s="591" t="s">
        <v>2391</v>
      </c>
      <c r="F243" s="594">
        <v>1</v>
      </c>
      <c r="G243" s="594">
        <v>1040</v>
      </c>
      <c r="H243" s="594">
        <v>1</v>
      </c>
      <c r="I243" s="594">
        <v>1040</v>
      </c>
      <c r="J243" s="594"/>
      <c r="K243" s="594"/>
      <c r="L243" s="594"/>
      <c r="M243" s="594"/>
      <c r="N243" s="594"/>
      <c r="O243" s="594"/>
      <c r="P243" s="616"/>
      <c r="Q243" s="595"/>
    </row>
    <row r="244" spans="1:17" ht="14.4" customHeight="1" x14ac:dyDescent="0.3">
      <c r="A244" s="590" t="s">
        <v>485</v>
      </c>
      <c r="B244" s="591" t="s">
        <v>2704</v>
      </c>
      <c r="C244" s="591" t="s">
        <v>2295</v>
      </c>
      <c r="D244" s="591" t="s">
        <v>2707</v>
      </c>
      <c r="E244" s="591" t="s">
        <v>2708</v>
      </c>
      <c r="F244" s="594">
        <v>1</v>
      </c>
      <c r="G244" s="594">
        <v>1647</v>
      </c>
      <c r="H244" s="594">
        <v>1</v>
      </c>
      <c r="I244" s="594">
        <v>1647</v>
      </c>
      <c r="J244" s="594"/>
      <c r="K244" s="594"/>
      <c r="L244" s="594"/>
      <c r="M244" s="594"/>
      <c r="N244" s="594">
        <v>1</v>
      </c>
      <c r="O244" s="594">
        <v>1653</v>
      </c>
      <c r="P244" s="616">
        <v>1.0036429872495447</v>
      </c>
      <c r="Q244" s="595">
        <v>1653</v>
      </c>
    </row>
    <row r="245" spans="1:17" ht="14.4" customHeight="1" x14ac:dyDescent="0.3">
      <c r="A245" s="590" t="s">
        <v>485</v>
      </c>
      <c r="B245" s="591" t="s">
        <v>2704</v>
      </c>
      <c r="C245" s="591" t="s">
        <v>2295</v>
      </c>
      <c r="D245" s="591" t="s">
        <v>2423</v>
      </c>
      <c r="E245" s="591" t="s">
        <v>2424</v>
      </c>
      <c r="F245" s="594"/>
      <c r="G245" s="594"/>
      <c r="H245" s="594"/>
      <c r="I245" s="594"/>
      <c r="J245" s="594"/>
      <c r="K245" s="594"/>
      <c r="L245" s="594"/>
      <c r="M245" s="594"/>
      <c r="N245" s="594">
        <v>2</v>
      </c>
      <c r="O245" s="594">
        <v>3548</v>
      </c>
      <c r="P245" s="616"/>
      <c r="Q245" s="595">
        <v>1774</v>
      </c>
    </row>
    <row r="246" spans="1:17" ht="14.4" customHeight="1" x14ac:dyDescent="0.3">
      <c r="A246" s="590" t="s">
        <v>485</v>
      </c>
      <c r="B246" s="591" t="s">
        <v>2709</v>
      </c>
      <c r="C246" s="591" t="s">
        <v>2295</v>
      </c>
      <c r="D246" s="591" t="s">
        <v>2710</v>
      </c>
      <c r="E246" s="591" t="s">
        <v>2711</v>
      </c>
      <c r="F246" s="594"/>
      <c r="G246" s="594"/>
      <c r="H246" s="594"/>
      <c r="I246" s="594"/>
      <c r="J246" s="594">
        <v>1</v>
      </c>
      <c r="K246" s="594">
        <v>1019</v>
      </c>
      <c r="L246" s="594"/>
      <c r="M246" s="594">
        <v>1019</v>
      </c>
      <c r="N246" s="594"/>
      <c r="O246" s="594"/>
      <c r="P246" s="616"/>
      <c r="Q246" s="595"/>
    </row>
    <row r="247" spans="1:17" ht="14.4" customHeight="1" x14ac:dyDescent="0.3">
      <c r="A247" s="590" t="s">
        <v>485</v>
      </c>
      <c r="B247" s="591" t="s">
        <v>2709</v>
      </c>
      <c r="C247" s="591" t="s">
        <v>2295</v>
      </c>
      <c r="D247" s="591" t="s">
        <v>2712</v>
      </c>
      <c r="E247" s="591" t="s">
        <v>2713</v>
      </c>
      <c r="F247" s="594"/>
      <c r="G247" s="594"/>
      <c r="H247" s="594"/>
      <c r="I247" s="594"/>
      <c r="J247" s="594">
        <v>1</v>
      </c>
      <c r="K247" s="594">
        <v>0</v>
      </c>
      <c r="L247" s="594"/>
      <c r="M247" s="594">
        <v>0</v>
      </c>
      <c r="N247" s="594"/>
      <c r="O247" s="594"/>
      <c r="P247" s="616"/>
      <c r="Q247" s="595"/>
    </row>
    <row r="248" spans="1:17" ht="14.4" customHeight="1" x14ac:dyDescent="0.3">
      <c r="A248" s="590" t="s">
        <v>485</v>
      </c>
      <c r="B248" s="591" t="s">
        <v>2714</v>
      </c>
      <c r="C248" s="591" t="s">
        <v>2295</v>
      </c>
      <c r="D248" s="591" t="s">
        <v>2715</v>
      </c>
      <c r="E248" s="591" t="s">
        <v>2716</v>
      </c>
      <c r="F248" s="594">
        <v>2</v>
      </c>
      <c r="G248" s="594">
        <v>686</v>
      </c>
      <c r="H248" s="594">
        <v>1</v>
      </c>
      <c r="I248" s="594">
        <v>343</v>
      </c>
      <c r="J248" s="594"/>
      <c r="K248" s="594"/>
      <c r="L248" s="594"/>
      <c r="M248" s="594"/>
      <c r="N248" s="594"/>
      <c r="O248" s="594"/>
      <c r="P248" s="616"/>
      <c r="Q248" s="595"/>
    </row>
    <row r="249" spans="1:17" ht="14.4" customHeight="1" x14ac:dyDescent="0.3">
      <c r="A249" s="590" t="s">
        <v>485</v>
      </c>
      <c r="B249" s="591" t="s">
        <v>2714</v>
      </c>
      <c r="C249" s="591" t="s">
        <v>2295</v>
      </c>
      <c r="D249" s="591" t="s">
        <v>2717</v>
      </c>
      <c r="E249" s="591" t="s">
        <v>2718</v>
      </c>
      <c r="F249" s="594">
        <v>2</v>
      </c>
      <c r="G249" s="594">
        <v>1814</v>
      </c>
      <c r="H249" s="594">
        <v>1</v>
      </c>
      <c r="I249" s="594">
        <v>907</v>
      </c>
      <c r="J249" s="594"/>
      <c r="K249" s="594"/>
      <c r="L249" s="594"/>
      <c r="M249" s="594"/>
      <c r="N249" s="594"/>
      <c r="O249" s="594"/>
      <c r="P249" s="616"/>
      <c r="Q249" s="595"/>
    </row>
    <row r="250" spans="1:17" ht="14.4" customHeight="1" x14ac:dyDescent="0.3">
      <c r="A250" s="590" t="s">
        <v>485</v>
      </c>
      <c r="B250" s="591" t="s">
        <v>2714</v>
      </c>
      <c r="C250" s="591" t="s">
        <v>2295</v>
      </c>
      <c r="D250" s="591" t="s">
        <v>2719</v>
      </c>
      <c r="E250" s="591" t="s">
        <v>2720</v>
      </c>
      <c r="F250" s="594">
        <v>1</v>
      </c>
      <c r="G250" s="594">
        <v>349</v>
      </c>
      <c r="H250" s="594">
        <v>1</v>
      </c>
      <c r="I250" s="594">
        <v>349</v>
      </c>
      <c r="J250" s="594"/>
      <c r="K250" s="594"/>
      <c r="L250" s="594"/>
      <c r="M250" s="594"/>
      <c r="N250" s="594"/>
      <c r="O250" s="594"/>
      <c r="P250" s="616"/>
      <c r="Q250" s="595"/>
    </row>
    <row r="251" spans="1:17" ht="14.4" customHeight="1" x14ac:dyDescent="0.3">
      <c r="A251" s="590" t="s">
        <v>485</v>
      </c>
      <c r="B251" s="591" t="s">
        <v>2714</v>
      </c>
      <c r="C251" s="591" t="s">
        <v>2295</v>
      </c>
      <c r="D251" s="591" t="s">
        <v>2721</v>
      </c>
      <c r="E251" s="591" t="s">
        <v>2722</v>
      </c>
      <c r="F251" s="594"/>
      <c r="G251" s="594"/>
      <c r="H251" s="594"/>
      <c r="I251" s="594"/>
      <c r="J251" s="594"/>
      <c r="K251" s="594"/>
      <c r="L251" s="594"/>
      <c r="M251" s="594"/>
      <c r="N251" s="594">
        <v>2</v>
      </c>
      <c r="O251" s="594">
        <v>1364</v>
      </c>
      <c r="P251" s="616"/>
      <c r="Q251" s="595">
        <v>682</v>
      </c>
    </row>
    <row r="252" spans="1:17" ht="14.4" customHeight="1" x14ac:dyDescent="0.3">
      <c r="A252" s="590" t="s">
        <v>485</v>
      </c>
      <c r="B252" s="591" t="s">
        <v>2714</v>
      </c>
      <c r="C252" s="591" t="s">
        <v>2295</v>
      </c>
      <c r="D252" s="591" t="s">
        <v>2723</v>
      </c>
      <c r="E252" s="591" t="s">
        <v>2724</v>
      </c>
      <c r="F252" s="594">
        <v>1</v>
      </c>
      <c r="G252" s="594">
        <v>311</v>
      </c>
      <c r="H252" s="594">
        <v>1</v>
      </c>
      <c r="I252" s="594">
        <v>311</v>
      </c>
      <c r="J252" s="594"/>
      <c r="K252" s="594"/>
      <c r="L252" s="594"/>
      <c r="M252" s="594"/>
      <c r="N252" s="594"/>
      <c r="O252" s="594"/>
      <c r="P252" s="616"/>
      <c r="Q252" s="595"/>
    </row>
    <row r="253" spans="1:17" ht="14.4" customHeight="1" x14ac:dyDescent="0.3">
      <c r="A253" s="590" t="s">
        <v>485</v>
      </c>
      <c r="B253" s="591" t="s">
        <v>2714</v>
      </c>
      <c r="C253" s="591" t="s">
        <v>2295</v>
      </c>
      <c r="D253" s="591" t="s">
        <v>2340</v>
      </c>
      <c r="E253" s="591" t="s">
        <v>2341</v>
      </c>
      <c r="F253" s="594"/>
      <c r="G253" s="594"/>
      <c r="H253" s="594"/>
      <c r="I253" s="594"/>
      <c r="J253" s="594">
        <v>1</v>
      </c>
      <c r="K253" s="594">
        <v>806</v>
      </c>
      <c r="L253" s="594"/>
      <c r="M253" s="594">
        <v>806</v>
      </c>
      <c r="N253" s="594">
        <v>1</v>
      </c>
      <c r="O253" s="594">
        <v>806</v>
      </c>
      <c r="P253" s="616"/>
      <c r="Q253" s="595">
        <v>806</v>
      </c>
    </row>
    <row r="254" spans="1:17" ht="14.4" customHeight="1" x14ac:dyDescent="0.3">
      <c r="A254" s="590" t="s">
        <v>485</v>
      </c>
      <c r="B254" s="591" t="s">
        <v>2714</v>
      </c>
      <c r="C254" s="591" t="s">
        <v>2295</v>
      </c>
      <c r="D254" s="591" t="s">
        <v>2725</v>
      </c>
      <c r="E254" s="591" t="s">
        <v>2726</v>
      </c>
      <c r="F254" s="594"/>
      <c r="G254" s="594"/>
      <c r="H254" s="594"/>
      <c r="I254" s="594"/>
      <c r="J254" s="594"/>
      <c r="K254" s="594"/>
      <c r="L254" s="594"/>
      <c r="M254" s="594"/>
      <c r="N254" s="594">
        <v>1</v>
      </c>
      <c r="O254" s="594">
        <v>2361</v>
      </c>
      <c r="P254" s="616"/>
      <c r="Q254" s="595">
        <v>2361</v>
      </c>
    </row>
    <row r="255" spans="1:17" ht="14.4" customHeight="1" x14ac:dyDescent="0.3">
      <c r="A255" s="590" t="s">
        <v>485</v>
      </c>
      <c r="B255" s="591" t="s">
        <v>2714</v>
      </c>
      <c r="C255" s="591" t="s">
        <v>2295</v>
      </c>
      <c r="D255" s="591" t="s">
        <v>2380</v>
      </c>
      <c r="E255" s="591" t="s">
        <v>2381</v>
      </c>
      <c r="F255" s="594">
        <v>1</v>
      </c>
      <c r="G255" s="594">
        <v>665</v>
      </c>
      <c r="H255" s="594">
        <v>1</v>
      </c>
      <c r="I255" s="594">
        <v>665</v>
      </c>
      <c r="J255" s="594"/>
      <c r="K255" s="594"/>
      <c r="L255" s="594"/>
      <c r="M255" s="594"/>
      <c r="N255" s="594"/>
      <c r="O255" s="594"/>
      <c r="P255" s="616"/>
      <c r="Q255" s="595"/>
    </row>
    <row r="256" spans="1:17" ht="14.4" customHeight="1" x14ac:dyDescent="0.3">
      <c r="A256" s="590" t="s">
        <v>485</v>
      </c>
      <c r="B256" s="591" t="s">
        <v>2714</v>
      </c>
      <c r="C256" s="591" t="s">
        <v>2295</v>
      </c>
      <c r="D256" s="591" t="s">
        <v>2727</v>
      </c>
      <c r="E256" s="591" t="s">
        <v>2728</v>
      </c>
      <c r="F256" s="594"/>
      <c r="G256" s="594"/>
      <c r="H256" s="594"/>
      <c r="I256" s="594"/>
      <c r="J256" s="594"/>
      <c r="K256" s="594"/>
      <c r="L256" s="594"/>
      <c r="M256" s="594"/>
      <c r="N256" s="594">
        <v>1</v>
      </c>
      <c r="O256" s="594">
        <v>2632</v>
      </c>
      <c r="P256" s="616"/>
      <c r="Q256" s="595">
        <v>2632</v>
      </c>
    </row>
    <row r="257" spans="1:17" ht="14.4" customHeight="1" x14ac:dyDescent="0.3">
      <c r="A257" s="590" t="s">
        <v>485</v>
      </c>
      <c r="B257" s="591" t="s">
        <v>2714</v>
      </c>
      <c r="C257" s="591" t="s">
        <v>2295</v>
      </c>
      <c r="D257" s="591" t="s">
        <v>2729</v>
      </c>
      <c r="E257" s="591" t="s">
        <v>2730</v>
      </c>
      <c r="F257" s="594">
        <v>3</v>
      </c>
      <c r="G257" s="594">
        <v>7173</v>
      </c>
      <c r="H257" s="594">
        <v>1</v>
      </c>
      <c r="I257" s="594">
        <v>2391</v>
      </c>
      <c r="J257" s="594"/>
      <c r="K257" s="594"/>
      <c r="L257" s="594"/>
      <c r="M257" s="594"/>
      <c r="N257" s="594"/>
      <c r="O257" s="594"/>
      <c r="P257" s="616"/>
      <c r="Q257" s="595"/>
    </row>
    <row r="258" spans="1:17" ht="14.4" customHeight="1" x14ac:dyDescent="0.3">
      <c r="A258" s="590" t="s">
        <v>485</v>
      </c>
      <c r="B258" s="591" t="s">
        <v>2714</v>
      </c>
      <c r="C258" s="591" t="s">
        <v>2295</v>
      </c>
      <c r="D258" s="591" t="s">
        <v>2731</v>
      </c>
      <c r="E258" s="591" t="s">
        <v>2732</v>
      </c>
      <c r="F258" s="594">
        <v>1</v>
      </c>
      <c r="G258" s="594">
        <v>2890</v>
      </c>
      <c r="H258" s="594">
        <v>1</v>
      </c>
      <c r="I258" s="594">
        <v>2890</v>
      </c>
      <c r="J258" s="594"/>
      <c r="K258" s="594"/>
      <c r="L258" s="594"/>
      <c r="M258" s="594"/>
      <c r="N258" s="594"/>
      <c r="O258" s="594"/>
      <c r="P258" s="616"/>
      <c r="Q258" s="595"/>
    </row>
    <row r="259" spans="1:17" ht="14.4" customHeight="1" x14ac:dyDescent="0.3">
      <c r="A259" s="590" t="s">
        <v>485</v>
      </c>
      <c r="B259" s="591" t="s">
        <v>2714</v>
      </c>
      <c r="C259" s="591" t="s">
        <v>2295</v>
      </c>
      <c r="D259" s="591" t="s">
        <v>2733</v>
      </c>
      <c r="E259" s="591" t="s">
        <v>2734</v>
      </c>
      <c r="F259" s="594">
        <v>2</v>
      </c>
      <c r="G259" s="594">
        <v>1186</v>
      </c>
      <c r="H259" s="594">
        <v>1</v>
      </c>
      <c r="I259" s="594">
        <v>593</v>
      </c>
      <c r="J259" s="594"/>
      <c r="K259" s="594"/>
      <c r="L259" s="594"/>
      <c r="M259" s="594"/>
      <c r="N259" s="594"/>
      <c r="O259" s="594"/>
      <c r="P259" s="616"/>
      <c r="Q259" s="595"/>
    </row>
    <row r="260" spans="1:17" ht="14.4" customHeight="1" x14ac:dyDescent="0.3">
      <c r="A260" s="590" t="s">
        <v>485</v>
      </c>
      <c r="B260" s="591" t="s">
        <v>2714</v>
      </c>
      <c r="C260" s="591" t="s">
        <v>2295</v>
      </c>
      <c r="D260" s="591" t="s">
        <v>2735</v>
      </c>
      <c r="E260" s="591" t="s">
        <v>2736</v>
      </c>
      <c r="F260" s="594">
        <v>1</v>
      </c>
      <c r="G260" s="594">
        <v>3108</v>
      </c>
      <c r="H260" s="594">
        <v>1</v>
      </c>
      <c r="I260" s="594">
        <v>3108</v>
      </c>
      <c r="J260" s="594"/>
      <c r="K260" s="594"/>
      <c r="L260" s="594"/>
      <c r="M260" s="594"/>
      <c r="N260" s="594"/>
      <c r="O260" s="594"/>
      <c r="P260" s="616"/>
      <c r="Q260" s="595"/>
    </row>
    <row r="261" spans="1:17" ht="14.4" customHeight="1" x14ac:dyDescent="0.3">
      <c r="A261" s="590" t="s">
        <v>485</v>
      </c>
      <c r="B261" s="591" t="s">
        <v>2714</v>
      </c>
      <c r="C261" s="591" t="s">
        <v>2295</v>
      </c>
      <c r="D261" s="591" t="s">
        <v>2737</v>
      </c>
      <c r="E261" s="591" t="s">
        <v>2738</v>
      </c>
      <c r="F261" s="594"/>
      <c r="G261" s="594"/>
      <c r="H261" s="594"/>
      <c r="I261" s="594"/>
      <c r="J261" s="594">
        <v>1</v>
      </c>
      <c r="K261" s="594">
        <v>1753</v>
      </c>
      <c r="L261" s="594"/>
      <c r="M261" s="594">
        <v>1753</v>
      </c>
      <c r="N261" s="594"/>
      <c r="O261" s="594"/>
      <c r="P261" s="616"/>
      <c r="Q261" s="595"/>
    </row>
    <row r="262" spans="1:17" ht="14.4" customHeight="1" x14ac:dyDescent="0.3">
      <c r="A262" s="590" t="s">
        <v>485</v>
      </c>
      <c r="B262" s="591" t="s">
        <v>2739</v>
      </c>
      <c r="C262" s="591" t="s">
        <v>2295</v>
      </c>
      <c r="D262" s="591" t="s">
        <v>2740</v>
      </c>
      <c r="E262" s="591" t="s">
        <v>2741</v>
      </c>
      <c r="F262" s="594"/>
      <c r="G262" s="594"/>
      <c r="H262" s="594"/>
      <c r="I262" s="594"/>
      <c r="J262" s="594"/>
      <c r="K262" s="594"/>
      <c r="L262" s="594"/>
      <c r="M262" s="594"/>
      <c r="N262" s="594">
        <v>1</v>
      </c>
      <c r="O262" s="594">
        <v>4985</v>
      </c>
      <c r="P262" s="616"/>
      <c r="Q262" s="595">
        <v>4985</v>
      </c>
    </row>
    <row r="263" spans="1:17" ht="14.4" customHeight="1" x14ac:dyDescent="0.3">
      <c r="A263" s="590" t="s">
        <v>485</v>
      </c>
      <c r="B263" s="591" t="s">
        <v>2739</v>
      </c>
      <c r="C263" s="591" t="s">
        <v>2295</v>
      </c>
      <c r="D263" s="591" t="s">
        <v>2742</v>
      </c>
      <c r="E263" s="591" t="s">
        <v>2743</v>
      </c>
      <c r="F263" s="594"/>
      <c r="G263" s="594"/>
      <c r="H263" s="594"/>
      <c r="I263" s="594"/>
      <c r="J263" s="594"/>
      <c r="K263" s="594"/>
      <c r="L263" s="594"/>
      <c r="M263" s="594"/>
      <c r="N263" s="594">
        <v>1</v>
      </c>
      <c r="O263" s="594">
        <v>5143</v>
      </c>
      <c r="P263" s="616"/>
      <c r="Q263" s="595">
        <v>5143</v>
      </c>
    </row>
    <row r="264" spans="1:17" ht="14.4" customHeight="1" x14ac:dyDescent="0.3">
      <c r="A264" s="590" t="s">
        <v>485</v>
      </c>
      <c r="B264" s="591" t="s">
        <v>2739</v>
      </c>
      <c r="C264" s="591" t="s">
        <v>2295</v>
      </c>
      <c r="D264" s="591" t="s">
        <v>2744</v>
      </c>
      <c r="E264" s="591" t="s">
        <v>2745</v>
      </c>
      <c r="F264" s="594"/>
      <c r="G264" s="594"/>
      <c r="H264" s="594"/>
      <c r="I264" s="594"/>
      <c r="J264" s="594"/>
      <c r="K264" s="594"/>
      <c r="L264" s="594"/>
      <c r="M264" s="594"/>
      <c r="N264" s="594">
        <v>1</v>
      </c>
      <c r="O264" s="594">
        <v>907</v>
      </c>
      <c r="P264" s="616"/>
      <c r="Q264" s="595">
        <v>907</v>
      </c>
    </row>
    <row r="265" spans="1:17" ht="14.4" customHeight="1" x14ac:dyDescent="0.3">
      <c r="A265" s="590" t="s">
        <v>485</v>
      </c>
      <c r="B265" s="591" t="s">
        <v>2739</v>
      </c>
      <c r="C265" s="591" t="s">
        <v>2295</v>
      </c>
      <c r="D265" s="591" t="s">
        <v>2746</v>
      </c>
      <c r="E265" s="591" t="s">
        <v>2747</v>
      </c>
      <c r="F265" s="594"/>
      <c r="G265" s="594"/>
      <c r="H265" s="594"/>
      <c r="I265" s="594"/>
      <c r="J265" s="594"/>
      <c r="K265" s="594"/>
      <c r="L265" s="594"/>
      <c r="M265" s="594"/>
      <c r="N265" s="594">
        <v>1</v>
      </c>
      <c r="O265" s="594">
        <v>109</v>
      </c>
      <c r="P265" s="616"/>
      <c r="Q265" s="595">
        <v>109</v>
      </c>
    </row>
    <row r="266" spans="1:17" ht="14.4" customHeight="1" x14ac:dyDescent="0.3">
      <c r="A266" s="590" t="s">
        <v>485</v>
      </c>
      <c r="B266" s="591" t="s">
        <v>2739</v>
      </c>
      <c r="C266" s="591" t="s">
        <v>2295</v>
      </c>
      <c r="D266" s="591" t="s">
        <v>2419</v>
      </c>
      <c r="E266" s="591" t="s">
        <v>2420</v>
      </c>
      <c r="F266" s="594"/>
      <c r="G266" s="594"/>
      <c r="H266" s="594"/>
      <c r="I266" s="594"/>
      <c r="J266" s="594"/>
      <c r="K266" s="594"/>
      <c r="L266" s="594"/>
      <c r="M266" s="594"/>
      <c r="N266" s="594">
        <v>1</v>
      </c>
      <c r="O266" s="594">
        <v>4340</v>
      </c>
      <c r="P266" s="616"/>
      <c r="Q266" s="595">
        <v>4340</v>
      </c>
    </row>
    <row r="267" spans="1:17" ht="14.4" customHeight="1" x14ac:dyDescent="0.3">
      <c r="A267" s="590" t="s">
        <v>485</v>
      </c>
      <c r="B267" s="591" t="s">
        <v>2748</v>
      </c>
      <c r="C267" s="591" t="s">
        <v>2295</v>
      </c>
      <c r="D267" s="591" t="s">
        <v>2749</v>
      </c>
      <c r="E267" s="591" t="s">
        <v>2750</v>
      </c>
      <c r="F267" s="594"/>
      <c r="G267" s="594"/>
      <c r="H267" s="594"/>
      <c r="I267" s="594"/>
      <c r="J267" s="594">
        <v>2</v>
      </c>
      <c r="K267" s="594">
        <v>484</v>
      </c>
      <c r="L267" s="594"/>
      <c r="M267" s="594">
        <v>242</v>
      </c>
      <c r="N267" s="594"/>
      <c r="O267" s="594"/>
      <c r="P267" s="616"/>
      <c r="Q267" s="595"/>
    </row>
    <row r="268" spans="1:17" ht="14.4" customHeight="1" x14ac:dyDescent="0.3">
      <c r="A268" s="590" t="s">
        <v>485</v>
      </c>
      <c r="B268" s="591" t="s">
        <v>2751</v>
      </c>
      <c r="C268" s="591" t="s">
        <v>2295</v>
      </c>
      <c r="D268" s="591" t="s">
        <v>2752</v>
      </c>
      <c r="E268" s="591" t="s">
        <v>2753</v>
      </c>
      <c r="F268" s="594"/>
      <c r="G268" s="594"/>
      <c r="H268" s="594"/>
      <c r="I268" s="594"/>
      <c r="J268" s="594">
        <v>1</v>
      </c>
      <c r="K268" s="594">
        <v>412</v>
      </c>
      <c r="L268" s="594"/>
      <c r="M268" s="594">
        <v>412</v>
      </c>
      <c r="N268" s="594"/>
      <c r="O268" s="594"/>
      <c r="P268" s="616"/>
      <c r="Q268" s="595"/>
    </row>
    <row r="269" spans="1:17" ht="14.4" customHeight="1" x14ac:dyDescent="0.3">
      <c r="A269" s="590" t="s">
        <v>485</v>
      </c>
      <c r="B269" s="591" t="s">
        <v>2751</v>
      </c>
      <c r="C269" s="591" t="s">
        <v>2295</v>
      </c>
      <c r="D269" s="591" t="s">
        <v>2754</v>
      </c>
      <c r="E269" s="591" t="s">
        <v>2755</v>
      </c>
      <c r="F269" s="594">
        <v>1</v>
      </c>
      <c r="G269" s="594">
        <v>245</v>
      </c>
      <c r="H269" s="594">
        <v>1</v>
      </c>
      <c r="I269" s="594">
        <v>245</v>
      </c>
      <c r="J269" s="594">
        <v>1</v>
      </c>
      <c r="K269" s="594">
        <v>248</v>
      </c>
      <c r="L269" s="594">
        <v>1.0122448979591836</v>
      </c>
      <c r="M269" s="594">
        <v>248</v>
      </c>
      <c r="N269" s="594"/>
      <c r="O269" s="594"/>
      <c r="P269" s="616"/>
      <c r="Q269" s="595"/>
    </row>
    <row r="270" spans="1:17" ht="14.4" customHeight="1" x14ac:dyDescent="0.3">
      <c r="A270" s="590" t="s">
        <v>485</v>
      </c>
      <c r="B270" s="591" t="s">
        <v>2751</v>
      </c>
      <c r="C270" s="591" t="s">
        <v>2295</v>
      </c>
      <c r="D270" s="591" t="s">
        <v>2756</v>
      </c>
      <c r="E270" s="591" t="s">
        <v>2757</v>
      </c>
      <c r="F270" s="594"/>
      <c r="G270" s="594"/>
      <c r="H270" s="594"/>
      <c r="I270" s="594"/>
      <c r="J270" s="594">
        <v>1</v>
      </c>
      <c r="K270" s="594">
        <v>1500</v>
      </c>
      <c r="L270" s="594"/>
      <c r="M270" s="594">
        <v>1500</v>
      </c>
      <c r="N270" s="594"/>
      <c r="O270" s="594"/>
      <c r="P270" s="616"/>
      <c r="Q270" s="595"/>
    </row>
    <row r="271" spans="1:17" ht="14.4" customHeight="1" x14ac:dyDescent="0.3">
      <c r="A271" s="590" t="s">
        <v>485</v>
      </c>
      <c r="B271" s="591" t="s">
        <v>2751</v>
      </c>
      <c r="C271" s="591" t="s">
        <v>2295</v>
      </c>
      <c r="D271" s="591" t="s">
        <v>2758</v>
      </c>
      <c r="E271" s="591" t="s">
        <v>2759</v>
      </c>
      <c r="F271" s="594"/>
      <c r="G271" s="594"/>
      <c r="H271" s="594"/>
      <c r="I271" s="594"/>
      <c r="J271" s="594">
        <v>1</v>
      </c>
      <c r="K271" s="594">
        <v>1834</v>
      </c>
      <c r="L271" s="594"/>
      <c r="M271" s="594">
        <v>1834</v>
      </c>
      <c r="N271" s="594"/>
      <c r="O271" s="594"/>
      <c r="P271" s="616"/>
      <c r="Q271" s="595"/>
    </row>
    <row r="272" spans="1:17" ht="14.4" customHeight="1" x14ac:dyDescent="0.3">
      <c r="A272" s="590" t="s">
        <v>485</v>
      </c>
      <c r="B272" s="591" t="s">
        <v>2751</v>
      </c>
      <c r="C272" s="591" t="s">
        <v>2295</v>
      </c>
      <c r="D272" s="591" t="s">
        <v>2760</v>
      </c>
      <c r="E272" s="591" t="s">
        <v>2761</v>
      </c>
      <c r="F272" s="594"/>
      <c r="G272" s="594"/>
      <c r="H272" s="594"/>
      <c r="I272" s="594"/>
      <c r="J272" s="594">
        <v>1</v>
      </c>
      <c r="K272" s="594">
        <v>3035</v>
      </c>
      <c r="L272" s="594"/>
      <c r="M272" s="594">
        <v>3035</v>
      </c>
      <c r="N272" s="594"/>
      <c r="O272" s="594"/>
      <c r="P272" s="616"/>
      <c r="Q272" s="595"/>
    </row>
    <row r="273" spans="1:17" ht="14.4" customHeight="1" x14ac:dyDescent="0.3">
      <c r="A273" s="590" t="s">
        <v>485</v>
      </c>
      <c r="B273" s="591" t="s">
        <v>2751</v>
      </c>
      <c r="C273" s="591" t="s">
        <v>2295</v>
      </c>
      <c r="D273" s="591" t="s">
        <v>2340</v>
      </c>
      <c r="E273" s="591" t="s">
        <v>2341</v>
      </c>
      <c r="F273" s="594"/>
      <c r="G273" s="594"/>
      <c r="H273" s="594"/>
      <c r="I273" s="594"/>
      <c r="J273" s="594">
        <v>3</v>
      </c>
      <c r="K273" s="594">
        <v>2418</v>
      </c>
      <c r="L273" s="594"/>
      <c r="M273" s="594">
        <v>806</v>
      </c>
      <c r="N273" s="594">
        <v>1</v>
      </c>
      <c r="O273" s="594">
        <v>806</v>
      </c>
      <c r="P273" s="616"/>
      <c r="Q273" s="595">
        <v>806</v>
      </c>
    </row>
    <row r="274" spans="1:17" ht="14.4" customHeight="1" x14ac:dyDescent="0.3">
      <c r="A274" s="590" t="s">
        <v>485</v>
      </c>
      <c r="B274" s="591" t="s">
        <v>2751</v>
      </c>
      <c r="C274" s="591" t="s">
        <v>2295</v>
      </c>
      <c r="D274" s="591" t="s">
        <v>2762</v>
      </c>
      <c r="E274" s="591" t="s">
        <v>2763</v>
      </c>
      <c r="F274" s="594">
        <v>1</v>
      </c>
      <c r="G274" s="594">
        <v>1174</v>
      </c>
      <c r="H274" s="594">
        <v>1</v>
      </c>
      <c r="I274" s="594">
        <v>1174</v>
      </c>
      <c r="J274" s="594"/>
      <c r="K274" s="594"/>
      <c r="L274" s="594"/>
      <c r="M274" s="594"/>
      <c r="N274" s="594"/>
      <c r="O274" s="594"/>
      <c r="P274" s="616"/>
      <c r="Q274" s="595"/>
    </row>
    <row r="275" spans="1:17" ht="14.4" customHeight="1" x14ac:dyDescent="0.3">
      <c r="A275" s="590" t="s">
        <v>485</v>
      </c>
      <c r="B275" s="591" t="s">
        <v>2751</v>
      </c>
      <c r="C275" s="591" t="s">
        <v>2295</v>
      </c>
      <c r="D275" s="591" t="s">
        <v>2764</v>
      </c>
      <c r="E275" s="591" t="s">
        <v>2765</v>
      </c>
      <c r="F275" s="594"/>
      <c r="G275" s="594"/>
      <c r="H275" s="594"/>
      <c r="I275" s="594"/>
      <c r="J275" s="594">
        <v>1</v>
      </c>
      <c r="K275" s="594">
        <v>1418</v>
      </c>
      <c r="L275" s="594"/>
      <c r="M275" s="594">
        <v>1418</v>
      </c>
      <c r="N275" s="594"/>
      <c r="O275" s="594"/>
      <c r="P275" s="616"/>
      <c r="Q275" s="595"/>
    </row>
    <row r="276" spans="1:17" ht="14.4" customHeight="1" x14ac:dyDescent="0.3">
      <c r="A276" s="590" t="s">
        <v>485</v>
      </c>
      <c r="B276" s="591" t="s">
        <v>2751</v>
      </c>
      <c r="C276" s="591" t="s">
        <v>2295</v>
      </c>
      <c r="D276" s="591" t="s">
        <v>2766</v>
      </c>
      <c r="E276" s="591" t="s">
        <v>2767</v>
      </c>
      <c r="F276" s="594"/>
      <c r="G276" s="594"/>
      <c r="H276" s="594"/>
      <c r="I276" s="594"/>
      <c r="J276" s="594">
        <v>1</v>
      </c>
      <c r="K276" s="594">
        <v>587</v>
      </c>
      <c r="L276" s="594"/>
      <c r="M276" s="594">
        <v>587</v>
      </c>
      <c r="N276" s="594"/>
      <c r="O276" s="594"/>
      <c r="P276" s="616"/>
      <c r="Q276" s="595"/>
    </row>
    <row r="277" spans="1:17" ht="14.4" customHeight="1" x14ac:dyDescent="0.3">
      <c r="A277" s="590" t="s">
        <v>485</v>
      </c>
      <c r="B277" s="591" t="s">
        <v>2768</v>
      </c>
      <c r="C277" s="591" t="s">
        <v>2295</v>
      </c>
      <c r="D277" s="591" t="s">
        <v>2314</v>
      </c>
      <c r="E277" s="591" t="s">
        <v>2315</v>
      </c>
      <c r="F277" s="594"/>
      <c r="G277" s="594"/>
      <c r="H277" s="594"/>
      <c r="I277" s="594"/>
      <c r="J277" s="594">
        <v>2</v>
      </c>
      <c r="K277" s="594">
        <v>4106</v>
      </c>
      <c r="L277" s="594"/>
      <c r="M277" s="594">
        <v>2053</v>
      </c>
      <c r="N277" s="594"/>
      <c r="O277" s="594"/>
      <c r="P277" s="616"/>
      <c r="Q277" s="595"/>
    </row>
    <row r="278" spans="1:17" ht="14.4" customHeight="1" x14ac:dyDescent="0.3">
      <c r="A278" s="590" t="s">
        <v>485</v>
      </c>
      <c r="B278" s="591" t="s">
        <v>2768</v>
      </c>
      <c r="C278" s="591" t="s">
        <v>2295</v>
      </c>
      <c r="D278" s="591" t="s">
        <v>2316</v>
      </c>
      <c r="E278" s="591" t="s">
        <v>2317</v>
      </c>
      <c r="F278" s="594">
        <v>1</v>
      </c>
      <c r="G278" s="594">
        <v>1611</v>
      </c>
      <c r="H278" s="594">
        <v>1</v>
      </c>
      <c r="I278" s="594">
        <v>1611</v>
      </c>
      <c r="J278" s="594"/>
      <c r="K278" s="594"/>
      <c r="L278" s="594"/>
      <c r="M278" s="594"/>
      <c r="N278" s="594"/>
      <c r="O278" s="594"/>
      <c r="P278" s="616"/>
      <c r="Q278" s="595"/>
    </row>
    <row r="279" spans="1:17" ht="14.4" customHeight="1" x14ac:dyDescent="0.3">
      <c r="A279" s="590" t="s">
        <v>485</v>
      </c>
      <c r="B279" s="591" t="s">
        <v>2768</v>
      </c>
      <c r="C279" s="591" t="s">
        <v>2295</v>
      </c>
      <c r="D279" s="591" t="s">
        <v>2769</v>
      </c>
      <c r="E279" s="591" t="s">
        <v>2770</v>
      </c>
      <c r="F279" s="594"/>
      <c r="G279" s="594"/>
      <c r="H279" s="594"/>
      <c r="I279" s="594"/>
      <c r="J279" s="594">
        <v>1</v>
      </c>
      <c r="K279" s="594">
        <v>6363</v>
      </c>
      <c r="L279" s="594"/>
      <c r="M279" s="594">
        <v>6363</v>
      </c>
      <c r="N279" s="594"/>
      <c r="O279" s="594"/>
      <c r="P279" s="616"/>
      <c r="Q279" s="595"/>
    </row>
    <row r="280" spans="1:17" ht="14.4" customHeight="1" x14ac:dyDescent="0.3">
      <c r="A280" s="590" t="s">
        <v>485</v>
      </c>
      <c r="B280" s="591" t="s">
        <v>2768</v>
      </c>
      <c r="C280" s="591" t="s">
        <v>2295</v>
      </c>
      <c r="D280" s="591" t="s">
        <v>2771</v>
      </c>
      <c r="E280" s="591" t="s">
        <v>2772</v>
      </c>
      <c r="F280" s="594"/>
      <c r="G280" s="594"/>
      <c r="H280" s="594"/>
      <c r="I280" s="594"/>
      <c r="J280" s="594">
        <v>1</v>
      </c>
      <c r="K280" s="594">
        <v>303</v>
      </c>
      <c r="L280" s="594"/>
      <c r="M280" s="594">
        <v>303</v>
      </c>
      <c r="N280" s="594"/>
      <c r="O280" s="594"/>
      <c r="P280" s="616"/>
      <c r="Q280" s="595"/>
    </row>
    <row r="281" spans="1:17" ht="14.4" customHeight="1" x14ac:dyDescent="0.3">
      <c r="A281" s="590" t="s">
        <v>485</v>
      </c>
      <c r="B281" s="591" t="s">
        <v>2768</v>
      </c>
      <c r="C281" s="591" t="s">
        <v>2295</v>
      </c>
      <c r="D281" s="591" t="s">
        <v>2773</v>
      </c>
      <c r="E281" s="591" t="s">
        <v>2774</v>
      </c>
      <c r="F281" s="594">
        <v>1</v>
      </c>
      <c r="G281" s="594">
        <v>2990</v>
      </c>
      <c r="H281" s="594">
        <v>1</v>
      </c>
      <c r="I281" s="594">
        <v>2990</v>
      </c>
      <c r="J281" s="594">
        <v>1</v>
      </c>
      <c r="K281" s="594">
        <v>3002</v>
      </c>
      <c r="L281" s="594">
        <v>1.0040133779264213</v>
      </c>
      <c r="M281" s="594">
        <v>3002</v>
      </c>
      <c r="N281" s="594"/>
      <c r="O281" s="594"/>
      <c r="P281" s="616"/>
      <c r="Q281" s="595"/>
    </row>
    <row r="282" spans="1:17" ht="14.4" customHeight="1" x14ac:dyDescent="0.3">
      <c r="A282" s="590" t="s">
        <v>485</v>
      </c>
      <c r="B282" s="591" t="s">
        <v>2775</v>
      </c>
      <c r="C282" s="591" t="s">
        <v>2530</v>
      </c>
      <c r="D282" s="591" t="s">
        <v>2533</v>
      </c>
      <c r="E282" s="591" t="s">
        <v>2534</v>
      </c>
      <c r="F282" s="594">
        <v>20</v>
      </c>
      <c r="G282" s="594">
        <v>2936.88</v>
      </c>
      <c r="H282" s="594">
        <v>1</v>
      </c>
      <c r="I282" s="594">
        <v>146.84399999999999</v>
      </c>
      <c r="J282" s="594">
        <v>15</v>
      </c>
      <c r="K282" s="594">
        <v>1249.5</v>
      </c>
      <c r="L282" s="594">
        <v>0.4254514995505434</v>
      </c>
      <c r="M282" s="594">
        <v>83.3</v>
      </c>
      <c r="N282" s="594"/>
      <c r="O282" s="594"/>
      <c r="P282" s="616"/>
      <c r="Q282" s="595"/>
    </row>
    <row r="283" spans="1:17" ht="14.4" customHeight="1" x14ac:dyDescent="0.3">
      <c r="A283" s="590" t="s">
        <v>485</v>
      </c>
      <c r="B283" s="591" t="s">
        <v>2775</v>
      </c>
      <c r="C283" s="591" t="s">
        <v>2530</v>
      </c>
      <c r="D283" s="591" t="s">
        <v>2536</v>
      </c>
      <c r="E283" s="591" t="s">
        <v>1747</v>
      </c>
      <c r="F283" s="594">
        <v>9</v>
      </c>
      <c r="G283" s="594">
        <v>16028.28</v>
      </c>
      <c r="H283" s="594">
        <v>1</v>
      </c>
      <c r="I283" s="594">
        <v>1780.92</v>
      </c>
      <c r="J283" s="594"/>
      <c r="K283" s="594"/>
      <c r="L283" s="594"/>
      <c r="M283" s="594"/>
      <c r="N283" s="594"/>
      <c r="O283" s="594"/>
      <c r="P283" s="616"/>
      <c r="Q283" s="595"/>
    </row>
    <row r="284" spans="1:17" ht="14.4" customHeight="1" x14ac:dyDescent="0.3">
      <c r="A284" s="590" t="s">
        <v>485</v>
      </c>
      <c r="B284" s="591" t="s">
        <v>2775</v>
      </c>
      <c r="C284" s="591" t="s">
        <v>2530</v>
      </c>
      <c r="D284" s="591" t="s">
        <v>2537</v>
      </c>
      <c r="E284" s="591" t="s">
        <v>2538</v>
      </c>
      <c r="F284" s="594"/>
      <c r="G284" s="594"/>
      <c r="H284" s="594"/>
      <c r="I284" s="594"/>
      <c r="J284" s="594">
        <v>14</v>
      </c>
      <c r="K284" s="594">
        <v>73007.48</v>
      </c>
      <c r="L284" s="594"/>
      <c r="M284" s="594">
        <v>5214.82</v>
      </c>
      <c r="N284" s="594"/>
      <c r="O284" s="594"/>
      <c r="P284" s="616"/>
      <c r="Q284" s="595"/>
    </row>
    <row r="285" spans="1:17" ht="14.4" customHeight="1" x14ac:dyDescent="0.3">
      <c r="A285" s="590" t="s">
        <v>485</v>
      </c>
      <c r="B285" s="591" t="s">
        <v>2775</v>
      </c>
      <c r="C285" s="591" t="s">
        <v>2530</v>
      </c>
      <c r="D285" s="591" t="s">
        <v>2539</v>
      </c>
      <c r="E285" s="591" t="s">
        <v>1577</v>
      </c>
      <c r="F285" s="594">
        <v>31</v>
      </c>
      <c r="G285" s="594">
        <v>4280.91</v>
      </c>
      <c r="H285" s="594">
        <v>1</v>
      </c>
      <c r="I285" s="594">
        <v>138.09387096774194</v>
      </c>
      <c r="J285" s="594">
        <v>69</v>
      </c>
      <c r="K285" s="594">
        <v>9156.36</v>
      </c>
      <c r="L285" s="594">
        <v>2.1388816863704214</v>
      </c>
      <c r="M285" s="594">
        <v>132.7008695652174</v>
      </c>
      <c r="N285" s="594"/>
      <c r="O285" s="594"/>
      <c r="P285" s="616"/>
      <c r="Q285" s="595"/>
    </row>
    <row r="286" spans="1:17" ht="14.4" customHeight="1" x14ac:dyDescent="0.3">
      <c r="A286" s="590" t="s">
        <v>485</v>
      </c>
      <c r="B286" s="591" t="s">
        <v>2775</v>
      </c>
      <c r="C286" s="591" t="s">
        <v>2530</v>
      </c>
      <c r="D286" s="591" t="s">
        <v>2540</v>
      </c>
      <c r="E286" s="591" t="s">
        <v>1577</v>
      </c>
      <c r="F286" s="594"/>
      <c r="G286" s="594"/>
      <c r="H286" s="594"/>
      <c r="I286" s="594"/>
      <c r="J286" s="594">
        <v>45</v>
      </c>
      <c r="K286" s="594">
        <v>5643.75</v>
      </c>
      <c r="L286" s="594"/>
      <c r="M286" s="594">
        <v>125.41666666666667</v>
      </c>
      <c r="N286" s="594"/>
      <c r="O286" s="594"/>
      <c r="P286" s="616"/>
      <c r="Q286" s="595"/>
    </row>
    <row r="287" spans="1:17" ht="14.4" customHeight="1" x14ac:dyDescent="0.3">
      <c r="A287" s="590" t="s">
        <v>485</v>
      </c>
      <c r="B287" s="591" t="s">
        <v>2775</v>
      </c>
      <c r="C287" s="591" t="s">
        <v>2530</v>
      </c>
      <c r="D287" s="591" t="s">
        <v>2541</v>
      </c>
      <c r="E287" s="591" t="s">
        <v>2542</v>
      </c>
      <c r="F287" s="594">
        <v>6.1999999999999993</v>
      </c>
      <c r="G287" s="594">
        <v>3708.6099999999997</v>
      </c>
      <c r="H287" s="594">
        <v>1</v>
      </c>
      <c r="I287" s="594">
        <v>598.16290322580642</v>
      </c>
      <c r="J287" s="594">
        <v>35.5</v>
      </c>
      <c r="K287" s="594">
        <v>21963.18</v>
      </c>
      <c r="L287" s="594">
        <v>5.9222134438509313</v>
      </c>
      <c r="M287" s="594">
        <v>618.68112676056342</v>
      </c>
      <c r="N287" s="594"/>
      <c r="O287" s="594"/>
      <c r="P287" s="616"/>
      <c r="Q287" s="595"/>
    </row>
    <row r="288" spans="1:17" ht="14.4" customHeight="1" x14ac:dyDescent="0.3">
      <c r="A288" s="590" t="s">
        <v>485</v>
      </c>
      <c r="B288" s="591" t="s">
        <v>2775</v>
      </c>
      <c r="C288" s="591" t="s">
        <v>2530</v>
      </c>
      <c r="D288" s="591" t="s">
        <v>2776</v>
      </c>
      <c r="E288" s="591" t="s">
        <v>2588</v>
      </c>
      <c r="F288" s="594">
        <v>15.600000000000001</v>
      </c>
      <c r="G288" s="594">
        <v>9062.1999999999989</v>
      </c>
      <c r="H288" s="594">
        <v>1</v>
      </c>
      <c r="I288" s="594">
        <v>580.91025641025624</v>
      </c>
      <c r="J288" s="594"/>
      <c r="K288" s="594"/>
      <c r="L288" s="594"/>
      <c r="M288" s="594"/>
      <c r="N288" s="594"/>
      <c r="O288" s="594"/>
      <c r="P288" s="616"/>
      <c r="Q288" s="595"/>
    </row>
    <row r="289" spans="1:17" ht="14.4" customHeight="1" x14ac:dyDescent="0.3">
      <c r="A289" s="590" t="s">
        <v>485</v>
      </c>
      <c r="B289" s="591" t="s">
        <v>2775</v>
      </c>
      <c r="C289" s="591" t="s">
        <v>2530</v>
      </c>
      <c r="D289" s="591" t="s">
        <v>2543</v>
      </c>
      <c r="E289" s="591" t="s">
        <v>2544</v>
      </c>
      <c r="F289" s="594">
        <v>40</v>
      </c>
      <c r="G289" s="594">
        <v>9615.1200000000008</v>
      </c>
      <c r="H289" s="594">
        <v>1</v>
      </c>
      <c r="I289" s="594">
        <v>240.37800000000001</v>
      </c>
      <c r="J289" s="594">
        <v>94.5</v>
      </c>
      <c r="K289" s="594">
        <v>7945.5599999999995</v>
      </c>
      <c r="L289" s="594">
        <v>0.82636098145420955</v>
      </c>
      <c r="M289" s="594">
        <v>84.08</v>
      </c>
      <c r="N289" s="594"/>
      <c r="O289" s="594"/>
      <c r="P289" s="616"/>
      <c r="Q289" s="595"/>
    </row>
    <row r="290" spans="1:17" ht="14.4" customHeight="1" x14ac:dyDescent="0.3">
      <c r="A290" s="590" t="s">
        <v>485</v>
      </c>
      <c r="B290" s="591" t="s">
        <v>2775</v>
      </c>
      <c r="C290" s="591" t="s">
        <v>2530</v>
      </c>
      <c r="D290" s="591" t="s">
        <v>2777</v>
      </c>
      <c r="E290" s="591" t="s">
        <v>2778</v>
      </c>
      <c r="F290" s="594">
        <v>21.000000000000004</v>
      </c>
      <c r="G290" s="594">
        <v>22697.730000000003</v>
      </c>
      <c r="H290" s="594">
        <v>1</v>
      </c>
      <c r="I290" s="594">
        <v>1080.8442857142857</v>
      </c>
      <c r="J290" s="594">
        <v>27.2</v>
      </c>
      <c r="K290" s="594">
        <v>29357.35</v>
      </c>
      <c r="L290" s="594">
        <v>1.2934046708635618</v>
      </c>
      <c r="M290" s="594">
        <v>1079.3143382352941</v>
      </c>
      <c r="N290" s="594"/>
      <c r="O290" s="594"/>
      <c r="P290" s="616"/>
      <c r="Q290" s="595"/>
    </row>
    <row r="291" spans="1:17" ht="14.4" customHeight="1" x14ac:dyDescent="0.3">
      <c r="A291" s="590" t="s">
        <v>485</v>
      </c>
      <c r="B291" s="591" t="s">
        <v>2775</v>
      </c>
      <c r="C291" s="591" t="s">
        <v>2530</v>
      </c>
      <c r="D291" s="591" t="s">
        <v>2545</v>
      </c>
      <c r="E291" s="591" t="s">
        <v>1544</v>
      </c>
      <c r="F291" s="594">
        <v>481</v>
      </c>
      <c r="G291" s="594">
        <v>42107.65</v>
      </c>
      <c r="H291" s="594">
        <v>1</v>
      </c>
      <c r="I291" s="594">
        <v>87.541891891891893</v>
      </c>
      <c r="J291" s="594">
        <v>170</v>
      </c>
      <c r="K291" s="594">
        <v>11015.42</v>
      </c>
      <c r="L291" s="594">
        <v>0.26160139547089423</v>
      </c>
      <c r="M291" s="594">
        <v>64.796588235294124</v>
      </c>
      <c r="N291" s="594"/>
      <c r="O291" s="594"/>
      <c r="P291" s="616"/>
      <c r="Q291" s="595"/>
    </row>
    <row r="292" spans="1:17" ht="14.4" customHeight="1" x14ac:dyDescent="0.3">
      <c r="A292" s="590" t="s">
        <v>485</v>
      </c>
      <c r="B292" s="591" t="s">
        <v>2775</v>
      </c>
      <c r="C292" s="591" t="s">
        <v>2530</v>
      </c>
      <c r="D292" s="591" t="s">
        <v>2779</v>
      </c>
      <c r="E292" s="591" t="s">
        <v>2780</v>
      </c>
      <c r="F292" s="594"/>
      <c r="G292" s="594"/>
      <c r="H292" s="594"/>
      <c r="I292" s="594"/>
      <c r="J292" s="594">
        <v>16</v>
      </c>
      <c r="K292" s="594">
        <v>2303.1999999999998</v>
      </c>
      <c r="L292" s="594"/>
      <c r="M292" s="594">
        <v>143.94999999999999</v>
      </c>
      <c r="N292" s="594"/>
      <c r="O292" s="594"/>
      <c r="P292" s="616"/>
      <c r="Q292" s="595"/>
    </row>
    <row r="293" spans="1:17" ht="14.4" customHeight="1" x14ac:dyDescent="0.3">
      <c r="A293" s="590" t="s">
        <v>485</v>
      </c>
      <c r="B293" s="591" t="s">
        <v>2775</v>
      </c>
      <c r="C293" s="591" t="s">
        <v>2530</v>
      </c>
      <c r="D293" s="591" t="s">
        <v>2781</v>
      </c>
      <c r="E293" s="591" t="s">
        <v>2588</v>
      </c>
      <c r="F293" s="594">
        <v>29.149999999999995</v>
      </c>
      <c r="G293" s="594">
        <v>113939.95</v>
      </c>
      <c r="H293" s="594">
        <v>1</v>
      </c>
      <c r="I293" s="594">
        <v>3908.7461406518014</v>
      </c>
      <c r="J293" s="594"/>
      <c r="K293" s="594"/>
      <c r="L293" s="594"/>
      <c r="M293" s="594"/>
      <c r="N293" s="594"/>
      <c r="O293" s="594"/>
      <c r="P293" s="616"/>
      <c r="Q293" s="595"/>
    </row>
    <row r="294" spans="1:17" ht="14.4" customHeight="1" x14ac:dyDescent="0.3">
      <c r="A294" s="590" t="s">
        <v>485</v>
      </c>
      <c r="B294" s="591" t="s">
        <v>2775</v>
      </c>
      <c r="C294" s="591" t="s">
        <v>2530</v>
      </c>
      <c r="D294" s="591" t="s">
        <v>2546</v>
      </c>
      <c r="E294" s="591" t="s">
        <v>1473</v>
      </c>
      <c r="F294" s="594">
        <v>17</v>
      </c>
      <c r="G294" s="594">
        <v>19816.899999999998</v>
      </c>
      <c r="H294" s="594">
        <v>1</v>
      </c>
      <c r="I294" s="594">
        <v>1165.6999999999998</v>
      </c>
      <c r="J294" s="594">
        <v>30.700000000000003</v>
      </c>
      <c r="K294" s="594">
        <v>24854.720000000001</v>
      </c>
      <c r="L294" s="594">
        <v>1.2542183691697493</v>
      </c>
      <c r="M294" s="594">
        <v>809.59999999999991</v>
      </c>
      <c r="N294" s="594"/>
      <c r="O294" s="594"/>
      <c r="P294" s="616"/>
      <c r="Q294" s="595"/>
    </row>
    <row r="295" spans="1:17" ht="14.4" customHeight="1" x14ac:dyDescent="0.3">
      <c r="A295" s="590" t="s">
        <v>485</v>
      </c>
      <c r="B295" s="591" t="s">
        <v>2775</v>
      </c>
      <c r="C295" s="591" t="s">
        <v>2530</v>
      </c>
      <c r="D295" s="591" t="s">
        <v>2782</v>
      </c>
      <c r="E295" s="591" t="s">
        <v>2783</v>
      </c>
      <c r="F295" s="594">
        <v>4</v>
      </c>
      <c r="G295" s="594">
        <v>6246.08</v>
      </c>
      <c r="H295" s="594">
        <v>1</v>
      </c>
      <c r="I295" s="594">
        <v>1561.52</v>
      </c>
      <c r="J295" s="594">
        <v>3</v>
      </c>
      <c r="K295" s="594">
        <v>3696.42</v>
      </c>
      <c r="L295" s="594">
        <v>0.59179837594139051</v>
      </c>
      <c r="M295" s="594">
        <v>1232.1400000000001</v>
      </c>
      <c r="N295" s="594"/>
      <c r="O295" s="594"/>
      <c r="P295" s="616"/>
      <c r="Q295" s="595"/>
    </row>
    <row r="296" spans="1:17" ht="14.4" customHeight="1" x14ac:dyDescent="0.3">
      <c r="A296" s="590" t="s">
        <v>485</v>
      </c>
      <c r="B296" s="591" t="s">
        <v>2775</v>
      </c>
      <c r="C296" s="591" t="s">
        <v>2530</v>
      </c>
      <c r="D296" s="591" t="s">
        <v>2784</v>
      </c>
      <c r="E296" s="591" t="s">
        <v>2785</v>
      </c>
      <c r="F296" s="594"/>
      <c r="G296" s="594"/>
      <c r="H296" s="594"/>
      <c r="I296" s="594"/>
      <c r="J296" s="594">
        <v>4</v>
      </c>
      <c r="K296" s="594">
        <v>25880.080000000002</v>
      </c>
      <c r="L296" s="594"/>
      <c r="M296" s="594">
        <v>6470.02</v>
      </c>
      <c r="N296" s="594"/>
      <c r="O296" s="594"/>
      <c r="P296" s="616"/>
      <c r="Q296" s="595"/>
    </row>
    <row r="297" spans="1:17" ht="14.4" customHeight="1" x14ac:dyDescent="0.3">
      <c r="A297" s="590" t="s">
        <v>485</v>
      </c>
      <c r="B297" s="591" t="s">
        <v>2775</v>
      </c>
      <c r="C297" s="591" t="s">
        <v>2530</v>
      </c>
      <c r="D297" s="591" t="s">
        <v>2547</v>
      </c>
      <c r="E297" s="591" t="s">
        <v>1581</v>
      </c>
      <c r="F297" s="594">
        <v>9.1999999999999993</v>
      </c>
      <c r="G297" s="594">
        <v>127949.01999999999</v>
      </c>
      <c r="H297" s="594">
        <v>1</v>
      </c>
      <c r="I297" s="594">
        <v>13907.502173913044</v>
      </c>
      <c r="J297" s="594">
        <v>3.1</v>
      </c>
      <c r="K297" s="594">
        <v>42156.28</v>
      </c>
      <c r="L297" s="594">
        <v>0.32947716207595806</v>
      </c>
      <c r="M297" s="594">
        <v>13598.8</v>
      </c>
      <c r="N297" s="594"/>
      <c r="O297" s="594"/>
      <c r="P297" s="616"/>
      <c r="Q297" s="595"/>
    </row>
    <row r="298" spans="1:17" ht="14.4" customHeight="1" x14ac:dyDescent="0.3">
      <c r="A298" s="590" t="s">
        <v>485</v>
      </c>
      <c r="B298" s="591" t="s">
        <v>2775</v>
      </c>
      <c r="C298" s="591" t="s">
        <v>2530</v>
      </c>
      <c r="D298" s="591" t="s">
        <v>2786</v>
      </c>
      <c r="E298" s="591" t="s">
        <v>2787</v>
      </c>
      <c r="F298" s="594">
        <v>0.1</v>
      </c>
      <c r="G298" s="594">
        <v>526.45000000000005</v>
      </c>
      <c r="H298" s="594">
        <v>1</v>
      </c>
      <c r="I298" s="594">
        <v>5264.5</v>
      </c>
      <c r="J298" s="594">
        <v>0.1</v>
      </c>
      <c r="K298" s="594">
        <v>531.07000000000005</v>
      </c>
      <c r="L298" s="594">
        <v>1.0087757621806439</v>
      </c>
      <c r="M298" s="594">
        <v>5310.7</v>
      </c>
      <c r="N298" s="594"/>
      <c r="O298" s="594"/>
      <c r="P298" s="616"/>
      <c r="Q298" s="595"/>
    </row>
    <row r="299" spans="1:17" ht="14.4" customHeight="1" x14ac:dyDescent="0.3">
      <c r="A299" s="590" t="s">
        <v>485</v>
      </c>
      <c r="B299" s="591" t="s">
        <v>2775</v>
      </c>
      <c r="C299" s="591" t="s">
        <v>2530</v>
      </c>
      <c r="D299" s="591" t="s">
        <v>2788</v>
      </c>
      <c r="E299" s="591" t="s">
        <v>2789</v>
      </c>
      <c r="F299" s="594">
        <v>0.6</v>
      </c>
      <c r="G299" s="594">
        <v>409.47</v>
      </c>
      <c r="H299" s="594">
        <v>1</v>
      </c>
      <c r="I299" s="594">
        <v>682.45</v>
      </c>
      <c r="J299" s="594">
        <v>1.7</v>
      </c>
      <c r="K299" s="594">
        <v>750.46</v>
      </c>
      <c r="L299" s="594">
        <v>1.8327594207145823</v>
      </c>
      <c r="M299" s="594">
        <v>441.44705882352946</v>
      </c>
      <c r="N299" s="594"/>
      <c r="O299" s="594"/>
      <c r="P299" s="616"/>
      <c r="Q299" s="595"/>
    </row>
    <row r="300" spans="1:17" ht="14.4" customHeight="1" x14ac:dyDescent="0.3">
      <c r="A300" s="590" t="s">
        <v>485</v>
      </c>
      <c r="B300" s="591" t="s">
        <v>2775</v>
      </c>
      <c r="C300" s="591" t="s">
        <v>2530</v>
      </c>
      <c r="D300" s="591" t="s">
        <v>2549</v>
      </c>
      <c r="E300" s="591" t="s">
        <v>1741</v>
      </c>
      <c r="F300" s="594">
        <v>181</v>
      </c>
      <c r="G300" s="594">
        <v>12596.59</v>
      </c>
      <c r="H300" s="594">
        <v>1</v>
      </c>
      <c r="I300" s="594">
        <v>69.59441988950276</v>
      </c>
      <c r="J300" s="594">
        <v>232</v>
      </c>
      <c r="K300" s="594">
        <v>13458.32</v>
      </c>
      <c r="L300" s="594">
        <v>1.0684097839177111</v>
      </c>
      <c r="M300" s="594">
        <v>58.01</v>
      </c>
      <c r="N300" s="594"/>
      <c r="O300" s="594"/>
      <c r="P300" s="616"/>
      <c r="Q300" s="595"/>
    </row>
    <row r="301" spans="1:17" ht="14.4" customHeight="1" x14ac:dyDescent="0.3">
      <c r="A301" s="590" t="s">
        <v>485</v>
      </c>
      <c r="B301" s="591" t="s">
        <v>2775</v>
      </c>
      <c r="C301" s="591" t="s">
        <v>2530</v>
      </c>
      <c r="D301" s="591" t="s">
        <v>2550</v>
      </c>
      <c r="E301" s="591" t="s">
        <v>1556</v>
      </c>
      <c r="F301" s="594">
        <v>5.8</v>
      </c>
      <c r="G301" s="594">
        <v>2219.9700000000003</v>
      </c>
      <c r="H301" s="594">
        <v>1</v>
      </c>
      <c r="I301" s="594">
        <v>382.75344827586213</v>
      </c>
      <c r="J301" s="594">
        <v>12.099999999999998</v>
      </c>
      <c r="K301" s="594">
        <v>4888.72</v>
      </c>
      <c r="L301" s="594">
        <v>2.2021558849894367</v>
      </c>
      <c r="M301" s="594">
        <v>404.02644628099182</v>
      </c>
      <c r="N301" s="594"/>
      <c r="O301" s="594"/>
      <c r="P301" s="616"/>
      <c r="Q301" s="595"/>
    </row>
    <row r="302" spans="1:17" ht="14.4" customHeight="1" x14ac:dyDescent="0.3">
      <c r="A302" s="590" t="s">
        <v>485</v>
      </c>
      <c r="B302" s="591" t="s">
        <v>2775</v>
      </c>
      <c r="C302" s="591" t="s">
        <v>2530</v>
      </c>
      <c r="D302" s="591" t="s">
        <v>1631</v>
      </c>
      <c r="E302" s="591" t="s">
        <v>2551</v>
      </c>
      <c r="F302" s="594">
        <v>2</v>
      </c>
      <c r="G302" s="594">
        <v>13190</v>
      </c>
      <c r="H302" s="594">
        <v>1</v>
      </c>
      <c r="I302" s="594">
        <v>6595</v>
      </c>
      <c r="J302" s="594">
        <v>3</v>
      </c>
      <c r="K302" s="594">
        <v>20689.5</v>
      </c>
      <c r="L302" s="594">
        <v>1.5685746777862017</v>
      </c>
      <c r="M302" s="594">
        <v>6896.5</v>
      </c>
      <c r="N302" s="594"/>
      <c r="O302" s="594"/>
      <c r="P302" s="616"/>
      <c r="Q302" s="595"/>
    </row>
    <row r="303" spans="1:17" ht="14.4" customHeight="1" x14ac:dyDescent="0.3">
      <c r="A303" s="590" t="s">
        <v>485</v>
      </c>
      <c r="B303" s="591" t="s">
        <v>2775</v>
      </c>
      <c r="C303" s="591" t="s">
        <v>2530</v>
      </c>
      <c r="D303" s="591" t="s">
        <v>2552</v>
      </c>
      <c r="E303" s="591" t="s">
        <v>1750</v>
      </c>
      <c r="F303" s="594">
        <v>342</v>
      </c>
      <c r="G303" s="594">
        <v>43154.989999999991</v>
      </c>
      <c r="H303" s="594">
        <v>1</v>
      </c>
      <c r="I303" s="594">
        <v>126.18418128654967</v>
      </c>
      <c r="J303" s="594">
        <v>474</v>
      </c>
      <c r="K303" s="594">
        <v>22515</v>
      </c>
      <c r="L303" s="594">
        <v>0.52172413896979253</v>
      </c>
      <c r="M303" s="594">
        <v>47.5</v>
      </c>
      <c r="N303" s="594"/>
      <c r="O303" s="594"/>
      <c r="P303" s="616"/>
      <c r="Q303" s="595"/>
    </row>
    <row r="304" spans="1:17" ht="14.4" customHeight="1" x14ac:dyDescent="0.3">
      <c r="A304" s="590" t="s">
        <v>485</v>
      </c>
      <c r="B304" s="591" t="s">
        <v>2775</v>
      </c>
      <c r="C304" s="591" t="s">
        <v>2530</v>
      </c>
      <c r="D304" s="591" t="s">
        <v>2553</v>
      </c>
      <c r="E304" s="591" t="s">
        <v>1571</v>
      </c>
      <c r="F304" s="594">
        <v>2</v>
      </c>
      <c r="G304" s="594">
        <v>230</v>
      </c>
      <c r="H304" s="594">
        <v>1</v>
      </c>
      <c r="I304" s="594">
        <v>115</v>
      </c>
      <c r="J304" s="594">
        <v>116</v>
      </c>
      <c r="K304" s="594">
        <v>13456</v>
      </c>
      <c r="L304" s="594">
        <v>58.504347826086956</v>
      </c>
      <c r="M304" s="594">
        <v>116</v>
      </c>
      <c r="N304" s="594"/>
      <c r="O304" s="594"/>
      <c r="P304" s="616"/>
      <c r="Q304" s="595"/>
    </row>
    <row r="305" spans="1:17" ht="14.4" customHeight="1" x14ac:dyDescent="0.3">
      <c r="A305" s="590" t="s">
        <v>485</v>
      </c>
      <c r="B305" s="591" t="s">
        <v>2775</v>
      </c>
      <c r="C305" s="591" t="s">
        <v>2530</v>
      </c>
      <c r="D305" s="591" t="s">
        <v>2554</v>
      </c>
      <c r="E305" s="591" t="s">
        <v>1724</v>
      </c>
      <c r="F305" s="594">
        <v>179.39999999999998</v>
      </c>
      <c r="G305" s="594">
        <v>108457.73</v>
      </c>
      <c r="H305" s="594">
        <v>1</v>
      </c>
      <c r="I305" s="594">
        <v>604.55813823857306</v>
      </c>
      <c r="J305" s="594">
        <v>194.40000000000003</v>
      </c>
      <c r="K305" s="594">
        <v>73815.48000000001</v>
      </c>
      <c r="L305" s="594">
        <v>0.68059215327482891</v>
      </c>
      <c r="M305" s="594">
        <v>379.70925925925923</v>
      </c>
      <c r="N305" s="594"/>
      <c r="O305" s="594"/>
      <c r="P305" s="616"/>
      <c r="Q305" s="595"/>
    </row>
    <row r="306" spans="1:17" ht="14.4" customHeight="1" x14ac:dyDescent="0.3">
      <c r="A306" s="590" t="s">
        <v>485</v>
      </c>
      <c r="B306" s="591" t="s">
        <v>2775</v>
      </c>
      <c r="C306" s="591" t="s">
        <v>2530</v>
      </c>
      <c r="D306" s="591" t="s">
        <v>2790</v>
      </c>
      <c r="E306" s="591" t="s">
        <v>2791</v>
      </c>
      <c r="F306" s="594">
        <v>73</v>
      </c>
      <c r="G306" s="594">
        <v>10119.39</v>
      </c>
      <c r="H306" s="594">
        <v>1</v>
      </c>
      <c r="I306" s="594">
        <v>138.62178082191781</v>
      </c>
      <c r="J306" s="594">
        <v>18</v>
      </c>
      <c r="K306" s="594">
        <v>1128.78</v>
      </c>
      <c r="L306" s="594">
        <v>0.111546249329258</v>
      </c>
      <c r="M306" s="594">
        <v>62.71</v>
      </c>
      <c r="N306" s="594"/>
      <c r="O306" s="594"/>
      <c r="P306" s="616"/>
      <c r="Q306" s="595"/>
    </row>
    <row r="307" spans="1:17" ht="14.4" customHeight="1" x14ac:dyDescent="0.3">
      <c r="A307" s="590" t="s">
        <v>485</v>
      </c>
      <c r="B307" s="591" t="s">
        <v>2775</v>
      </c>
      <c r="C307" s="591" t="s">
        <v>2530</v>
      </c>
      <c r="D307" s="591" t="s">
        <v>2792</v>
      </c>
      <c r="E307" s="591" t="s">
        <v>2793</v>
      </c>
      <c r="F307" s="594">
        <v>50</v>
      </c>
      <c r="G307" s="594">
        <v>5918.18</v>
      </c>
      <c r="H307" s="594">
        <v>1</v>
      </c>
      <c r="I307" s="594">
        <v>118.36360000000001</v>
      </c>
      <c r="J307" s="594">
        <v>61</v>
      </c>
      <c r="K307" s="594">
        <v>7737.8099999999995</v>
      </c>
      <c r="L307" s="594">
        <v>1.3074644569783276</v>
      </c>
      <c r="M307" s="594">
        <v>126.84934426229508</v>
      </c>
      <c r="N307" s="594"/>
      <c r="O307" s="594"/>
      <c r="P307" s="616"/>
      <c r="Q307" s="595"/>
    </row>
    <row r="308" spans="1:17" ht="14.4" customHeight="1" x14ac:dyDescent="0.3">
      <c r="A308" s="590" t="s">
        <v>485</v>
      </c>
      <c r="B308" s="591" t="s">
        <v>2775</v>
      </c>
      <c r="C308" s="591" t="s">
        <v>2530</v>
      </c>
      <c r="D308" s="591" t="s">
        <v>2555</v>
      </c>
      <c r="E308" s="591" t="s">
        <v>1730</v>
      </c>
      <c r="F308" s="594">
        <v>75</v>
      </c>
      <c r="G308" s="594">
        <v>3263.04</v>
      </c>
      <c r="H308" s="594">
        <v>1</v>
      </c>
      <c r="I308" s="594">
        <v>43.507199999999997</v>
      </c>
      <c r="J308" s="594">
        <v>69</v>
      </c>
      <c r="K308" s="594">
        <v>2825.5499999999997</v>
      </c>
      <c r="L308" s="594">
        <v>0.86592563989408644</v>
      </c>
      <c r="M308" s="594">
        <v>40.949999999999996</v>
      </c>
      <c r="N308" s="594"/>
      <c r="O308" s="594"/>
      <c r="P308" s="616"/>
      <c r="Q308" s="595"/>
    </row>
    <row r="309" spans="1:17" ht="14.4" customHeight="1" x14ac:dyDescent="0.3">
      <c r="A309" s="590" t="s">
        <v>485</v>
      </c>
      <c r="B309" s="591" t="s">
        <v>2775</v>
      </c>
      <c r="C309" s="591" t="s">
        <v>2530</v>
      </c>
      <c r="D309" s="591" t="s">
        <v>2794</v>
      </c>
      <c r="E309" s="591" t="s">
        <v>2795</v>
      </c>
      <c r="F309" s="594"/>
      <c r="G309" s="594"/>
      <c r="H309" s="594"/>
      <c r="I309" s="594"/>
      <c r="J309" s="594">
        <v>0.2</v>
      </c>
      <c r="K309" s="594">
        <v>1092.1600000000001</v>
      </c>
      <c r="L309" s="594"/>
      <c r="M309" s="594">
        <v>5460.8</v>
      </c>
      <c r="N309" s="594"/>
      <c r="O309" s="594"/>
      <c r="P309" s="616"/>
      <c r="Q309" s="595"/>
    </row>
    <row r="310" spans="1:17" ht="14.4" customHeight="1" x14ac:dyDescent="0.3">
      <c r="A310" s="590" t="s">
        <v>485</v>
      </c>
      <c r="B310" s="591" t="s">
        <v>2775</v>
      </c>
      <c r="C310" s="591" t="s">
        <v>2530</v>
      </c>
      <c r="D310" s="591" t="s">
        <v>2556</v>
      </c>
      <c r="E310" s="591" t="s">
        <v>2557</v>
      </c>
      <c r="F310" s="594">
        <v>1</v>
      </c>
      <c r="G310" s="594">
        <v>52.44</v>
      </c>
      <c r="H310" s="594">
        <v>1</v>
      </c>
      <c r="I310" s="594">
        <v>52.44</v>
      </c>
      <c r="J310" s="594">
        <v>5</v>
      </c>
      <c r="K310" s="594">
        <v>102.4</v>
      </c>
      <c r="L310" s="594">
        <v>1.9527078565980169</v>
      </c>
      <c r="M310" s="594">
        <v>20.48</v>
      </c>
      <c r="N310" s="594"/>
      <c r="O310" s="594"/>
      <c r="P310" s="616"/>
      <c r="Q310" s="595"/>
    </row>
    <row r="311" spans="1:17" ht="14.4" customHeight="1" x14ac:dyDescent="0.3">
      <c r="A311" s="590" t="s">
        <v>485</v>
      </c>
      <c r="B311" s="591" t="s">
        <v>2775</v>
      </c>
      <c r="C311" s="591" t="s">
        <v>2530</v>
      </c>
      <c r="D311" s="591" t="s">
        <v>2559</v>
      </c>
      <c r="E311" s="591" t="s">
        <v>2560</v>
      </c>
      <c r="F311" s="594">
        <v>22.3</v>
      </c>
      <c r="G311" s="594">
        <v>144392.69999999998</v>
      </c>
      <c r="H311" s="594">
        <v>1</v>
      </c>
      <c r="I311" s="594">
        <v>6475.0089686098645</v>
      </c>
      <c r="J311" s="594">
        <v>12.3</v>
      </c>
      <c r="K311" s="594">
        <v>48288.57</v>
      </c>
      <c r="L311" s="594">
        <v>0.33442528604285399</v>
      </c>
      <c r="M311" s="594">
        <v>3925.8999999999996</v>
      </c>
      <c r="N311" s="594"/>
      <c r="O311" s="594"/>
      <c r="P311" s="616"/>
      <c r="Q311" s="595"/>
    </row>
    <row r="312" spans="1:17" ht="14.4" customHeight="1" x14ac:dyDescent="0.3">
      <c r="A312" s="590" t="s">
        <v>485</v>
      </c>
      <c r="B312" s="591" t="s">
        <v>2775</v>
      </c>
      <c r="C312" s="591" t="s">
        <v>2530</v>
      </c>
      <c r="D312" s="591" t="s">
        <v>2796</v>
      </c>
      <c r="E312" s="591" t="s">
        <v>2797</v>
      </c>
      <c r="F312" s="594"/>
      <c r="G312" s="594"/>
      <c r="H312" s="594"/>
      <c r="I312" s="594"/>
      <c r="J312" s="594">
        <v>8</v>
      </c>
      <c r="K312" s="594">
        <v>103520.32000000001</v>
      </c>
      <c r="L312" s="594"/>
      <c r="M312" s="594">
        <v>12940.04</v>
      </c>
      <c r="N312" s="594"/>
      <c r="O312" s="594"/>
      <c r="P312" s="616"/>
      <c r="Q312" s="595"/>
    </row>
    <row r="313" spans="1:17" ht="14.4" customHeight="1" x14ac:dyDescent="0.3">
      <c r="A313" s="590" t="s">
        <v>485</v>
      </c>
      <c r="B313" s="591" t="s">
        <v>2775</v>
      </c>
      <c r="C313" s="591" t="s">
        <v>2530</v>
      </c>
      <c r="D313" s="591" t="s">
        <v>2798</v>
      </c>
      <c r="E313" s="591" t="s">
        <v>2799</v>
      </c>
      <c r="F313" s="594"/>
      <c r="G313" s="594"/>
      <c r="H313" s="594"/>
      <c r="I313" s="594"/>
      <c r="J313" s="594">
        <v>4</v>
      </c>
      <c r="K313" s="594">
        <v>1082.1600000000001</v>
      </c>
      <c r="L313" s="594"/>
      <c r="M313" s="594">
        <v>270.54000000000002</v>
      </c>
      <c r="N313" s="594"/>
      <c r="O313" s="594"/>
      <c r="P313" s="616"/>
      <c r="Q313" s="595"/>
    </row>
    <row r="314" spans="1:17" ht="14.4" customHeight="1" x14ac:dyDescent="0.3">
      <c r="A314" s="590" t="s">
        <v>485</v>
      </c>
      <c r="B314" s="591" t="s">
        <v>2775</v>
      </c>
      <c r="C314" s="591" t="s">
        <v>2530</v>
      </c>
      <c r="D314" s="591" t="s">
        <v>2563</v>
      </c>
      <c r="E314" s="591" t="s">
        <v>1743</v>
      </c>
      <c r="F314" s="594">
        <v>4</v>
      </c>
      <c r="G314" s="594">
        <v>1254.72</v>
      </c>
      <c r="H314" s="594">
        <v>1</v>
      </c>
      <c r="I314" s="594">
        <v>313.68</v>
      </c>
      <c r="J314" s="594"/>
      <c r="K314" s="594"/>
      <c r="L314" s="594"/>
      <c r="M314" s="594"/>
      <c r="N314" s="594"/>
      <c r="O314" s="594"/>
      <c r="P314" s="616"/>
      <c r="Q314" s="595"/>
    </row>
    <row r="315" spans="1:17" ht="14.4" customHeight="1" x14ac:dyDescent="0.3">
      <c r="A315" s="590" t="s">
        <v>485</v>
      </c>
      <c r="B315" s="591" t="s">
        <v>2775</v>
      </c>
      <c r="C315" s="591" t="s">
        <v>2530</v>
      </c>
      <c r="D315" s="591" t="s">
        <v>2564</v>
      </c>
      <c r="E315" s="591" t="s">
        <v>1745</v>
      </c>
      <c r="F315" s="594">
        <v>22</v>
      </c>
      <c r="G315" s="594">
        <v>14368.78</v>
      </c>
      <c r="H315" s="594">
        <v>1</v>
      </c>
      <c r="I315" s="594">
        <v>653.12636363636364</v>
      </c>
      <c r="J315" s="594">
        <v>78</v>
      </c>
      <c r="K315" s="594">
        <v>17874.48</v>
      </c>
      <c r="L315" s="594">
        <v>1.2439803518461552</v>
      </c>
      <c r="M315" s="594">
        <v>229.16</v>
      </c>
      <c r="N315" s="594"/>
      <c r="O315" s="594"/>
      <c r="P315" s="616"/>
      <c r="Q315" s="595"/>
    </row>
    <row r="316" spans="1:17" ht="14.4" customHeight="1" x14ac:dyDescent="0.3">
      <c r="A316" s="590" t="s">
        <v>485</v>
      </c>
      <c r="B316" s="591" t="s">
        <v>2775</v>
      </c>
      <c r="C316" s="591" t="s">
        <v>2530</v>
      </c>
      <c r="D316" s="591" t="s">
        <v>2800</v>
      </c>
      <c r="E316" s="591" t="s">
        <v>2801</v>
      </c>
      <c r="F316" s="594">
        <v>2</v>
      </c>
      <c r="G316" s="594">
        <v>7010.2</v>
      </c>
      <c r="H316" s="594">
        <v>1</v>
      </c>
      <c r="I316" s="594">
        <v>3505.1</v>
      </c>
      <c r="J316" s="594"/>
      <c r="K316" s="594"/>
      <c r="L316" s="594"/>
      <c r="M316" s="594"/>
      <c r="N316" s="594"/>
      <c r="O316" s="594"/>
      <c r="P316" s="616"/>
      <c r="Q316" s="595"/>
    </row>
    <row r="317" spans="1:17" ht="14.4" customHeight="1" x14ac:dyDescent="0.3">
      <c r="A317" s="590" t="s">
        <v>485</v>
      </c>
      <c r="B317" s="591" t="s">
        <v>2775</v>
      </c>
      <c r="C317" s="591" t="s">
        <v>2530</v>
      </c>
      <c r="D317" s="591" t="s">
        <v>2565</v>
      </c>
      <c r="E317" s="591" t="s">
        <v>2566</v>
      </c>
      <c r="F317" s="594">
        <v>5.3</v>
      </c>
      <c r="G317" s="594">
        <v>2511.17</v>
      </c>
      <c r="H317" s="594">
        <v>1</v>
      </c>
      <c r="I317" s="594">
        <v>473.80566037735849</v>
      </c>
      <c r="J317" s="594">
        <v>5.2</v>
      </c>
      <c r="K317" s="594">
        <v>1128.02</v>
      </c>
      <c r="L317" s="594">
        <v>0.44920097006574622</v>
      </c>
      <c r="M317" s="594">
        <v>216.92692307692306</v>
      </c>
      <c r="N317" s="594"/>
      <c r="O317" s="594"/>
      <c r="P317" s="616"/>
      <c r="Q317" s="595"/>
    </row>
    <row r="318" spans="1:17" ht="14.4" customHeight="1" x14ac:dyDescent="0.3">
      <c r="A318" s="590" t="s">
        <v>485</v>
      </c>
      <c r="B318" s="591" t="s">
        <v>2775</v>
      </c>
      <c r="C318" s="591" t="s">
        <v>2530</v>
      </c>
      <c r="D318" s="591" t="s">
        <v>2569</v>
      </c>
      <c r="E318" s="591" t="s">
        <v>1446</v>
      </c>
      <c r="F318" s="594">
        <v>49.5</v>
      </c>
      <c r="G318" s="594">
        <v>4496.84</v>
      </c>
      <c r="H318" s="594">
        <v>1</v>
      </c>
      <c r="I318" s="594">
        <v>90.845252525252533</v>
      </c>
      <c r="J318" s="594">
        <v>1.2000000000000002</v>
      </c>
      <c r="K318" s="594">
        <v>116.33</v>
      </c>
      <c r="L318" s="594">
        <v>2.5869277092358187E-2</v>
      </c>
      <c r="M318" s="594">
        <v>96.941666666666649</v>
      </c>
      <c r="N318" s="594"/>
      <c r="O318" s="594"/>
      <c r="P318" s="616"/>
      <c r="Q318" s="595"/>
    </row>
    <row r="319" spans="1:17" ht="14.4" customHeight="1" x14ac:dyDescent="0.3">
      <c r="A319" s="590" t="s">
        <v>485</v>
      </c>
      <c r="B319" s="591" t="s">
        <v>2775</v>
      </c>
      <c r="C319" s="591" t="s">
        <v>2530</v>
      </c>
      <c r="D319" s="591" t="s">
        <v>2570</v>
      </c>
      <c r="E319" s="591" t="s">
        <v>2571</v>
      </c>
      <c r="F319" s="594">
        <v>5</v>
      </c>
      <c r="G319" s="594">
        <v>6684.6900000000005</v>
      </c>
      <c r="H319" s="594">
        <v>1</v>
      </c>
      <c r="I319" s="594">
        <v>1336.9380000000001</v>
      </c>
      <c r="J319" s="594">
        <v>47</v>
      </c>
      <c r="K319" s="594">
        <v>63256.36</v>
      </c>
      <c r="L319" s="594">
        <v>9.4628711279057072</v>
      </c>
      <c r="M319" s="594">
        <v>1345.88</v>
      </c>
      <c r="N319" s="594"/>
      <c r="O319" s="594"/>
      <c r="P319" s="616"/>
      <c r="Q319" s="595"/>
    </row>
    <row r="320" spans="1:17" ht="14.4" customHeight="1" x14ac:dyDescent="0.3">
      <c r="A320" s="590" t="s">
        <v>485</v>
      </c>
      <c r="B320" s="591" t="s">
        <v>2775</v>
      </c>
      <c r="C320" s="591" t="s">
        <v>2530</v>
      </c>
      <c r="D320" s="591" t="s">
        <v>2802</v>
      </c>
      <c r="E320" s="591" t="s">
        <v>1577</v>
      </c>
      <c r="F320" s="594">
        <v>11.01</v>
      </c>
      <c r="G320" s="594">
        <v>7082.2699999999995</v>
      </c>
      <c r="H320" s="594">
        <v>1</v>
      </c>
      <c r="I320" s="594">
        <v>643.25794732061763</v>
      </c>
      <c r="J320" s="594"/>
      <c r="K320" s="594"/>
      <c r="L320" s="594"/>
      <c r="M320" s="594"/>
      <c r="N320" s="594"/>
      <c r="O320" s="594"/>
      <c r="P320" s="616"/>
      <c r="Q320" s="595"/>
    </row>
    <row r="321" spans="1:17" ht="14.4" customHeight="1" x14ac:dyDescent="0.3">
      <c r="A321" s="590" t="s">
        <v>485</v>
      </c>
      <c r="B321" s="591" t="s">
        <v>2775</v>
      </c>
      <c r="C321" s="591" t="s">
        <v>2530</v>
      </c>
      <c r="D321" s="591" t="s">
        <v>2572</v>
      </c>
      <c r="E321" s="591" t="s">
        <v>2573</v>
      </c>
      <c r="F321" s="594"/>
      <c r="G321" s="594"/>
      <c r="H321" s="594"/>
      <c r="I321" s="594"/>
      <c r="J321" s="594">
        <v>7.35</v>
      </c>
      <c r="K321" s="594">
        <v>5880</v>
      </c>
      <c r="L321" s="594"/>
      <c r="M321" s="594">
        <v>800</v>
      </c>
      <c r="N321" s="594"/>
      <c r="O321" s="594"/>
      <c r="P321" s="616"/>
      <c r="Q321" s="595"/>
    </row>
    <row r="322" spans="1:17" ht="14.4" customHeight="1" x14ac:dyDescent="0.3">
      <c r="A322" s="590" t="s">
        <v>485</v>
      </c>
      <c r="B322" s="591" t="s">
        <v>2775</v>
      </c>
      <c r="C322" s="591" t="s">
        <v>2530</v>
      </c>
      <c r="D322" s="591" t="s">
        <v>2574</v>
      </c>
      <c r="E322" s="591" t="s">
        <v>1584</v>
      </c>
      <c r="F322" s="594"/>
      <c r="G322" s="594"/>
      <c r="H322" s="594"/>
      <c r="I322" s="594"/>
      <c r="J322" s="594">
        <v>24</v>
      </c>
      <c r="K322" s="594">
        <v>51807.08</v>
      </c>
      <c r="L322" s="594"/>
      <c r="M322" s="594">
        <v>2158.6283333333336</v>
      </c>
      <c r="N322" s="594"/>
      <c r="O322" s="594"/>
      <c r="P322" s="616"/>
      <c r="Q322" s="595"/>
    </row>
    <row r="323" spans="1:17" ht="14.4" customHeight="1" x14ac:dyDescent="0.3">
      <c r="A323" s="590" t="s">
        <v>485</v>
      </c>
      <c r="B323" s="591" t="s">
        <v>2775</v>
      </c>
      <c r="C323" s="591" t="s">
        <v>2530</v>
      </c>
      <c r="D323" s="591" t="s">
        <v>2575</v>
      </c>
      <c r="E323" s="591" t="s">
        <v>1476</v>
      </c>
      <c r="F323" s="594"/>
      <c r="G323" s="594"/>
      <c r="H323" s="594"/>
      <c r="I323" s="594"/>
      <c r="J323" s="594">
        <v>2.7</v>
      </c>
      <c r="K323" s="594">
        <v>1633.77</v>
      </c>
      <c r="L323" s="594"/>
      <c r="M323" s="594">
        <v>605.09999999999991</v>
      </c>
      <c r="N323" s="594"/>
      <c r="O323" s="594"/>
      <c r="P323" s="616"/>
      <c r="Q323" s="595"/>
    </row>
    <row r="324" spans="1:17" ht="14.4" customHeight="1" x14ac:dyDescent="0.3">
      <c r="A324" s="590" t="s">
        <v>485</v>
      </c>
      <c r="B324" s="591" t="s">
        <v>2775</v>
      </c>
      <c r="C324" s="591" t="s">
        <v>2530</v>
      </c>
      <c r="D324" s="591" t="s">
        <v>2576</v>
      </c>
      <c r="E324" s="591" t="s">
        <v>1507</v>
      </c>
      <c r="F324" s="594"/>
      <c r="G324" s="594"/>
      <c r="H324" s="594"/>
      <c r="I324" s="594"/>
      <c r="J324" s="594">
        <v>7.6000000000000005</v>
      </c>
      <c r="K324" s="594">
        <v>6225.4400000000005</v>
      </c>
      <c r="L324" s="594"/>
      <c r="M324" s="594">
        <v>819.13684210526321</v>
      </c>
      <c r="N324" s="594"/>
      <c r="O324" s="594"/>
      <c r="P324" s="616"/>
      <c r="Q324" s="595"/>
    </row>
    <row r="325" spans="1:17" ht="14.4" customHeight="1" x14ac:dyDescent="0.3">
      <c r="A325" s="590" t="s">
        <v>485</v>
      </c>
      <c r="B325" s="591" t="s">
        <v>2775</v>
      </c>
      <c r="C325" s="591" t="s">
        <v>2530</v>
      </c>
      <c r="D325" s="591" t="s">
        <v>2803</v>
      </c>
      <c r="E325" s="591" t="s">
        <v>2804</v>
      </c>
      <c r="F325" s="594">
        <v>8</v>
      </c>
      <c r="G325" s="594">
        <v>27791.52</v>
      </c>
      <c r="H325" s="594">
        <v>1</v>
      </c>
      <c r="I325" s="594">
        <v>3473.94</v>
      </c>
      <c r="J325" s="594">
        <v>1</v>
      </c>
      <c r="K325" s="594">
        <v>3535.84</v>
      </c>
      <c r="L325" s="594">
        <v>0.1272272981110785</v>
      </c>
      <c r="M325" s="594">
        <v>3535.84</v>
      </c>
      <c r="N325" s="594"/>
      <c r="O325" s="594"/>
      <c r="P325" s="616"/>
      <c r="Q325" s="595"/>
    </row>
    <row r="326" spans="1:17" ht="14.4" customHeight="1" x14ac:dyDescent="0.3">
      <c r="A326" s="590" t="s">
        <v>485</v>
      </c>
      <c r="B326" s="591" t="s">
        <v>2775</v>
      </c>
      <c r="C326" s="591" t="s">
        <v>2530</v>
      </c>
      <c r="D326" s="591" t="s">
        <v>2577</v>
      </c>
      <c r="E326" s="591" t="s">
        <v>2578</v>
      </c>
      <c r="F326" s="594"/>
      <c r="G326" s="594"/>
      <c r="H326" s="594"/>
      <c r="I326" s="594"/>
      <c r="J326" s="594">
        <v>2.4</v>
      </c>
      <c r="K326" s="594">
        <v>2759.84</v>
      </c>
      <c r="L326" s="594"/>
      <c r="M326" s="594">
        <v>1149.9333333333334</v>
      </c>
      <c r="N326" s="594"/>
      <c r="O326" s="594"/>
      <c r="P326" s="616"/>
      <c r="Q326" s="595"/>
    </row>
    <row r="327" spans="1:17" ht="14.4" customHeight="1" x14ac:dyDescent="0.3">
      <c r="A327" s="590" t="s">
        <v>485</v>
      </c>
      <c r="B327" s="591" t="s">
        <v>2775</v>
      </c>
      <c r="C327" s="591" t="s">
        <v>2530</v>
      </c>
      <c r="D327" s="591" t="s">
        <v>2579</v>
      </c>
      <c r="E327" s="591" t="s">
        <v>2580</v>
      </c>
      <c r="F327" s="594"/>
      <c r="G327" s="594"/>
      <c r="H327" s="594"/>
      <c r="I327" s="594"/>
      <c r="J327" s="594">
        <v>52.280000000000015</v>
      </c>
      <c r="K327" s="594">
        <v>189448.53000000006</v>
      </c>
      <c r="L327" s="594"/>
      <c r="M327" s="594">
        <v>3623.7285768936495</v>
      </c>
      <c r="N327" s="594"/>
      <c r="O327" s="594"/>
      <c r="P327" s="616"/>
      <c r="Q327" s="595"/>
    </row>
    <row r="328" spans="1:17" ht="14.4" customHeight="1" x14ac:dyDescent="0.3">
      <c r="A328" s="590" t="s">
        <v>485</v>
      </c>
      <c r="B328" s="591" t="s">
        <v>2775</v>
      </c>
      <c r="C328" s="591" t="s">
        <v>2530</v>
      </c>
      <c r="D328" s="591" t="s">
        <v>2805</v>
      </c>
      <c r="E328" s="591" t="s">
        <v>2804</v>
      </c>
      <c r="F328" s="594"/>
      <c r="G328" s="594"/>
      <c r="H328" s="594"/>
      <c r="I328" s="594"/>
      <c r="J328" s="594">
        <v>3</v>
      </c>
      <c r="K328" s="594">
        <v>21215.040000000001</v>
      </c>
      <c r="L328" s="594"/>
      <c r="M328" s="594">
        <v>7071.68</v>
      </c>
      <c r="N328" s="594"/>
      <c r="O328" s="594"/>
      <c r="P328" s="616"/>
      <c r="Q328" s="595"/>
    </row>
    <row r="329" spans="1:17" ht="14.4" customHeight="1" x14ac:dyDescent="0.3">
      <c r="A329" s="590" t="s">
        <v>485</v>
      </c>
      <c r="B329" s="591" t="s">
        <v>2775</v>
      </c>
      <c r="C329" s="591" t="s">
        <v>2586</v>
      </c>
      <c r="D329" s="591" t="s">
        <v>2587</v>
      </c>
      <c r="E329" s="591" t="s">
        <v>2588</v>
      </c>
      <c r="F329" s="594">
        <v>2</v>
      </c>
      <c r="G329" s="594">
        <v>2349.34</v>
      </c>
      <c r="H329" s="594">
        <v>1</v>
      </c>
      <c r="I329" s="594">
        <v>1174.67</v>
      </c>
      <c r="J329" s="594">
        <v>4</v>
      </c>
      <c r="K329" s="594">
        <v>4824.21</v>
      </c>
      <c r="L329" s="594">
        <v>2.053432027718423</v>
      </c>
      <c r="M329" s="594">
        <v>1206.0525</v>
      </c>
      <c r="N329" s="594"/>
      <c r="O329" s="594"/>
      <c r="P329" s="616"/>
      <c r="Q329" s="595"/>
    </row>
    <row r="330" spans="1:17" ht="14.4" customHeight="1" x14ac:dyDescent="0.3">
      <c r="A330" s="590" t="s">
        <v>485</v>
      </c>
      <c r="B330" s="591" t="s">
        <v>2775</v>
      </c>
      <c r="C330" s="591" t="s">
        <v>2586</v>
      </c>
      <c r="D330" s="591" t="s">
        <v>2589</v>
      </c>
      <c r="E330" s="591" t="s">
        <v>2588</v>
      </c>
      <c r="F330" s="594">
        <v>392</v>
      </c>
      <c r="G330" s="594">
        <v>702014.35999999987</v>
      </c>
      <c r="H330" s="594">
        <v>1</v>
      </c>
      <c r="I330" s="594">
        <v>1790.8529591836732</v>
      </c>
      <c r="J330" s="594">
        <v>436</v>
      </c>
      <c r="K330" s="594">
        <v>809067.12</v>
      </c>
      <c r="L330" s="594">
        <v>1.1524936897302216</v>
      </c>
      <c r="M330" s="594">
        <v>1855.6585321100918</v>
      </c>
      <c r="N330" s="594"/>
      <c r="O330" s="594"/>
      <c r="P330" s="616"/>
      <c r="Q330" s="595"/>
    </row>
    <row r="331" spans="1:17" ht="14.4" customHeight="1" x14ac:dyDescent="0.3">
      <c r="A331" s="590" t="s">
        <v>485</v>
      </c>
      <c r="B331" s="591" t="s">
        <v>2775</v>
      </c>
      <c r="C331" s="591" t="s">
        <v>2586</v>
      </c>
      <c r="D331" s="591" t="s">
        <v>2590</v>
      </c>
      <c r="E331" s="591" t="s">
        <v>2588</v>
      </c>
      <c r="F331" s="594">
        <v>8</v>
      </c>
      <c r="G331" s="594">
        <v>20691.36</v>
      </c>
      <c r="H331" s="594">
        <v>1</v>
      </c>
      <c r="I331" s="594">
        <v>2586.42</v>
      </c>
      <c r="J331" s="594">
        <v>40</v>
      </c>
      <c r="K331" s="594">
        <v>108667.95000000001</v>
      </c>
      <c r="L331" s="594">
        <v>5.2518514974366113</v>
      </c>
      <c r="M331" s="594">
        <v>2716.6987500000005</v>
      </c>
      <c r="N331" s="594"/>
      <c r="O331" s="594"/>
      <c r="P331" s="616"/>
      <c r="Q331" s="595"/>
    </row>
    <row r="332" spans="1:17" ht="14.4" customHeight="1" x14ac:dyDescent="0.3">
      <c r="A332" s="590" t="s">
        <v>485</v>
      </c>
      <c r="B332" s="591" t="s">
        <v>2775</v>
      </c>
      <c r="C332" s="591" t="s">
        <v>2586</v>
      </c>
      <c r="D332" s="591" t="s">
        <v>2806</v>
      </c>
      <c r="E332" s="591" t="s">
        <v>2588</v>
      </c>
      <c r="F332" s="594">
        <v>1</v>
      </c>
      <c r="G332" s="594">
        <v>1546.24</v>
      </c>
      <c r="H332" s="594">
        <v>1</v>
      </c>
      <c r="I332" s="594">
        <v>1546.24</v>
      </c>
      <c r="J332" s="594"/>
      <c r="K332" s="594"/>
      <c r="L332" s="594"/>
      <c r="M332" s="594"/>
      <c r="N332" s="594"/>
      <c r="O332" s="594"/>
      <c r="P332" s="616"/>
      <c r="Q332" s="595"/>
    </row>
    <row r="333" spans="1:17" ht="14.4" customHeight="1" x14ac:dyDescent="0.3">
      <c r="A333" s="590" t="s">
        <v>485</v>
      </c>
      <c r="B333" s="591" t="s">
        <v>2775</v>
      </c>
      <c r="C333" s="591" t="s">
        <v>2586</v>
      </c>
      <c r="D333" s="591" t="s">
        <v>2591</v>
      </c>
      <c r="E333" s="591" t="s">
        <v>2588</v>
      </c>
      <c r="F333" s="594">
        <v>13</v>
      </c>
      <c r="G333" s="594">
        <v>23261.439999999999</v>
      </c>
      <c r="H333" s="594">
        <v>1</v>
      </c>
      <c r="I333" s="594">
        <v>1789.3415384615384</v>
      </c>
      <c r="J333" s="594">
        <v>4</v>
      </c>
      <c r="K333" s="594">
        <v>7462.32</v>
      </c>
      <c r="L333" s="594">
        <v>0.32080215154349861</v>
      </c>
      <c r="M333" s="594">
        <v>1865.58</v>
      </c>
      <c r="N333" s="594"/>
      <c r="O333" s="594"/>
      <c r="P333" s="616"/>
      <c r="Q333" s="595"/>
    </row>
    <row r="334" spans="1:17" ht="14.4" customHeight="1" x14ac:dyDescent="0.3">
      <c r="A334" s="590" t="s">
        <v>485</v>
      </c>
      <c r="B334" s="591" t="s">
        <v>2775</v>
      </c>
      <c r="C334" s="591" t="s">
        <v>2586</v>
      </c>
      <c r="D334" s="591" t="s">
        <v>2592</v>
      </c>
      <c r="E334" s="591" t="s">
        <v>2588</v>
      </c>
      <c r="F334" s="594"/>
      <c r="G334" s="594"/>
      <c r="H334" s="594"/>
      <c r="I334" s="594"/>
      <c r="J334" s="594">
        <v>1</v>
      </c>
      <c r="K334" s="594">
        <v>8191.63</v>
      </c>
      <c r="L334" s="594"/>
      <c r="M334" s="594">
        <v>8191.63</v>
      </c>
      <c r="N334" s="594"/>
      <c r="O334" s="594"/>
      <c r="P334" s="616"/>
      <c r="Q334" s="595"/>
    </row>
    <row r="335" spans="1:17" ht="14.4" customHeight="1" x14ac:dyDescent="0.3">
      <c r="A335" s="590" t="s">
        <v>485</v>
      </c>
      <c r="B335" s="591" t="s">
        <v>2775</v>
      </c>
      <c r="C335" s="591" t="s">
        <v>2586</v>
      </c>
      <c r="D335" s="591" t="s">
        <v>2593</v>
      </c>
      <c r="E335" s="591" t="s">
        <v>2588</v>
      </c>
      <c r="F335" s="594">
        <v>5</v>
      </c>
      <c r="G335" s="594">
        <v>38669.18</v>
      </c>
      <c r="H335" s="594">
        <v>1</v>
      </c>
      <c r="I335" s="594">
        <v>7733.8360000000002</v>
      </c>
      <c r="J335" s="594">
        <v>6</v>
      </c>
      <c r="K335" s="594">
        <v>48149.98</v>
      </c>
      <c r="L335" s="594">
        <v>1.2451771669324254</v>
      </c>
      <c r="M335" s="594">
        <v>8024.9966666666669</v>
      </c>
      <c r="N335" s="594"/>
      <c r="O335" s="594"/>
      <c r="P335" s="616"/>
      <c r="Q335" s="595"/>
    </row>
    <row r="336" spans="1:17" ht="14.4" customHeight="1" x14ac:dyDescent="0.3">
      <c r="A336" s="590" t="s">
        <v>485</v>
      </c>
      <c r="B336" s="591" t="s">
        <v>2775</v>
      </c>
      <c r="C336" s="591" t="s">
        <v>2586</v>
      </c>
      <c r="D336" s="591" t="s">
        <v>2594</v>
      </c>
      <c r="E336" s="591" t="s">
        <v>2588</v>
      </c>
      <c r="F336" s="594">
        <v>23</v>
      </c>
      <c r="G336" s="594">
        <v>209199.23</v>
      </c>
      <c r="H336" s="594">
        <v>1</v>
      </c>
      <c r="I336" s="594">
        <v>9095.6186956521742</v>
      </c>
      <c r="J336" s="594">
        <v>24</v>
      </c>
      <c r="K336" s="594">
        <v>229885.86000000004</v>
      </c>
      <c r="L336" s="594">
        <v>1.0988848285913864</v>
      </c>
      <c r="M336" s="594">
        <v>9578.5775000000012</v>
      </c>
      <c r="N336" s="594"/>
      <c r="O336" s="594"/>
      <c r="P336" s="616"/>
      <c r="Q336" s="595"/>
    </row>
    <row r="337" spans="1:17" ht="14.4" customHeight="1" x14ac:dyDescent="0.3">
      <c r="A337" s="590" t="s">
        <v>485</v>
      </c>
      <c r="B337" s="591" t="s">
        <v>2775</v>
      </c>
      <c r="C337" s="591" t="s">
        <v>2586</v>
      </c>
      <c r="D337" s="591" t="s">
        <v>2595</v>
      </c>
      <c r="E337" s="591" t="s">
        <v>2588</v>
      </c>
      <c r="F337" s="594">
        <v>167</v>
      </c>
      <c r="G337" s="594">
        <v>145616.54</v>
      </c>
      <c r="H337" s="594">
        <v>1</v>
      </c>
      <c r="I337" s="594">
        <v>871.95532934131745</v>
      </c>
      <c r="J337" s="594">
        <v>233</v>
      </c>
      <c r="K337" s="594">
        <v>214191.40999999997</v>
      </c>
      <c r="L337" s="594">
        <v>1.4709277531247478</v>
      </c>
      <c r="M337" s="594">
        <v>919.27643776824027</v>
      </c>
      <c r="N337" s="594"/>
      <c r="O337" s="594"/>
      <c r="P337" s="616"/>
      <c r="Q337" s="595"/>
    </row>
    <row r="338" spans="1:17" ht="14.4" customHeight="1" x14ac:dyDescent="0.3">
      <c r="A338" s="590" t="s">
        <v>485</v>
      </c>
      <c r="B338" s="591" t="s">
        <v>2775</v>
      </c>
      <c r="C338" s="591" t="s">
        <v>2586</v>
      </c>
      <c r="D338" s="591" t="s">
        <v>2596</v>
      </c>
      <c r="E338" s="591" t="s">
        <v>2588</v>
      </c>
      <c r="F338" s="594">
        <v>2</v>
      </c>
      <c r="G338" s="594">
        <v>378.88</v>
      </c>
      <c r="H338" s="594">
        <v>1</v>
      </c>
      <c r="I338" s="594">
        <v>189.44</v>
      </c>
      <c r="J338" s="594">
        <v>25</v>
      </c>
      <c r="K338" s="594">
        <v>5939.08</v>
      </c>
      <c r="L338" s="594">
        <v>15.675358952702704</v>
      </c>
      <c r="M338" s="594">
        <v>237.56319999999999</v>
      </c>
      <c r="N338" s="594"/>
      <c r="O338" s="594"/>
      <c r="P338" s="616"/>
      <c r="Q338" s="595"/>
    </row>
    <row r="339" spans="1:17" ht="14.4" customHeight="1" x14ac:dyDescent="0.3">
      <c r="A339" s="590" t="s">
        <v>485</v>
      </c>
      <c r="B339" s="591" t="s">
        <v>2775</v>
      </c>
      <c r="C339" s="591" t="s">
        <v>2586</v>
      </c>
      <c r="D339" s="591" t="s">
        <v>2807</v>
      </c>
      <c r="E339" s="591" t="s">
        <v>2588</v>
      </c>
      <c r="F339" s="594">
        <v>3</v>
      </c>
      <c r="G339" s="594">
        <v>7897.86</v>
      </c>
      <c r="H339" s="594">
        <v>1</v>
      </c>
      <c r="I339" s="594">
        <v>2632.62</v>
      </c>
      <c r="J339" s="594"/>
      <c r="K339" s="594"/>
      <c r="L339" s="594"/>
      <c r="M339" s="594"/>
      <c r="N339" s="594"/>
      <c r="O339" s="594"/>
      <c r="P339" s="616"/>
      <c r="Q339" s="595"/>
    </row>
    <row r="340" spans="1:17" ht="14.4" customHeight="1" x14ac:dyDescent="0.3">
      <c r="A340" s="590" t="s">
        <v>485</v>
      </c>
      <c r="B340" s="591" t="s">
        <v>2775</v>
      </c>
      <c r="C340" s="591" t="s">
        <v>2597</v>
      </c>
      <c r="D340" s="591" t="s">
        <v>2598</v>
      </c>
      <c r="E340" s="591" t="s">
        <v>2599</v>
      </c>
      <c r="F340" s="594"/>
      <c r="G340" s="594"/>
      <c r="H340" s="594"/>
      <c r="I340" s="594"/>
      <c r="J340" s="594">
        <v>6</v>
      </c>
      <c r="K340" s="594">
        <v>1979.88</v>
      </c>
      <c r="L340" s="594"/>
      <c r="M340" s="594">
        <v>329.98</v>
      </c>
      <c r="N340" s="594"/>
      <c r="O340" s="594"/>
      <c r="P340" s="616"/>
      <c r="Q340" s="595"/>
    </row>
    <row r="341" spans="1:17" ht="14.4" customHeight="1" x14ac:dyDescent="0.3">
      <c r="A341" s="590" t="s">
        <v>485</v>
      </c>
      <c r="B341" s="591" t="s">
        <v>2775</v>
      </c>
      <c r="C341" s="591" t="s">
        <v>2597</v>
      </c>
      <c r="D341" s="591" t="s">
        <v>2808</v>
      </c>
      <c r="E341" s="591" t="s">
        <v>2809</v>
      </c>
      <c r="F341" s="594"/>
      <c r="G341" s="594"/>
      <c r="H341" s="594"/>
      <c r="I341" s="594"/>
      <c r="J341" s="594">
        <v>1</v>
      </c>
      <c r="K341" s="594">
        <v>1435.36</v>
      </c>
      <c r="L341" s="594"/>
      <c r="M341" s="594">
        <v>1435.36</v>
      </c>
      <c r="N341" s="594"/>
      <c r="O341" s="594"/>
      <c r="P341" s="616"/>
      <c r="Q341" s="595"/>
    </row>
    <row r="342" spans="1:17" ht="14.4" customHeight="1" x14ac:dyDescent="0.3">
      <c r="A342" s="590" t="s">
        <v>485</v>
      </c>
      <c r="B342" s="591" t="s">
        <v>2775</v>
      </c>
      <c r="C342" s="591" t="s">
        <v>2597</v>
      </c>
      <c r="D342" s="591" t="s">
        <v>2810</v>
      </c>
      <c r="E342" s="591" t="s">
        <v>2811</v>
      </c>
      <c r="F342" s="594">
        <v>1</v>
      </c>
      <c r="G342" s="594">
        <v>687</v>
      </c>
      <c r="H342" s="594">
        <v>1</v>
      </c>
      <c r="I342" s="594">
        <v>687</v>
      </c>
      <c r="J342" s="594"/>
      <c r="K342" s="594"/>
      <c r="L342" s="594"/>
      <c r="M342" s="594"/>
      <c r="N342" s="594"/>
      <c r="O342" s="594"/>
      <c r="P342" s="616"/>
      <c r="Q342" s="595"/>
    </row>
    <row r="343" spans="1:17" ht="14.4" customHeight="1" x14ac:dyDescent="0.3">
      <c r="A343" s="590" t="s">
        <v>485</v>
      </c>
      <c r="B343" s="591" t="s">
        <v>2775</v>
      </c>
      <c r="C343" s="591" t="s">
        <v>2597</v>
      </c>
      <c r="D343" s="591" t="s">
        <v>2812</v>
      </c>
      <c r="E343" s="591" t="s">
        <v>2813</v>
      </c>
      <c r="F343" s="594">
        <v>16</v>
      </c>
      <c r="G343" s="594">
        <v>3671.68</v>
      </c>
      <c r="H343" s="594">
        <v>1</v>
      </c>
      <c r="I343" s="594">
        <v>229.48</v>
      </c>
      <c r="J343" s="594"/>
      <c r="K343" s="594"/>
      <c r="L343" s="594"/>
      <c r="M343" s="594"/>
      <c r="N343" s="594"/>
      <c r="O343" s="594"/>
      <c r="P343" s="616"/>
      <c r="Q343" s="595"/>
    </row>
    <row r="344" spans="1:17" ht="14.4" customHeight="1" x14ac:dyDescent="0.3">
      <c r="A344" s="590" t="s">
        <v>485</v>
      </c>
      <c r="B344" s="591" t="s">
        <v>2775</v>
      </c>
      <c r="C344" s="591" t="s">
        <v>2597</v>
      </c>
      <c r="D344" s="591" t="s">
        <v>2814</v>
      </c>
      <c r="E344" s="591" t="s">
        <v>2813</v>
      </c>
      <c r="F344" s="594">
        <v>0.73</v>
      </c>
      <c r="G344" s="594">
        <v>845.85</v>
      </c>
      <c r="H344" s="594">
        <v>1</v>
      </c>
      <c r="I344" s="594">
        <v>1158.6986301369864</v>
      </c>
      <c r="J344" s="594"/>
      <c r="K344" s="594"/>
      <c r="L344" s="594"/>
      <c r="M344" s="594"/>
      <c r="N344" s="594"/>
      <c r="O344" s="594"/>
      <c r="P344" s="616"/>
      <c r="Q344" s="595"/>
    </row>
    <row r="345" spans="1:17" ht="14.4" customHeight="1" x14ac:dyDescent="0.3">
      <c r="A345" s="590" t="s">
        <v>485</v>
      </c>
      <c r="B345" s="591" t="s">
        <v>2775</v>
      </c>
      <c r="C345" s="591" t="s">
        <v>2597</v>
      </c>
      <c r="D345" s="591" t="s">
        <v>2611</v>
      </c>
      <c r="E345" s="591" t="s">
        <v>2612</v>
      </c>
      <c r="F345" s="594">
        <v>1</v>
      </c>
      <c r="G345" s="594">
        <v>5440.91</v>
      </c>
      <c r="H345" s="594">
        <v>1</v>
      </c>
      <c r="I345" s="594">
        <v>5440.91</v>
      </c>
      <c r="J345" s="594"/>
      <c r="K345" s="594"/>
      <c r="L345" s="594"/>
      <c r="M345" s="594"/>
      <c r="N345" s="594"/>
      <c r="O345" s="594"/>
      <c r="P345" s="616"/>
      <c r="Q345" s="595"/>
    </row>
    <row r="346" spans="1:17" ht="14.4" customHeight="1" x14ac:dyDescent="0.3">
      <c r="A346" s="590" t="s">
        <v>485</v>
      </c>
      <c r="B346" s="591" t="s">
        <v>2775</v>
      </c>
      <c r="C346" s="591" t="s">
        <v>2597</v>
      </c>
      <c r="D346" s="591" t="s">
        <v>2613</v>
      </c>
      <c r="E346" s="591" t="s">
        <v>2614</v>
      </c>
      <c r="F346" s="594"/>
      <c r="G346" s="594"/>
      <c r="H346" s="594"/>
      <c r="I346" s="594"/>
      <c r="J346" s="594">
        <v>1</v>
      </c>
      <c r="K346" s="594">
        <v>6832.75</v>
      </c>
      <c r="L346" s="594"/>
      <c r="M346" s="594">
        <v>6832.75</v>
      </c>
      <c r="N346" s="594"/>
      <c r="O346" s="594"/>
      <c r="P346" s="616"/>
      <c r="Q346" s="595"/>
    </row>
    <row r="347" spans="1:17" ht="14.4" customHeight="1" x14ac:dyDescent="0.3">
      <c r="A347" s="590" t="s">
        <v>485</v>
      </c>
      <c r="B347" s="591" t="s">
        <v>2775</v>
      </c>
      <c r="C347" s="591" t="s">
        <v>2597</v>
      </c>
      <c r="D347" s="591" t="s">
        <v>2815</v>
      </c>
      <c r="E347" s="591" t="s">
        <v>2816</v>
      </c>
      <c r="F347" s="594">
        <v>1</v>
      </c>
      <c r="G347" s="594">
        <v>91.2</v>
      </c>
      <c r="H347" s="594">
        <v>1</v>
      </c>
      <c r="I347" s="594">
        <v>91.2</v>
      </c>
      <c r="J347" s="594"/>
      <c r="K347" s="594"/>
      <c r="L347" s="594"/>
      <c r="M347" s="594"/>
      <c r="N347" s="594"/>
      <c r="O347" s="594"/>
      <c r="P347" s="616"/>
      <c r="Q347" s="595"/>
    </row>
    <row r="348" spans="1:17" ht="14.4" customHeight="1" x14ac:dyDescent="0.3">
      <c r="A348" s="590" t="s">
        <v>485</v>
      </c>
      <c r="B348" s="591" t="s">
        <v>2775</v>
      </c>
      <c r="C348" s="591" t="s">
        <v>2597</v>
      </c>
      <c r="D348" s="591" t="s">
        <v>2619</v>
      </c>
      <c r="E348" s="591" t="s">
        <v>2610</v>
      </c>
      <c r="F348" s="594">
        <v>2</v>
      </c>
      <c r="G348" s="594">
        <v>242.5</v>
      </c>
      <c r="H348" s="594">
        <v>1</v>
      </c>
      <c r="I348" s="594">
        <v>121.25</v>
      </c>
      <c r="J348" s="594">
        <v>2</v>
      </c>
      <c r="K348" s="594">
        <v>242.5</v>
      </c>
      <c r="L348" s="594">
        <v>1</v>
      </c>
      <c r="M348" s="594">
        <v>121.25</v>
      </c>
      <c r="N348" s="594"/>
      <c r="O348" s="594"/>
      <c r="P348" s="616"/>
      <c r="Q348" s="595"/>
    </row>
    <row r="349" spans="1:17" ht="14.4" customHeight="1" x14ac:dyDescent="0.3">
      <c r="A349" s="590" t="s">
        <v>485</v>
      </c>
      <c r="B349" s="591" t="s">
        <v>2775</v>
      </c>
      <c r="C349" s="591" t="s">
        <v>2597</v>
      </c>
      <c r="D349" s="591" t="s">
        <v>2817</v>
      </c>
      <c r="E349" s="591" t="s">
        <v>2818</v>
      </c>
      <c r="F349" s="594"/>
      <c r="G349" s="594"/>
      <c r="H349" s="594"/>
      <c r="I349" s="594"/>
      <c r="J349" s="594">
        <v>2</v>
      </c>
      <c r="K349" s="594">
        <v>2002.26</v>
      </c>
      <c r="L349" s="594"/>
      <c r="M349" s="594">
        <v>1001.13</v>
      </c>
      <c r="N349" s="594"/>
      <c r="O349" s="594"/>
      <c r="P349" s="616"/>
      <c r="Q349" s="595"/>
    </row>
    <row r="350" spans="1:17" ht="14.4" customHeight="1" x14ac:dyDescent="0.3">
      <c r="A350" s="590" t="s">
        <v>485</v>
      </c>
      <c r="B350" s="591" t="s">
        <v>2775</v>
      </c>
      <c r="C350" s="591" t="s">
        <v>2597</v>
      </c>
      <c r="D350" s="591" t="s">
        <v>2819</v>
      </c>
      <c r="E350" s="591" t="s">
        <v>2820</v>
      </c>
      <c r="F350" s="594"/>
      <c r="G350" s="594"/>
      <c r="H350" s="594"/>
      <c r="I350" s="594"/>
      <c r="J350" s="594">
        <v>1</v>
      </c>
      <c r="K350" s="594">
        <v>2404.36</v>
      </c>
      <c r="L350" s="594"/>
      <c r="M350" s="594">
        <v>2404.36</v>
      </c>
      <c r="N350" s="594"/>
      <c r="O350" s="594"/>
      <c r="P350" s="616"/>
      <c r="Q350" s="595"/>
    </row>
    <row r="351" spans="1:17" ht="14.4" customHeight="1" x14ac:dyDescent="0.3">
      <c r="A351" s="590" t="s">
        <v>485</v>
      </c>
      <c r="B351" s="591" t="s">
        <v>2775</v>
      </c>
      <c r="C351" s="591" t="s">
        <v>2597</v>
      </c>
      <c r="D351" s="591" t="s">
        <v>2821</v>
      </c>
      <c r="E351" s="591" t="s">
        <v>2822</v>
      </c>
      <c r="F351" s="594">
        <v>1</v>
      </c>
      <c r="G351" s="594">
        <v>5082.22</v>
      </c>
      <c r="H351" s="594">
        <v>1</v>
      </c>
      <c r="I351" s="594">
        <v>5082.22</v>
      </c>
      <c r="J351" s="594"/>
      <c r="K351" s="594"/>
      <c r="L351" s="594"/>
      <c r="M351" s="594"/>
      <c r="N351" s="594"/>
      <c r="O351" s="594"/>
      <c r="P351" s="616"/>
      <c r="Q351" s="595"/>
    </row>
    <row r="352" spans="1:17" ht="14.4" customHeight="1" x14ac:dyDescent="0.3">
      <c r="A352" s="590" t="s">
        <v>485</v>
      </c>
      <c r="B352" s="591" t="s">
        <v>2775</v>
      </c>
      <c r="C352" s="591" t="s">
        <v>2597</v>
      </c>
      <c r="D352" s="591" t="s">
        <v>2823</v>
      </c>
      <c r="E352" s="591" t="s">
        <v>2824</v>
      </c>
      <c r="F352" s="594"/>
      <c r="G352" s="594"/>
      <c r="H352" s="594"/>
      <c r="I352" s="594"/>
      <c r="J352" s="594">
        <v>2</v>
      </c>
      <c r="K352" s="594">
        <v>2734.14</v>
      </c>
      <c r="L352" s="594"/>
      <c r="M352" s="594">
        <v>1367.07</v>
      </c>
      <c r="N352" s="594"/>
      <c r="O352" s="594"/>
      <c r="P352" s="616"/>
      <c r="Q352" s="595"/>
    </row>
    <row r="353" spans="1:17" ht="14.4" customHeight="1" x14ac:dyDescent="0.3">
      <c r="A353" s="590" t="s">
        <v>485</v>
      </c>
      <c r="B353" s="591" t="s">
        <v>2775</v>
      </c>
      <c r="C353" s="591" t="s">
        <v>2597</v>
      </c>
      <c r="D353" s="591" t="s">
        <v>2825</v>
      </c>
      <c r="E353" s="591" t="s">
        <v>2826</v>
      </c>
      <c r="F353" s="594">
        <v>1</v>
      </c>
      <c r="G353" s="594">
        <v>28950</v>
      </c>
      <c r="H353" s="594">
        <v>1</v>
      </c>
      <c r="I353" s="594">
        <v>28950</v>
      </c>
      <c r="J353" s="594"/>
      <c r="K353" s="594"/>
      <c r="L353" s="594"/>
      <c r="M353" s="594"/>
      <c r="N353" s="594"/>
      <c r="O353" s="594"/>
      <c r="P353" s="616"/>
      <c r="Q353" s="595"/>
    </row>
    <row r="354" spans="1:17" ht="14.4" customHeight="1" x14ac:dyDescent="0.3">
      <c r="A354" s="590" t="s">
        <v>485</v>
      </c>
      <c r="B354" s="591" t="s">
        <v>2775</v>
      </c>
      <c r="C354" s="591" t="s">
        <v>2597</v>
      </c>
      <c r="D354" s="591" t="s">
        <v>2827</v>
      </c>
      <c r="E354" s="591" t="s">
        <v>2828</v>
      </c>
      <c r="F354" s="594">
        <v>1</v>
      </c>
      <c r="G354" s="594">
        <v>23608.2</v>
      </c>
      <c r="H354" s="594">
        <v>1</v>
      </c>
      <c r="I354" s="594">
        <v>23608.2</v>
      </c>
      <c r="J354" s="594">
        <v>1</v>
      </c>
      <c r="K354" s="594">
        <v>23608.2</v>
      </c>
      <c r="L354" s="594">
        <v>1</v>
      </c>
      <c r="M354" s="594">
        <v>23608.2</v>
      </c>
      <c r="N354" s="594"/>
      <c r="O354" s="594"/>
      <c r="P354" s="616"/>
      <c r="Q354" s="595"/>
    </row>
    <row r="355" spans="1:17" ht="14.4" customHeight="1" x14ac:dyDescent="0.3">
      <c r="A355" s="590" t="s">
        <v>485</v>
      </c>
      <c r="B355" s="591" t="s">
        <v>2775</v>
      </c>
      <c r="C355" s="591" t="s">
        <v>2597</v>
      </c>
      <c r="D355" s="591" t="s">
        <v>2829</v>
      </c>
      <c r="E355" s="591" t="s">
        <v>2830</v>
      </c>
      <c r="F355" s="594">
        <v>2</v>
      </c>
      <c r="G355" s="594">
        <v>447.7</v>
      </c>
      <c r="H355" s="594">
        <v>1</v>
      </c>
      <c r="I355" s="594">
        <v>223.85</v>
      </c>
      <c r="J355" s="594"/>
      <c r="K355" s="594"/>
      <c r="L355" s="594"/>
      <c r="M355" s="594"/>
      <c r="N355" s="594"/>
      <c r="O355" s="594"/>
      <c r="P355" s="616"/>
      <c r="Q355" s="595"/>
    </row>
    <row r="356" spans="1:17" ht="14.4" customHeight="1" x14ac:dyDescent="0.3">
      <c r="A356" s="590" t="s">
        <v>485</v>
      </c>
      <c r="B356" s="591" t="s">
        <v>2775</v>
      </c>
      <c r="C356" s="591" t="s">
        <v>2597</v>
      </c>
      <c r="D356" s="591" t="s">
        <v>2628</v>
      </c>
      <c r="E356" s="591" t="s">
        <v>2629</v>
      </c>
      <c r="F356" s="594">
        <v>1</v>
      </c>
      <c r="G356" s="594">
        <v>10124.24</v>
      </c>
      <c r="H356" s="594">
        <v>1</v>
      </c>
      <c r="I356" s="594">
        <v>10124.24</v>
      </c>
      <c r="J356" s="594"/>
      <c r="K356" s="594"/>
      <c r="L356" s="594"/>
      <c r="M356" s="594"/>
      <c r="N356" s="594"/>
      <c r="O356" s="594"/>
      <c r="P356" s="616"/>
      <c r="Q356" s="595"/>
    </row>
    <row r="357" spans="1:17" ht="14.4" customHeight="1" x14ac:dyDescent="0.3">
      <c r="A357" s="590" t="s">
        <v>485</v>
      </c>
      <c r="B357" s="591" t="s">
        <v>2775</v>
      </c>
      <c r="C357" s="591" t="s">
        <v>2597</v>
      </c>
      <c r="D357" s="591" t="s">
        <v>2630</v>
      </c>
      <c r="E357" s="591" t="s">
        <v>2631</v>
      </c>
      <c r="F357" s="594">
        <v>1</v>
      </c>
      <c r="G357" s="594">
        <v>1796</v>
      </c>
      <c r="H357" s="594">
        <v>1</v>
      </c>
      <c r="I357" s="594">
        <v>1796</v>
      </c>
      <c r="J357" s="594">
        <v>3</v>
      </c>
      <c r="K357" s="594">
        <v>5388</v>
      </c>
      <c r="L357" s="594">
        <v>3</v>
      </c>
      <c r="M357" s="594">
        <v>1796</v>
      </c>
      <c r="N357" s="594"/>
      <c r="O357" s="594"/>
      <c r="P357" s="616"/>
      <c r="Q357" s="595"/>
    </row>
    <row r="358" spans="1:17" ht="14.4" customHeight="1" x14ac:dyDescent="0.3">
      <c r="A358" s="590" t="s">
        <v>485</v>
      </c>
      <c r="B358" s="591" t="s">
        <v>2775</v>
      </c>
      <c r="C358" s="591" t="s">
        <v>2597</v>
      </c>
      <c r="D358" s="591" t="s">
        <v>2831</v>
      </c>
      <c r="E358" s="591" t="s">
        <v>2832</v>
      </c>
      <c r="F358" s="594">
        <v>1</v>
      </c>
      <c r="G358" s="594">
        <v>1796</v>
      </c>
      <c r="H358" s="594">
        <v>1</v>
      </c>
      <c r="I358" s="594">
        <v>1796</v>
      </c>
      <c r="J358" s="594"/>
      <c r="K358" s="594"/>
      <c r="L358" s="594"/>
      <c r="M358" s="594"/>
      <c r="N358" s="594"/>
      <c r="O358" s="594"/>
      <c r="P358" s="616"/>
      <c r="Q358" s="595"/>
    </row>
    <row r="359" spans="1:17" ht="14.4" customHeight="1" x14ac:dyDescent="0.3">
      <c r="A359" s="590" t="s">
        <v>485</v>
      </c>
      <c r="B359" s="591" t="s">
        <v>2775</v>
      </c>
      <c r="C359" s="591" t="s">
        <v>2597</v>
      </c>
      <c r="D359" s="591" t="s">
        <v>2632</v>
      </c>
      <c r="E359" s="591" t="s">
        <v>2633</v>
      </c>
      <c r="F359" s="594">
        <v>2</v>
      </c>
      <c r="G359" s="594">
        <v>3592</v>
      </c>
      <c r="H359" s="594">
        <v>1</v>
      </c>
      <c r="I359" s="594">
        <v>1796</v>
      </c>
      <c r="J359" s="594">
        <v>4</v>
      </c>
      <c r="K359" s="594">
        <v>7184</v>
      </c>
      <c r="L359" s="594">
        <v>2</v>
      </c>
      <c r="M359" s="594">
        <v>1796</v>
      </c>
      <c r="N359" s="594"/>
      <c r="O359" s="594"/>
      <c r="P359" s="616"/>
      <c r="Q359" s="595"/>
    </row>
    <row r="360" spans="1:17" ht="14.4" customHeight="1" x14ac:dyDescent="0.3">
      <c r="A360" s="590" t="s">
        <v>485</v>
      </c>
      <c r="B360" s="591" t="s">
        <v>2775</v>
      </c>
      <c r="C360" s="591" t="s">
        <v>2597</v>
      </c>
      <c r="D360" s="591" t="s">
        <v>2634</v>
      </c>
      <c r="E360" s="591" t="s">
        <v>2635</v>
      </c>
      <c r="F360" s="594">
        <v>2</v>
      </c>
      <c r="G360" s="594">
        <v>3592</v>
      </c>
      <c r="H360" s="594">
        <v>1</v>
      </c>
      <c r="I360" s="594">
        <v>1796</v>
      </c>
      <c r="J360" s="594">
        <v>3</v>
      </c>
      <c r="K360" s="594">
        <v>5388</v>
      </c>
      <c r="L360" s="594">
        <v>1.5</v>
      </c>
      <c r="M360" s="594">
        <v>1796</v>
      </c>
      <c r="N360" s="594"/>
      <c r="O360" s="594"/>
      <c r="P360" s="616"/>
      <c r="Q360" s="595"/>
    </row>
    <row r="361" spans="1:17" ht="14.4" customHeight="1" x14ac:dyDescent="0.3">
      <c r="A361" s="590" t="s">
        <v>485</v>
      </c>
      <c r="B361" s="591" t="s">
        <v>2775</v>
      </c>
      <c r="C361" s="591" t="s">
        <v>2597</v>
      </c>
      <c r="D361" s="591" t="s">
        <v>2833</v>
      </c>
      <c r="E361" s="591" t="s">
        <v>2834</v>
      </c>
      <c r="F361" s="594"/>
      <c r="G361" s="594"/>
      <c r="H361" s="594"/>
      <c r="I361" s="594"/>
      <c r="J361" s="594">
        <v>1</v>
      </c>
      <c r="K361" s="594">
        <v>1796</v>
      </c>
      <c r="L361" s="594"/>
      <c r="M361" s="594">
        <v>1796</v>
      </c>
      <c r="N361" s="594"/>
      <c r="O361" s="594"/>
      <c r="P361" s="616"/>
      <c r="Q361" s="595"/>
    </row>
    <row r="362" spans="1:17" ht="14.4" customHeight="1" x14ac:dyDescent="0.3">
      <c r="A362" s="590" t="s">
        <v>485</v>
      </c>
      <c r="B362" s="591" t="s">
        <v>2775</v>
      </c>
      <c r="C362" s="591" t="s">
        <v>2597</v>
      </c>
      <c r="D362" s="591" t="s">
        <v>2835</v>
      </c>
      <c r="E362" s="591" t="s">
        <v>2836</v>
      </c>
      <c r="F362" s="594"/>
      <c r="G362" s="594"/>
      <c r="H362" s="594"/>
      <c r="I362" s="594"/>
      <c r="J362" s="594">
        <v>1</v>
      </c>
      <c r="K362" s="594">
        <v>530.62</v>
      </c>
      <c r="L362" s="594"/>
      <c r="M362" s="594">
        <v>530.62</v>
      </c>
      <c r="N362" s="594"/>
      <c r="O362" s="594"/>
      <c r="P362" s="616"/>
      <c r="Q362" s="595"/>
    </row>
    <row r="363" spans="1:17" ht="14.4" customHeight="1" x14ac:dyDescent="0.3">
      <c r="A363" s="590" t="s">
        <v>485</v>
      </c>
      <c r="B363" s="591" t="s">
        <v>2775</v>
      </c>
      <c r="C363" s="591" t="s">
        <v>2597</v>
      </c>
      <c r="D363" s="591" t="s">
        <v>2837</v>
      </c>
      <c r="E363" s="591" t="s">
        <v>2838</v>
      </c>
      <c r="F363" s="594"/>
      <c r="G363" s="594"/>
      <c r="H363" s="594"/>
      <c r="I363" s="594"/>
      <c r="J363" s="594">
        <v>1</v>
      </c>
      <c r="K363" s="594">
        <v>2932.91</v>
      </c>
      <c r="L363" s="594"/>
      <c r="M363" s="594">
        <v>2932.91</v>
      </c>
      <c r="N363" s="594"/>
      <c r="O363" s="594"/>
      <c r="P363" s="616"/>
      <c r="Q363" s="595"/>
    </row>
    <row r="364" spans="1:17" ht="14.4" customHeight="1" x14ac:dyDescent="0.3">
      <c r="A364" s="590" t="s">
        <v>485</v>
      </c>
      <c r="B364" s="591" t="s">
        <v>2775</v>
      </c>
      <c r="C364" s="591" t="s">
        <v>2597</v>
      </c>
      <c r="D364" s="591" t="s">
        <v>2839</v>
      </c>
      <c r="E364" s="591" t="s">
        <v>2840</v>
      </c>
      <c r="F364" s="594">
        <v>1</v>
      </c>
      <c r="G364" s="594">
        <v>4618</v>
      </c>
      <c r="H364" s="594">
        <v>1</v>
      </c>
      <c r="I364" s="594">
        <v>4618</v>
      </c>
      <c r="J364" s="594"/>
      <c r="K364" s="594"/>
      <c r="L364" s="594"/>
      <c r="M364" s="594"/>
      <c r="N364" s="594"/>
      <c r="O364" s="594"/>
      <c r="P364" s="616"/>
      <c r="Q364" s="595"/>
    </row>
    <row r="365" spans="1:17" ht="14.4" customHeight="1" x14ac:dyDescent="0.3">
      <c r="A365" s="590" t="s">
        <v>485</v>
      </c>
      <c r="B365" s="591" t="s">
        <v>2775</v>
      </c>
      <c r="C365" s="591" t="s">
        <v>2597</v>
      </c>
      <c r="D365" s="591" t="s">
        <v>2636</v>
      </c>
      <c r="E365" s="591" t="s">
        <v>2637</v>
      </c>
      <c r="F365" s="594">
        <v>6</v>
      </c>
      <c r="G365" s="594">
        <v>3339</v>
      </c>
      <c r="H365" s="594">
        <v>1</v>
      </c>
      <c r="I365" s="594">
        <v>556.5</v>
      </c>
      <c r="J365" s="594">
        <v>18</v>
      </c>
      <c r="K365" s="594">
        <v>10017</v>
      </c>
      <c r="L365" s="594">
        <v>3</v>
      </c>
      <c r="M365" s="594">
        <v>556.5</v>
      </c>
      <c r="N365" s="594"/>
      <c r="O365" s="594"/>
      <c r="P365" s="616"/>
      <c r="Q365" s="595"/>
    </row>
    <row r="366" spans="1:17" ht="14.4" customHeight="1" x14ac:dyDescent="0.3">
      <c r="A366" s="590" t="s">
        <v>485</v>
      </c>
      <c r="B366" s="591" t="s">
        <v>2775</v>
      </c>
      <c r="C366" s="591" t="s">
        <v>2597</v>
      </c>
      <c r="D366" s="591" t="s">
        <v>2841</v>
      </c>
      <c r="E366" s="591" t="s">
        <v>2842</v>
      </c>
      <c r="F366" s="594"/>
      <c r="G366" s="594"/>
      <c r="H366" s="594"/>
      <c r="I366" s="594"/>
      <c r="J366" s="594">
        <v>1</v>
      </c>
      <c r="K366" s="594">
        <v>1844.73</v>
      </c>
      <c r="L366" s="594"/>
      <c r="M366" s="594">
        <v>1844.73</v>
      </c>
      <c r="N366" s="594"/>
      <c r="O366" s="594"/>
      <c r="P366" s="616"/>
      <c r="Q366" s="595"/>
    </row>
    <row r="367" spans="1:17" ht="14.4" customHeight="1" x14ac:dyDescent="0.3">
      <c r="A367" s="590" t="s">
        <v>485</v>
      </c>
      <c r="B367" s="591" t="s">
        <v>2775</v>
      </c>
      <c r="C367" s="591" t="s">
        <v>2597</v>
      </c>
      <c r="D367" s="591" t="s">
        <v>2843</v>
      </c>
      <c r="E367" s="591" t="s">
        <v>2844</v>
      </c>
      <c r="F367" s="594"/>
      <c r="G367" s="594"/>
      <c r="H367" s="594"/>
      <c r="I367" s="594"/>
      <c r="J367" s="594">
        <v>1</v>
      </c>
      <c r="K367" s="594">
        <v>9229.85</v>
      </c>
      <c r="L367" s="594"/>
      <c r="M367" s="594">
        <v>9229.85</v>
      </c>
      <c r="N367" s="594"/>
      <c r="O367" s="594"/>
      <c r="P367" s="616"/>
      <c r="Q367" s="595"/>
    </row>
    <row r="368" spans="1:17" ht="14.4" customHeight="1" x14ac:dyDescent="0.3">
      <c r="A368" s="590" t="s">
        <v>485</v>
      </c>
      <c r="B368" s="591" t="s">
        <v>2775</v>
      </c>
      <c r="C368" s="591" t="s">
        <v>2597</v>
      </c>
      <c r="D368" s="591" t="s">
        <v>2845</v>
      </c>
      <c r="E368" s="591" t="s">
        <v>2846</v>
      </c>
      <c r="F368" s="594"/>
      <c r="G368" s="594"/>
      <c r="H368" s="594"/>
      <c r="I368" s="594"/>
      <c r="J368" s="594">
        <v>3</v>
      </c>
      <c r="K368" s="594">
        <v>8997.7199999999993</v>
      </c>
      <c r="L368" s="594"/>
      <c r="M368" s="594">
        <v>2999.24</v>
      </c>
      <c r="N368" s="594"/>
      <c r="O368" s="594"/>
      <c r="P368" s="616"/>
      <c r="Q368" s="595"/>
    </row>
    <row r="369" spans="1:17" ht="14.4" customHeight="1" x14ac:dyDescent="0.3">
      <c r="A369" s="590" t="s">
        <v>485</v>
      </c>
      <c r="B369" s="591" t="s">
        <v>2775</v>
      </c>
      <c r="C369" s="591" t="s">
        <v>2597</v>
      </c>
      <c r="D369" s="591" t="s">
        <v>2847</v>
      </c>
      <c r="E369" s="591" t="s">
        <v>2848</v>
      </c>
      <c r="F369" s="594">
        <v>10</v>
      </c>
      <c r="G369" s="594">
        <v>13800</v>
      </c>
      <c r="H369" s="594">
        <v>1</v>
      </c>
      <c r="I369" s="594">
        <v>1380</v>
      </c>
      <c r="J369" s="594"/>
      <c r="K369" s="594"/>
      <c r="L369" s="594"/>
      <c r="M369" s="594"/>
      <c r="N369" s="594"/>
      <c r="O369" s="594"/>
      <c r="P369" s="616"/>
      <c r="Q369" s="595"/>
    </row>
    <row r="370" spans="1:17" ht="14.4" customHeight="1" x14ac:dyDescent="0.3">
      <c r="A370" s="590" t="s">
        <v>485</v>
      </c>
      <c r="B370" s="591" t="s">
        <v>2775</v>
      </c>
      <c r="C370" s="591" t="s">
        <v>2597</v>
      </c>
      <c r="D370" s="591" t="s">
        <v>2640</v>
      </c>
      <c r="E370" s="591" t="s">
        <v>2641</v>
      </c>
      <c r="F370" s="594">
        <v>1</v>
      </c>
      <c r="G370" s="594">
        <v>1312</v>
      </c>
      <c r="H370" s="594">
        <v>1</v>
      </c>
      <c r="I370" s="594">
        <v>1312</v>
      </c>
      <c r="J370" s="594"/>
      <c r="K370" s="594"/>
      <c r="L370" s="594"/>
      <c r="M370" s="594"/>
      <c r="N370" s="594"/>
      <c r="O370" s="594"/>
      <c r="P370" s="616"/>
      <c r="Q370" s="595"/>
    </row>
    <row r="371" spans="1:17" ht="14.4" customHeight="1" x14ac:dyDescent="0.3">
      <c r="A371" s="590" t="s">
        <v>485</v>
      </c>
      <c r="B371" s="591" t="s">
        <v>2775</v>
      </c>
      <c r="C371" s="591" t="s">
        <v>2597</v>
      </c>
      <c r="D371" s="591" t="s">
        <v>2642</v>
      </c>
      <c r="E371" s="591" t="s">
        <v>2643</v>
      </c>
      <c r="F371" s="594">
        <v>8</v>
      </c>
      <c r="G371" s="594">
        <v>12480</v>
      </c>
      <c r="H371" s="594">
        <v>1</v>
      </c>
      <c r="I371" s="594">
        <v>1560</v>
      </c>
      <c r="J371" s="594"/>
      <c r="K371" s="594"/>
      <c r="L371" s="594"/>
      <c r="M371" s="594"/>
      <c r="N371" s="594"/>
      <c r="O371" s="594"/>
      <c r="P371" s="616"/>
      <c r="Q371" s="595"/>
    </row>
    <row r="372" spans="1:17" ht="14.4" customHeight="1" x14ac:dyDescent="0.3">
      <c r="A372" s="590" t="s">
        <v>485</v>
      </c>
      <c r="B372" s="591" t="s">
        <v>2775</v>
      </c>
      <c r="C372" s="591" t="s">
        <v>2597</v>
      </c>
      <c r="D372" s="591" t="s">
        <v>2849</v>
      </c>
      <c r="E372" s="591" t="s">
        <v>2850</v>
      </c>
      <c r="F372" s="594"/>
      <c r="G372" s="594"/>
      <c r="H372" s="594"/>
      <c r="I372" s="594"/>
      <c r="J372" s="594">
        <v>1</v>
      </c>
      <c r="K372" s="594">
        <v>1614</v>
      </c>
      <c r="L372" s="594"/>
      <c r="M372" s="594">
        <v>1614</v>
      </c>
      <c r="N372" s="594"/>
      <c r="O372" s="594"/>
      <c r="P372" s="616"/>
      <c r="Q372" s="595"/>
    </row>
    <row r="373" spans="1:17" ht="14.4" customHeight="1" x14ac:dyDescent="0.3">
      <c r="A373" s="590" t="s">
        <v>485</v>
      </c>
      <c r="B373" s="591" t="s">
        <v>2775</v>
      </c>
      <c r="C373" s="591" t="s">
        <v>2597</v>
      </c>
      <c r="D373" s="591" t="s">
        <v>2851</v>
      </c>
      <c r="E373" s="591" t="s">
        <v>2852</v>
      </c>
      <c r="F373" s="594"/>
      <c r="G373" s="594"/>
      <c r="H373" s="594"/>
      <c r="I373" s="594"/>
      <c r="J373" s="594">
        <v>8</v>
      </c>
      <c r="K373" s="594">
        <v>772.8</v>
      </c>
      <c r="L373" s="594"/>
      <c r="M373" s="594">
        <v>96.6</v>
      </c>
      <c r="N373" s="594"/>
      <c r="O373" s="594"/>
      <c r="P373" s="616"/>
      <c r="Q373" s="595"/>
    </row>
    <row r="374" spans="1:17" ht="14.4" customHeight="1" x14ac:dyDescent="0.3">
      <c r="A374" s="590" t="s">
        <v>485</v>
      </c>
      <c r="B374" s="591" t="s">
        <v>2775</v>
      </c>
      <c r="C374" s="591" t="s">
        <v>2597</v>
      </c>
      <c r="D374" s="591" t="s">
        <v>2853</v>
      </c>
      <c r="E374" s="591" t="s">
        <v>2588</v>
      </c>
      <c r="F374" s="594"/>
      <c r="G374" s="594"/>
      <c r="H374" s="594"/>
      <c r="I374" s="594"/>
      <c r="J374" s="594">
        <v>1</v>
      </c>
      <c r="K374" s="594">
        <v>70</v>
      </c>
      <c r="L374" s="594"/>
      <c r="M374" s="594">
        <v>70</v>
      </c>
      <c r="N374" s="594"/>
      <c r="O374" s="594"/>
      <c r="P374" s="616"/>
      <c r="Q374" s="595"/>
    </row>
    <row r="375" spans="1:17" ht="14.4" customHeight="1" x14ac:dyDescent="0.3">
      <c r="A375" s="590" t="s">
        <v>485</v>
      </c>
      <c r="B375" s="591" t="s">
        <v>2775</v>
      </c>
      <c r="C375" s="591" t="s">
        <v>2597</v>
      </c>
      <c r="D375" s="591" t="s">
        <v>2854</v>
      </c>
      <c r="E375" s="591" t="s">
        <v>2588</v>
      </c>
      <c r="F375" s="594">
        <v>3</v>
      </c>
      <c r="G375" s="594">
        <v>441</v>
      </c>
      <c r="H375" s="594">
        <v>1</v>
      </c>
      <c r="I375" s="594">
        <v>147</v>
      </c>
      <c r="J375" s="594">
        <v>2</v>
      </c>
      <c r="K375" s="594">
        <v>294</v>
      </c>
      <c r="L375" s="594">
        <v>0.66666666666666663</v>
      </c>
      <c r="M375" s="594">
        <v>147</v>
      </c>
      <c r="N375" s="594"/>
      <c r="O375" s="594"/>
      <c r="P375" s="616"/>
      <c r="Q375" s="595"/>
    </row>
    <row r="376" spans="1:17" ht="14.4" customHeight="1" x14ac:dyDescent="0.3">
      <c r="A376" s="590" t="s">
        <v>485</v>
      </c>
      <c r="B376" s="591" t="s">
        <v>2775</v>
      </c>
      <c r="C376" s="591" t="s">
        <v>2597</v>
      </c>
      <c r="D376" s="591" t="s">
        <v>2644</v>
      </c>
      <c r="E376" s="591" t="s">
        <v>2645</v>
      </c>
      <c r="F376" s="594"/>
      <c r="G376" s="594"/>
      <c r="H376" s="594"/>
      <c r="I376" s="594"/>
      <c r="J376" s="594">
        <v>1</v>
      </c>
      <c r="K376" s="594">
        <v>3960</v>
      </c>
      <c r="L376" s="594"/>
      <c r="M376" s="594">
        <v>3960</v>
      </c>
      <c r="N376" s="594"/>
      <c r="O376" s="594"/>
      <c r="P376" s="616"/>
      <c r="Q376" s="595"/>
    </row>
    <row r="377" spans="1:17" ht="14.4" customHeight="1" x14ac:dyDescent="0.3">
      <c r="A377" s="590" t="s">
        <v>485</v>
      </c>
      <c r="B377" s="591" t="s">
        <v>2775</v>
      </c>
      <c r="C377" s="591" t="s">
        <v>2597</v>
      </c>
      <c r="D377" s="591" t="s">
        <v>2647</v>
      </c>
      <c r="E377" s="591" t="s">
        <v>2648</v>
      </c>
      <c r="F377" s="594"/>
      <c r="G377" s="594"/>
      <c r="H377" s="594"/>
      <c r="I377" s="594"/>
      <c r="J377" s="594">
        <v>4</v>
      </c>
      <c r="K377" s="594">
        <v>2201.1999999999998</v>
      </c>
      <c r="L377" s="594"/>
      <c r="M377" s="594">
        <v>550.29999999999995</v>
      </c>
      <c r="N377" s="594"/>
      <c r="O377" s="594"/>
      <c r="P377" s="616"/>
      <c r="Q377" s="595"/>
    </row>
    <row r="378" spans="1:17" ht="14.4" customHeight="1" x14ac:dyDescent="0.3">
      <c r="A378" s="590" t="s">
        <v>485</v>
      </c>
      <c r="B378" s="591" t="s">
        <v>2775</v>
      </c>
      <c r="C378" s="591" t="s">
        <v>2597</v>
      </c>
      <c r="D378" s="591" t="s">
        <v>2649</v>
      </c>
      <c r="E378" s="591" t="s">
        <v>2650</v>
      </c>
      <c r="F378" s="594"/>
      <c r="G378" s="594"/>
      <c r="H378" s="594"/>
      <c r="I378" s="594"/>
      <c r="J378" s="594">
        <v>6</v>
      </c>
      <c r="K378" s="594">
        <v>3624</v>
      </c>
      <c r="L378" s="594"/>
      <c r="M378" s="594">
        <v>604</v>
      </c>
      <c r="N378" s="594"/>
      <c r="O378" s="594"/>
      <c r="P378" s="616"/>
      <c r="Q378" s="595"/>
    </row>
    <row r="379" spans="1:17" ht="14.4" customHeight="1" x14ac:dyDescent="0.3">
      <c r="A379" s="590" t="s">
        <v>485</v>
      </c>
      <c r="B379" s="591" t="s">
        <v>2775</v>
      </c>
      <c r="C379" s="591" t="s">
        <v>2597</v>
      </c>
      <c r="D379" s="591" t="s">
        <v>2855</v>
      </c>
      <c r="E379" s="591" t="s">
        <v>2856</v>
      </c>
      <c r="F379" s="594"/>
      <c r="G379" s="594"/>
      <c r="H379" s="594"/>
      <c r="I379" s="594"/>
      <c r="J379" s="594">
        <v>1</v>
      </c>
      <c r="K379" s="594">
        <v>76433</v>
      </c>
      <c r="L379" s="594"/>
      <c r="M379" s="594">
        <v>76433</v>
      </c>
      <c r="N379" s="594"/>
      <c r="O379" s="594"/>
      <c r="P379" s="616"/>
      <c r="Q379" s="595"/>
    </row>
    <row r="380" spans="1:17" ht="14.4" customHeight="1" x14ac:dyDescent="0.3">
      <c r="A380" s="590" t="s">
        <v>485</v>
      </c>
      <c r="B380" s="591" t="s">
        <v>2775</v>
      </c>
      <c r="C380" s="591" t="s">
        <v>2597</v>
      </c>
      <c r="D380" s="591" t="s">
        <v>2857</v>
      </c>
      <c r="E380" s="591" t="s">
        <v>2858</v>
      </c>
      <c r="F380" s="594">
        <v>9</v>
      </c>
      <c r="G380" s="594">
        <v>1408.41</v>
      </c>
      <c r="H380" s="594">
        <v>1</v>
      </c>
      <c r="I380" s="594">
        <v>156.49</v>
      </c>
      <c r="J380" s="594"/>
      <c r="K380" s="594"/>
      <c r="L380" s="594"/>
      <c r="M380" s="594"/>
      <c r="N380" s="594"/>
      <c r="O380" s="594"/>
      <c r="P380" s="616"/>
      <c r="Q380" s="595"/>
    </row>
    <row r="381" spans="1:17" ht="14.4" customHeight="1" x14ac:dyDescent="0.3">
      <c r="A381" s="590" t="s">
        <v>485</v>
      </c>
      <c r="B381" s="591" t="s">
        <v>2775</v>
      </c>
      <c r="C381" s="591" t="s">
        <v>2597</v>
      </c>
      <c r="D381" s="591" t="s">
        <v>2859</v>
      </c>
      <c r="E381" s="591" t="s">
        <v>2858</v>
      </c>
      <c r="F381" s="594">
        <v>8</v>
      </c>
      <c r="G381" s="594">
        <v>1376.32</v>
      </c>
      <c r="H381" s="594">
        <v>1</v>
      </c>
      <c r="I381" s="594">
        <v>172.04</v>
      </c>
      <c r="J381" s="594"/>
      <c r="K381" s="594"/>
      <c r="L381" s="594"/>
      <c r="M381" s="594"/>
      <c r="N381" s="594"/>
      <c r="O381" s="594"/>
      <c r="P381" s="616"/>
      <c r="Q381" s="595"/>
    </row>
    <row r="382" spans="1:17" ht="14.4" customHeight="1" x14ac:dyDescent="0.3">
      <c r="A382" s="590" t="s">
        <v>485</v>
      </c>
      <c r="B382" s="591" t="s">
        <v>2775</v>
      </c>
      <c r="C382" s="591" t="s">
        <v>2597</v>
      </c>
      <c r="D382" s="591" t="s">
        <v>2860</v>
      </c>
      <c r="E382" s="591" t="s">
        <v>2858</v>
      </c>
      <c r="F382" s="594">
        <v>1</v>
      </c>
      <c r="G382" s="594">
        <v>312.98</v>
      </c>
      <c r="H382" s="594">
        <v>1</v>
      </c>
      <c r="I382" s="594">
        <v>312.98</v>
      </c>
      <c r="J382" s="594"/>
      <c r="K382" s="594"/>
      <c r="L382" s="594"/>
      <c r="M382" s="594"/>
      <c r="N382" s="594"/>
      <c r="O382" s="594"/>
      <c r="P382" s="616"/>
      <c r="Q382" s="595"/>
    </row>
    <row r="383" spans="1:17" ht="14.4" customHeight="1" x14ac:dyDescent="0.3">
      <c r="A383" s="590" t="s">
        <v>485</v>
      </c>
      <c r="B383" s="591" t="s">
        <v>2775</v>
      </c>
      <c r="C383" s="591" t="s">
        <v>2597</v>
      </c>
      <c r="D383" s="591" t="s">
        <v>2861</v>
      </c>
      <c r="E383" s="591" t="s">
        <v>2858</v>
      </c>
      <c r="F383" s="594">
        <v>2</v>
      </c>
      <c r="G383" s="594">
        <v>750.32</v>
      </c>
      <c r="H383" s="594">
        <v>1</v>
      </c>
      <c r="I383" s="594">
        <v>375.16</v>
      </c>
      <c r="J383" s="594"/>
      <c r="K383" s="594"/>
      <c r="L383" s="594"/>
      <c r="M383" s="594"/>
      <c r="N383" s="594"/>
      <c r="O383" s="594"/>
      <c r="P383" s="616"/>
      <c r="Q383" s="595"/>
    </row>
    <row r="384" spans="1:17" ht="14.4" customHeight="1" x14ac:dyDescent="0.3">
      <c r="A384" s="590" t="s">
        <v>485</v>
      </c>
      <c r="B384" s="591" t="s">
        <v>2775</v>
      </c>
      <c r="C384" s="591" t="s">
        <v>2597</v>
      </c>
      <c r="D384" s="591" t="s">
        <v>2862</v>
      </c>
      <c r="E384" s="591" t="s">
        <v>2858</v>
      </c>
      <c r="F384" s="594">
        <v>1</v>
      </c>
      <c r="G384" s="594">
        <v>536.84</v>
      </c>
      <c r="H384" s="594">
        <v>1</v>
      </c>
      <c r="I384" s="594">
        <v>536.84</v>
      </c>
      <c r="J384" s="594"/>
      <c r="K384" s="594"/>
      <c r="L384" s="594"/>
      <c r="M384" s="594"/>
      <c r="N384" s="594"/>
      <c r="O384" s="594"/>
      <c r="P384" s="616"/>
      <c r="Q384" s="595"/>
    </row>
    <row r="385" spans="1:17" ht="14.4" customHeight="1" x14ac:dyDescent="0.3">
      <c r="A385" s="590" t="s">
        <v>485</v>
      </c>
      <c r="B385" s="591" t="s">
        <v>2775</v>
      </c>
      <c r="C385" s="591" t="s">
        <v>2597</v>
      </c>
      <c r="D385" s="591" t="s">
        <v>2863</v>
      </c>
      <c r="E385" s="591" t="s">
        <v>2864</v>
      </c>
      <c r="F385" s="594"/>
      <c r="G385" s="594"/>
      <c r="H385" s="594"/>
      <c r="I385" s="594"/>
      <c r="J385" s="594">
        <v>1</v>
      </c>
      <c r="K385" s="594">
        <v>5705.8</v>
      </c>
      <c r="L385" s="594"/>
      <c r="M385" s="594">
        <v>5705.8</v>
      </c>
      <c r="N385" s="594"/>
      <c r="O385" s="594"/>
      <c r="P385" s="616"/>
      <c r="Q385" s="595"/>
    </row>
    <row r="386" spans="1:17" ht="14.4" customHeight="1" x14ac:dyDescent="0.3">
      <c r="A386" s="590" t="s">
        <v>485</v>
      </c>
      <c r="B386" s="591" t="s">
        <v>2775</v>
      </c>
      <c r="C386" s="591" t="s">
        <v>2295</v>
      </c>
      <c r="D386" s="591" t="s">
        <v>2659</v>
      </c>
      <c r="E386" s="591" t="s">
        <v>2660</v>
      </c>
      <c r="F386" s="594">
        <v>7</v>
      </c>
      <c r="G386" s="594">
        <v>223724</v>
      </c>
      <c r="H386" s="594">
        <v>1</v>
      </c>
      <c r="I386" s="594">
        <v>31960.571428571428</v>
      </c>
      <c r="J386" s="594">
        <v>12</v>
      </c>
      <c r="K386" s="594">
        <v>383592</v>
      </c>
      <c r="L386" s="594">
        <v>1.7145768893815594</v>
      </c>
      <c r="M386" s="594">
        <v>31966</v>
      </c>
      <c r="N386" s="594"/>
      <c r="O386" s="594"/>
      <c r="P386" s="616"/>
      <c r="Q386" s="595"/>
    </row>
    <row r="387" spans="1:17" ht="14.4" customHeight="1" x14ac:dyDescent="0.3">
      <c r="A387" s="590" t="s">
        <v>485</v>
      </c>
      <c r="B387" s="591" t="s">
        <v>2775</v>
      </c>
      <c r="C387" s="591" t="s">
        <v>2295</v>
      </c>
      <c r="D387" s="591" t="s">
        <v>2661</v>
      </c>
      <c r="E387" s="591" t="s">
        <v>2662</v>
      </c>
      <c r="F387" s="594">
        <v>1059</v>
      </c>
      <c r="G387" s="594">
        <v>12592341</v>
      </c>
      <c r="H387" s="594">
        <v>1</v>
      </c>
      <c r="I387" s="594">
        <v>11890.784702549576</v>
      </c>
      <c r="J387" s="594">
        <v>1077</v>
      </c>
      <c r="K387" s="594">
        <v>12812665</v>
      </c>
      <c r="L387" s="594">
        <v>1.0174966672201777</v>
      </c>
      <c r="M387" s="594">
        <v>11896.624883936862</v>
      </c>
      <c r="N387" s="594"/>
      <c r="O387" s="594"/>
      <c r="P387" s="616"/>
      <c r="Q387" s="595"/>
    </row>
    <row r="388" spans="1:17" ht="14.4" customHeight="1" x14ac:dyDescent="0.3">
      <c r="A388" s="590" t="s">
        <v>485</v>
      </c>
      <c r="B388" s="591" t="s">
        <v>2775</v>
      </c>
      <c r="C388" s="591" t="s">
        <v>2295</v>
      </c>
      <c r="D388" s="591" t="s">
        <v>2665</v>
      </c>
      <c r="E388" s="591" t="s">
        <v>2666</v>
      </c>
      <c r="F388" s="594">
        <v>8</v>
      </c>
      <c r="G388" s="594">
        <v>3408</v>
      </c>
      <c r="H388" s="594">
        <v>1</v>
      </c>
      <c r="I388" s="594">
        <v>426</v>
      </c>
      <c r="J388" s="594">
        <v>4</v>
      </c>
      <c r="K388" s="594">
        <v>1708</v>
      </c>
      <c r="L388" s="594">
        <v>0.50117370892018775</v>
      </c>
      <c r="M388" s="594">
        <v>427</v>
      </c>
      <c r="N388" s="594"/>
      <c r="O388" s="594"/>
      <c r="P388" s="616"/>
      <c r="Q388" s="595"/>
    </row>
    <row r="389" spans="1:17" ht="14.4" customHeight="1" x14ac:dyDescent="0.3">
      <c r="A389" s="590" t="s">
        <v>485</v>
      </c>
      <c r="B389" s="591" t="s">
        <v>2775</v>
      </c>
      <c r="C389" s="591" t="s">
        <v>2295</v>
      </c>
      <c r="D389" s="591" t="s">
        <v>2667</v>
      </c>
      <c r="E389" s="591" t="s">
        <v>2668</v>
      </c>
      <c r="F389" s="594">
        <v>402</v>
      </c>
      <c r="G389" s="594">
        <v>153162</v>
      </c>
      <c r="H389" s="594">
        <v>1</v>
      </c>
      <c r="I389" s="594">
        <v>381</v>
      </c>
      <c r="J389" s="594">
        <v>405</v>
      </c>
      <c r="K389" s="594">
        <v>154710</v>
      </c>
      <c r="L389" s="594">
        <v>1.0101069455870255</v>
      </c>
      <c r="M389" s="594">
        <v>382</v>
      </c>
      <c r="N389" s="594"/>
      <c r="O389" s="594"/>
      <c r="P389" s="616"/>
      <c r="Q389" s="595"/>
    </row>
    <row r="390" spans="1:17" ht="14.4" customHeight="1" x14ac:dyDescent="0.3">
      <c r="A390" s="590" t="s">
        <v>485</v>
      </c>
      <c r="B390" s="591" t="s">
        <v>2775</v>
      </c>
      <c r="C390" s="591" t="s">
        <v>2295</v>
      </c>
      <c r="D390" s="591" t="s">
        <v>2865</v>
      </c>
      <c r="E390" s="591" t="s">
        <v>2866</v>
      </c>
      <c r="F390" s="594">
        <v>484</v>
      </c>
      <c r="G390" s="594">
        <v>111804</v>
      </c>
      <c r="H390" s="594">
        <v>1</v>
      </c>
      <c r="I390" s="594">
        <v>231</v>
      </c>
      <c r="J390" s="594">
        <v>501</v>
      </c>
      <c r="K390" s="594">
        <v>116232</v>
      </c>
      <c r="L390" s="594">
        <v>1.0396050230760974</v>
      </c>
      <c r="M390" s="594">
        <v>232</v>
      </c>
      <c r="N390" s="594"/>
      <c r="O390" s="594"/>
      <c r="P390" s="616"/>
      <c r="Q390" s="595"/>
    </row>
    <row r="391" spans="1:17" ht="14.4" customHeight="1" x14ac:dyDescent="0.3">
      <c r="A391" s="590" t="s">
        <v>485</v>
      </c>
      <c r="B391" s="591" t="s">
        <v>2775</v>
      </c>
      <c r="C391" s="591" t="s">
        <v>2295</v>
      </c>
      <c r="D391" s="591" t="s">
        <v>2671</v>
      </c>
      <c r="E391" s="591" t="s">
        <v>2672</v>
      </c>
      <c r="F391" s="594">
        <v>0</v>
      </c>
      <c r="G391" s="594">
        <v>0</v>
      </c>
      <c r="H391" s="594"/>
      <c r="I391" s="594"/>
      <c r="J391" s="594">
        <v>0</v>
      </c>
      <c r="K391" s="594">
        <v>0</v>
      </c>
      <c r="L391" s="594"/>
      <c r="M391" s="594"/>
      <c r="N391" s="594"/>
      <c r="O391" s="594"/>
      <c r="P391" s="616"/>
      <c r="Q391" s="595"/>
    </row>
    <row r="392" spans="1:17" ht="14.4" customHeight="1" x14ac:dyDescent="0.3">
      <c r="A392" s="590" t="s">
        <v>485</v>
      </c>
      <c r="B392" s="591" t="s">
        <v>2775</v>
      </c>
      <c r="C392" s="591" t="s">
        <v>2295</v>
      </c>
      <c r="D392" s="591" t="s">
        <v>2673</v>
      </c>
      <c r="E392" s="591" t="s">
        <v>2674</v>
      </c>
      <c r="F392" s="594">
        <v>101</v>
      </c>
      <c r="G392" s="594">
        <v>0</v>
      </c>
      <c r="H392" s="594"/>
      <c r="I392" s="594">
        <v>0</v>
      </c>
      <c r="J392" s="594">
        <v>302</v>
      </c>
      <c r="K392" s="594">
        <v>0</v>
      </c>
      <c r="L392" s="594"/>
      <c r="M392" s="594">
        <v>0</v>
      </c>
      <c r="N392" s="594"/>
      <c r="O392" s="594"/>
      <c r="P392" s="616"/>
      <c r="Q392" s="595"/>
    </row>
    <row r="393" spans="1:17" ht="14.4" customHeight="1" x14ac:dyDescent="0.3">
      <c r="A393" s="590" t="s">
        <v>485</v>
      </c>
      <c r="B393" s="591" t="s">
        <v>2775</v>
      </c>
      <c r="C393" s="591" t="s">
        <v>2295</v>
      </c>
      <c r="D393" s="591" t="s">
        <v>2867</v>
      </c>
      <c r="E393" s="591" t="s">
        <v>2868</v>
      </c>
      <c r="F393" s="594">
        <v>11</v>
      </c>
      <c r="G393" s="594">
        <v>0</v>
      </c>
      <c r="H393" s="594"/>
      <c r="I393" s="594">
        <v>0</v>
      </c>
      <c r="J393" s="594">
        <v>15</v>
      </c>
      <c r="K393" s="594">
        <v>0</v>
      </c>
      <c r="L393" s="594"/>
      <c r="M393" s="594">
        <v>0</v>
      </c>
      <c r="N393" s="594"/>
      <c r="O393" s="594"/>
      <c r="P393" s="616"/>
      <c r="Q393" s="595"/>
    </row>
    <row r="394" spans="1:17" ht="14.4" customHeight="1" x14ac:dyDescent="0.3">
      <c r="A394" s="590" t="s">
        <v>485</v>
      </c>
      <c r="B394" s="591" t="s">
        <v>2775</v>
      </c>
      <c r="C394" s="591" t="s">
        <v>2295</v>
      </c>
      <c r="D394" s="591" t="s">
        <v>2675</v>
      </c>
      <c r="E394" s="591" t="s">
        <v>2676</v>
      </c>
      <c r="F394" s="594">
        <v>94</v>
      </c>
      <c r="G394" s="594">
        <v>0</v>
      </c>
      <c r="H394" s="594"/>
      <c r="I394" s="594">
        <v>0</v>
      </c>
      <c r="J394" s="594">
        <v>43</v>
      </c>
      <c r="K394" s="594">
        <v>0</v>
      </c>
      <c r="L394" s="594"/>
      <c r="M394" s="594">
        <v>0</v>
      </c>
      <c r="N394" s="594"/>
      <c r="O394" s="594"/>
      <c r="P394" s="616"/>
      <c r="Q394" s="595"/>
    </row>
    <row r="395" spans="1:17" ht="14.4" customHeight="1" x14ac:dyDescent="0.3">
      <c r="A395" s="590" t="s">
        <v>485</v>
      </c>
      <c r="B395" s="591" t="s">
        <v>2775</v>
      </c>
      <c r="C395" s="591" t="s">
        <v>2295</v>
      </c>
      <c r="D395" s="591" t="s">
        <v>2677</v>
      </c>
      <c r="E395" s="591" t="s">
        <v>2678</v>
      </c>
      <c r="F395" s="594">
        <v>43</v>
      </c>
      <c r="G395" s="594">
        <v>0</v>
      </c>
      <c r="H395" s="594"/>
      <c r="I395" s="594">
        <v>0</v>
      </c>
      <c r="J395" s="594">
        <v>36</v>
      </c>
      <c r="K395" s="594">
        <v>0</v>
      </c>
      <c r="L395" s="594"/>
      <c r="M395" s="594">
        <v>0</v>
      </c>
      <c r="N395" s="594"/>
      <c r="O395" s="594"/>
      <c r="P395" s="616"/>
      <c r="Q395" s="595"/>
    </row>
    <row r="396" spans="1:17" ht="14.4" customHeight="1" x14ac:dyDescent="0.3">
      <c r="A396" s="590" t="s">
        <v>485</v>
      </c>
      <c r="B396" s="591" t="s">
        <v>2775</v>
      </c>
      <c r="C396" s="591" t="s">
        <v>2295</v>
      </c>
      <c r="D396" s="591" t="s">
        <v>2679</v>
      </c>
      <c r="E396" s="591" t="s">
        <v>2680</v>
      </c>
      <c r="F396" s="594">
        <v>7</v>
      </c>
      <c r="G396" s="594">
        <v>0</v>
      </c>
      <c r="H396" s="594"/>
      <c r="I396" s="594">
        <v>0</v>
      </c>
      <c r="J396" s="594">
        <v>2</v>
      </c>
      <c r="K396" s="594">
        <v>0</v>
      </c>
      <c r="L396" s="594"/>
      <c r="M396" s="594">
        <v>0</v>
      </c>
      <c r="N396" s="594"/>
      <c r="O396" s="594"/>
      <c r="P396" s="616"/>
      <c r="Q396" s="595"/>
    </row>
    <row r="397" spans="1:17" ht="14.4" customHeight="1" x14ac:dyDescent="0.3">
      <c r="A397" s="590" t="s">
        <v>485</v>
      </c>
      <c r="B397" s="591" t="s">
        <v>2775</v>
      </c>
      <c r="C397" s="591" t="s">
        <v>2295</v>
      </c>
      <c r="D397" s="591" t="s">
        <v>2869</v>
      </c>
      <c r="E397" s="591" t="s">
        <v>2870</v>
      </c>
      <c r="F397" s="594">
        <v>1020</v>
      </c>
      <c r="G397" s="594">
        <v>0</v>
      </c>
      <c r="H397" s="594"/>
      <c r="I397" s="594">
        <v>0</v>
      </c>
      <c r="J397" s="594">
        <v>1328</v>
      </c>
      <c r="K397" s="594">
        <v>0</v>
      </c>
      <c r="L397" s="594"/>
      <c r="M397" s="594">
        <v>0</v>
      </c>
      <c r="N397" s="594"/>
      <c r="O397" s="594"/>
      <c r="P397" s="616"/>
      <c r="Q397" s="595"/>
    </row>
    <row r="398" spans="1:17" ht="14.4" customHeight="1" x14ac:dyDescent="0.3">
      <c r="A398" s="590" t="s">
        <v>485</v>
      </c>
      <c r="B398" s="591" t="s">
        <v>2775</v>
      </c>
      <c r="C398" s="591" t="s">
        <v>2295</v>
      </c>
      <c r="D398" s="591" t="s">
        <v>2683</v>
      </c>
      <c r="E398" s="591" t="s">
        <v>2678</v>
      </c>
      <c r="F398" s="594">
        <v>14</v>
      </c>
      <c r="G398" s="594">
        <v>0</v>
      </c>
      <c r="H398" s="594"/>
      <c r="I398" s="594">
        <v>0</v>
      </c>
      <c r="J398" s="594">
        <v>14</v>
      </c>
      <c r="K398" s="594">
        <v>0</v>
      </c>
      <c r="L398" s="594"/>
      <c r="M398" s="594">
        <v>0</v>
      </c>
      <c r="N398" s="594"/>
      <c r="O398" s="594"/>
      <c r="P398" s="616"/>
      <c r="Q398" s="595"/>
    </row>
    <row r="399" spans="1:17" ht="14.4" customHeight="1" x14ac:dyDescent="0.3">
      <c r="A399" s="590" t="s">
        <v>485</v>
      </c>
      <c r="B399" s="591" t="s">
        <v>2775</v>
      </c>
      <c r="C399" s="591" t="s">
        <v>2295</v>
      </c>
      <c r="D399" s="591" t="s">
        <v>2684</v>
      </c>
      <c r="E399" s="591" t="s">
        <v>2685</v>
      </c>
      <c r="F399" s="594">
        <v>14</v>
      </c>
      <c r="G399" s="594">
        <v>76548</v>
      </c>
      <c r="H399" s="594">
        <v>1</v>
      </c>
      <c r="I399" s="594">
        <v>5467.7142857142853</v>
      </c>
      <c r="J399" s="594">
        <v>18</v>
      </c>
      <c r="K399" s="594">
        <v>98566</v>
      </c>
      <c r="L399" s="594">
        <v>1.2876365156503109</v>
      </c>
      <c r="M399" s="594">
        <v>5475.8888888888887</v>
      </c>
      <c r="N399" s="594"/>
      <c r="O399" s="594"/>
      <c r="P399" s="616"/>
      <c r="Q399" s="595"/>
    </row>
    <row r="400" spans="1:17" ht="14.4" customHeight="1" x14ac:dyDescent="0.3">
      <c r="A400" s="590" t="s">
        <v>485</v>
      </c>
      <c r="B400" s="591" t="s">
        <v>2775</v>
      </c>
      <c r="C400" s="591" t="s">
        <v>2295</v>
      </c>
      <c r="D400" s="591" t="s">
        <v>2688</v>
      </c>
      <c r="E400" s="591" t="s">
        <v>2689</v>
      </c>
      <c r="F400" s="594">
        <v>116</v>
      </c>
      <c r="G400" s="594">
        <v>2779296</v>
      </c>
      <c r="H400" s="594">
        <v>1</v>
      </c>
      <c r="I400" s="594">
        <v>23959.448275862069</v>
      </c>
      <c r="J400" s="594">
        <v>110</v>
      </c>
      <c r="K400" s="594">
        <v>2636254</v>
      </c>
      <c r="L400" s="594">
        <v>0.94853300979816468</v>
      </c>
      <c r="M400" s="594">
        <v>23965.945454545454</v>
      </c>
      <c r="N400" s="594"/>
      <c r="O400" s="594"/>
      <c r="P400" s="616"/>
      <c r="Q400" s="595"/>
    </row>
    <row r="401" spans="1:17" ht="14.4" customHeight="1" x14ac:dyDescent="0.3">
      <c r="A401" s="590" t="s">
        <v>485</v>
      </c>
      <c r="B401" s="591" t="s">
        <v>2775</v>
      </c>
      <c r="C401" s="591" t="s">
        <v>2295</v>
      </c>
      <c r="D401" s="591" t="s">
        <v>2690</v>
      </c>
      <c r="E401" s="591" t="s">
        <v>2691</v>
      </c>
      <c r="F401" s="594">
        <v>111</v>
      </c>
      <c r="G401" s="594">
        <v>740230</v>
      </c>
      <c r="H401" s="594">
        <v>1</v>
      </c>
      <c r="I401" s="594">
        <v>6668.7387387387389</v>
      </c>
      <c r="J401" s="594">
        <v>166</v>
      </c>
      <c r="K401" s="594">
        <v>1108144</v>
      </c>
      <c r="L401" s="594">
        <v>1.4970265998405901</v>
      </c>
      <c r="M401" s="594">
        <v>6675.5662650602408</v>
      </c>
      <c r="N401" s="594"/>
      <c r="O401" s="594"/>
      <c r="P401" s="616"/>
      <c r="Q401" s="595"/>
    </row>
    <row r="402" spans="1:17" ht="14.4" customHeight="1" x14ac:dyDescent="0.3">
      <c r="A402" s="590" t="s">
        <v>485</v>
      </c>
      <c r="B402" s="591" t="s">
        <v>2775</v>
      </c>
      <c r="C402" s="591" t="s">
        <v>2295</v>
      </c>
      <c r="D402" s="591" t="s">
        <v>2692</v>
      </c>
      <c r="E402" s="591" t="s">
        <v>2678</v>
      </c>
      <c r="F402" s="594">
        <v>4</v>
      </c>
      <c r="G402" s="594">
        <v>0</v>
      </c>
      <c r="H402" s="594"/>
      <c r="I402" s="594">
        <v>0</v>
      </c>
      <c r="J402" s="594">
        <v>6</v>
      </c>
      <c r="K402" s="594">
        <v>0</v>
      </c>
      <c r="L402" s="594"/>
      <c r="M402" s="594">
        <v>0</v>
      </c>
      <c r="N402" s="594"/>
      <c r="O402" s="594"/>
      <c r="P402" s="616"/>
      <c r="Q402" s="595"/>
    </row>
    <row r="403" spans="1:17" ht="14.4" customHeight="1" x14ac:dyDescent="0.3">
      <c r="A403" s="590" t="s">
        <v>485</v>
      </c>
      <c r="B403" s="591" t="s">
        <v>2775</v>
      </c>
      <c r="C403" s="591" t="s">
        <v>2295</v>
      </c>
      <c r="D403" s="591" t="s">
        <v>2693</v>
      </c>
      <c r="E403" s="591" t="s">
        <v>2694</v>
      </c>
      <c r="F403" s="594">
        <v>41</v>
      </c>
      <c r="G403" s="594">
        <v>1146276</v>
      </c>
      <c r="H403" s="594">
        <v>1</v>
      </c>
      <c r="I403" s="594">
        <v>27957.951219512193</v>
      </c>
      <c r="J403" s="594">
        <v>55</v>
      </c>
      <c r="K403" s="594">
        <v>1538130</v>
      </c>
      <c r="L403" s="594">
        <v>1.3418496069009558</v>
      </c>
      <c r="M403" s="594">
        <v>27966</v>
      </c>
      <c r="N403" s="594"/>
      <c r="O403" s="594"/>
      <c r="P403" s="616"/>
      <c r="Q403" s="595"/>
    </row>
    <row r="404" spans="1:17" ht="14.4" customHeight="1" x14ac:dyDescent="0.3">
      <c r="A404" s="590" t="s">
        <v>485</v>
      </c>
      <c r="B404" s="591" t="s">
        <v>2775</v>
      </c>
      <c r="C404" s="591" t="s">
        <v>2295</v>
      </c>
      <c r="D404" s="591" t="s">
        <v>2697</v>
      </c>
      <c r="E404" s="591" t="s">
        <v>2698</v>
      </c>
      <c r="F404" s="594">
        <v>13</v>
      </c>
      <c r="G404" s="594">
        <v>12077</v>
      </c>
      <c r="H404" s="594">
        <v>1</v>
      </c>
      <c r="I404" s="594">
        <v>929</v>
      </c>
      <c r="J404" s="594"/>
      <c r="K404" s="594"/>
      <c r="L404" s="594"/>
      <c r="M404" s="594"/>
      <c r="N404" s="594"/>
      <c r="O404" s="594"/>
      <c r="P404" s="616"/>
      <c r="Q404" s="595"/>
    </row>
    <row r="405" spans="1:17" ht="14.4" customHeight="1" x14ac:dyDescent="0.3">
      <c r="A405" s="590" t="s">
        <v>485</v>
      </c>
      <c r="B405" s="591" t="s">
        <v>2775</v>
      </c>
      <c r="C405" s="591" t="s">
        <v>2295</v>
      </c>
      <c r="D405" s="591" t="s">
        <v>2699</v>
      </c>
      <c r="E405" s="591" t="s">
        <v>2700</v>
      </c>
      <c r="F405" s="594">
        <v>5</v>
      </c>
      <c r="G405" s="594">
        <v>0</v>
      </c>
      <c r="H405" s="594"/>
      <c r="I405" s="594">
        <v>0</v>
      </c>
      <c r="J405" s="594">
        <v>6</v>
      </c>
      <c r="K405" s="594">
        <v>0</v>
      </c>
      <c r="L405" s="594"/>
      <c r="M405" s="594">
        <v>0</v>
      </c>
      <c r="N405" s="594"/>
      <c r="O405" s="594"/>
      <c r="P405" s="616"/>
      <c r="Q405" s="595"/>
    </row>
    <row r="406" spans="1:17" ht="14.4" customHeight="1" x14ac:dyDescent="0.3">
      <c r="A406" s="590" t="s">
        <v>485</v>
      </c>
      <c r="B406" s="591" t="s">
        <v>2775</v>
      </c>
      <c r="C406" s="591" t="s">
        <v>2295</v>
      </c>
      <c r="D406" s="591" t="s">
        <v>2871</v>
      </c>
      <c r="E406" s="591" t="s">
        <v>2872</v>
      </c>
      <c r="F406" s="594">
        <v>426</v>
      </c>
      <c r="G406" s="594">
        <v>145692</v>
      </c>
      <c r="H406" s="594">
        <v>1</v>
      </c>
      <c r="I406" s="594">
        <v>342</v>
      </c>
      <c r="J406" s="594">
        <v>452</v>
      </c>
      <c r="K406" s="594">
        <v>155488</v>
      </c>
      <c r="L406" s="594">
        <v>1.0672377343985944</v>
      </c>
      <c r="M406" s="594">
        <v>344</v>
      </c>
      <c r="N406" s="594"/>
      <c r="O406" s="594"/>
      <c r="P406" s="616"/>
      <c r="Q406" s="595"/>
    </row>
    <row r="407" spans="1:17" ht="14.4" customHeight="1" x14ac:dyDescent="0.3">
      <c r="A407" s="590" t="s">
        <v>485</v>
      </c>
      <c r="B407" s="591" t="s">
        <v>2775</v>
      </c>
      <c r="C407" s="591" t="s">
        <v>2295</v>
      </c>
      <c r="D407" s="591" t="s">
        <v>2701</v>
      </c>
      <c r="E407" s="591" t="s">
        <v>2702</v>
      </c>
      <c r="F407" s="594">
        <v>6</v>
      </c>
      <c r="G407" s="594">
        <v>3624</v>
      </c>
      <c r="H407" s="594">
        <v>1</v>
      </c>
      <c r="I407" s="594">
        <v>604</v>
      </c>
      <c r="J407" s="594"/>
      <c r="K407" s="594"/>
      <c r="L407" s="594"/>
      <c r="M407" s="594"/>
      <c r="N407" s="594"/>
      <c r="O407" s="594"/>
      <c r="P407" s="616"/>
      <c r="Q407" s="595"/>
    </row>
    <row r="408" spans="1:17" ht="14.4" customHeight="1" x14ac:dyDescent="0.3">
      <c r="A408" s="590" t="s">
        <v>485</v>
      </c>
      <c r="B408" s="591" t="s">
        <v>2775</v>
      </c>
      <c r="C408" s="591" t="s">
        <v>2295</v>
      </c>
      <c r="D408" s="591" t="s">
        <v>2703</v>
      </c>
      <c r="E408" s="591" t="s">
        <v>2678</v>
      </c>
      <c r="F408" s="594"/>
      <c r="G408" s="594"/>
      <c r="H408" s="594"/>
      <c r="I408" s="594"/>
      <c r="J408" s="594">
        <v>3</v>
      </c>
      <c r="K408" s="594">
        <v>0</v>
      </c>
      <c r="L408" s="594"/>
      <c r="M408" s="594">
        <v>0</v>
      </c>
      <c r="N408" s="594"/>
      <c r="O408" s="594"/>
      <c r="P408" s="616"/>
      <c r="Q408" s="595"/>
    </row>
    <row r="409" spans="1:17" ht="14.4" customHeight="1" x14ac:dyDescent="0.3">
      <c r="A409" s="590" t="s">
        <v>485</v>
      </c>
      <c r="B409" s="591" t="s">
        <v>2873</v>
      </c>
      <c r="C409" s="591" t="s">
        <v>2295</v>
      </c>
      <c r="D409" s="591" t="s">
        <v>2874</v>
      </c>
      <c r="E409" s="591" t="s">
        <v>2875</v>
      </c>
      <c r="F409" s="594"/>
      <c r="G409" s="594"/>
      <c r="H409" s="594"/>
      <c r="I409" s="594"/>
      <c r="J409" s="594">
        <v>1</v>
      </c>
      <c r="K409" s="594">
        <v>1114</v>
      </c>
      <c r="L409" s="594"/>
      <c r="M409" s="594">
        <v>1114</v>
      </c>
      <c r="N409" s="594"/>
      <c r="O409" s="594"/>
      <c r="P409" s="616"/>
      <c r="Q409" s="595"/>
    </row>
    <row r="410" spans="1:17" ht="14.4" customHeight="1" x14ac:dyDescent="0.3">
      <c r="A410" s="590" t="s">
        <v>485</v>
      </c>
      <c r="B410" s="591" t="s">
        <v>2873</v>
      </c>
      <c r="C410" s="591" t="s">
        <v>2295</v>
      </c>
      <c r="D410" s="591" t="s">
        <v>2876</v>
      </c>
      <c r="E410" s="591" t="s">
        <v>2877</v>
      </c>
      <c r="F410" s="594"/>
      <c r="G410" s="594"/>
      <c r="H410" s="594"/>
      <c r="I410" s="594"/>
      <c r="J410" s="594">
        <v>2</v>
      </c>
      <c r="K410" s="594">
        <v>652</v>
      </c>
      <c r="L410" s="594"/>
      <c r="M410" s="594">
        <v>326</v>
      </c>
      <c r="N410" s="594"/>
      <c r="O410" s="594"/>
      <c r="P410" s="616"/>
      <c r="Q410" s="595"/>
    </row>
    <row r="411" spans="1:17" ht="14.4" customHeight="1" x14ac:dyDescent="0.3">
      <c r="A411" s="590" t="s">
        <v>485</v>
      </c>
      <c r="B411" s="591" t="s">
        <v>2873</v>
      </c>
      <c r="C411" s="591" t="s">
        <v>2295</v>
      </c>
      <c r="D411" s="591" t="s">
        <v>2878</v>
      </c>
      <c r="E411" s="591" t="s">
        <v>2879</v>
      </c>
      <c r="F411" s="594"/>
      <c r="G411" s="594"/>
      <c r="H411" s="594"/>
      <c r="I411" s="594"/>
      <c r="J411" s="594">
        <v>1</v>
      </c>
      <c r="K411" s="594">
        <v>278</v>
      </c>
      <c r="L411" s="594"/>
      <c r="M411" s="594">
        <v>278</v>
      </c>
      <c r="N411" s="594"/>
      <c r="O411" s="594"/>
      <c r="P411" s="616"/>
      <c r="Q411" s="595"/>
    </row>
    <row r="412" spans="1:17" ht="14.4" customHeight="1" thickBot="1" x14ac:dyDescent="0.35">
      <c r="A412" s="596" t="s">
        <v>485</v>
      </c>
      <c r="B412" s="597" t="s">
        <v>2873</v>
      </c>
      <c r="C412" s="597" t="s">
        <v>2295</v>
      </c>
      <c r="D412" s="597" t="s">
        <v>2880</v>
      </c>
      <c r="E412" s="597" t="s">
        <v>2881</v>
      </c>
      <c r="F412" s="600"/>
      <c r="G412" s="600"/>
      <c r="H412" s="600"/>
      <c r="I412" s="600"/>
      <c r="J412" s="600">
        <v>2</v>
      </c>
      <c r="K412" s="600">
        <v>11144</v>
      </c>
      <c r="L412" s="600"/>
      <c r="M412" s="600">
        <v>5572</v>
      </c>
      <c r="N412" s="600"/>
      <c r="O412" s="600"/>
      <c r="P412" s="608"/>
      <c r="Q412" s="60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42" customWidth="1"/>
    <col min="2" max="4" width="7.88671875" style="342" customWidth="1"/>
    <col min="5" max="5" width="7.88671875" style="351" customWidth="1"/>
    <col min="6" max="8" width="7.88671875" style="342" customWidth="1"/>
    <col min="9" max="9" width="7.88671875" style="352" customWidth="1"/>
    <col min="10" max="13" width="7.88671875" style="342" customWidth="1"/>
    <col min="14" max="16384" width="9.33203125" style="342"/>
  </cols>
  <sheetData>
    <row r="1" spans="1:13" ht="18.600000000000001" customHeight="1" thickBot="1" x14ac:dyDescent="0.4">
      <c r="A1" s="506" t="s">
        <v>122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ht="14.4" customHeight="1" thickBot="1" x14ac:dyDescent="0.35">
      <c r="A2" s="364" t="s">
        <v>294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ht="14.4" customHeight="1" thickBot="1" x14ac:dyDescent="0.35">
      <c r="A3" s="507" t="s">
        <v>57</v>
      </c>
      <c r="B3" s="489" t="s">
        <v>58</v>
      </c>
      <c r="C3" s="490"/>
      <c r="D3" s="490"/>
      <c r="E3" s="491"/>
      <c r="F3" s="489" t="s">
        <v>288</v>
      </c>
      <c r="G3" s="490"/>
      <c r="H3" s="490"/>
      <c r="I3" s="491"/>
      <c r="J3" s="108"/>
      <c r="K3" s="109"/>
      <c r="L3" s="108"/>
      <c r="M3" s="110"/>
    </row>
    <row r="4" spans="1:13" ht="14.4" customHeight="1" thickBot="1" x14ac:dyDescent="0.35">
      <c r="A4" s="508"/>
      <c r="B4" s="111">
        <v>2012</v>
      </c>
      <c r="C4" s="112">
        <v>2013</v>
      </c>
      <c r="D4" s="112">
        <v>2014</v>
      </c>
      <c r="E4" s="113" t="s">
        <v>2</v>
      </c>
      <c r="F4" s="112">
        <v>2012</v>
      </c>
      <c r="G4" s="112">
        <v>2013</v>
      </c>
      <c r="H4" s="112">
        <v>2014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116.119</v>
      </c>
      <c r="C5" s="99">
        <v>151.327</v>
      </c>
      <c r="D5" s="99">
        <v>186.691</v>
      </c>
      <c r="E5" s="116">
        <v>1.6077558366847804</v>
      </c>
      <c r="F5" s="117">
        <v>17</v>
      </c>
      <c r="G5" s="99">
        <v>12</v>
      </c>
      <c r="H5" s="99">
        <v>22</v>
      </c>
      <c r="I5" s="118">
        <v>1.2941176470588236</v>
      </c>
      <c r="J5" s="108"/>
      <c r="K5" s="108"/>
      <c r="L5" s="7">
        <f>D5-B5</f>
        <v>70.572000000000003</v>
      </c>
      <c r="M5" s="8">
        <f>H5-F5</f>
        <v>5</v>
      </c>
    </row>
    <row r="6" spans="1:13" ht="14.4" hidden="1" customHeight="1" outlineLevel="1" x14ac:dyDescent="0.3">
      <c r="A6" s="104" t="s">
        <v>151</v>
      </c>
      <c r="B6" s="107">
        <v>2.6379999999999999</v>
      </c>
      <c r="C6" s="98">
        <v>14.167</v>
      </c>
      <c r="D6" s="98">
        <v>12.416</v>
      </c>
      <c r="E6" s="119">
        <v>4.7065959059893858</v>
      </c>
      <c r="F6" s="120">
        <v>2</v>
      </c>
      <c r="G6" s="98">
        <v>3</v>
      </c>
      <c r="H6" s="98">
        <v>5</v>
      </c>
      <c r="I6" s="121">
        <v>2.5</v>
      </c>
      <c r="J6" s="108"/>
      <c r="K6" s="108"/>
      <c r="L6" s="5">
        <f t="shared" ref="L6:L11" si="0">D6-B6</f>
        <v>9.7780000000000005</v>
      </c>
      <c r="M6" s="6">
        <f t="shared" ref="M6:M13" si="1">H6-F6</f>
        <v>3</v>
      </c>
    </row>
    <row r="7" spans="1:13" ht="14.4" hidden="1" customHeight="1" outlineLevel="1" x14ac:dyDescent="0.3">
      <c r="A7" s="104" t="s">
        <v>152</v>
      </c>
      <c r="B7" s="107">
        <v>24.425999999999998</v>
      </c>
      <c r="C7" s="98">
        <v>7.0839999999999996</v>
      </c>
      <c r="D7" s="98">
        <v>42.414999999999999</v>
      </c>
      <c r="E7" s="119">
        <v>1.7364693359534922</v>
      </c>
      <c r="F7" s="120">
        <v>7</v>
      </c>
      <c r="G7" s="98">
        <v>1</v>
      </c>
      <c r="H7" s="98">
        <v>5</v>
      </c>
      <c r="I7" s="121">
        <v>0.7142857142857143</v>
      </c>
      <c r="J7" s="108"/>
      <c r="K7" s="108"/>
      <c r="L7" s="5">
        <f t="shared" si="0"/>
        <v>17.989000000000001</v>
      </c>
      <c r="M7" s="6">
        <f t="shared" si="1"/>
        <v>-2</v>
      </c>
    </row>
    <row r="8" spans="1:13" ht="14.4" hidden="1" customHeight="1" outlineLevel="1" x14ac:dyDescent="0.3">
      <c r="A8" s="104" t="s">
        <v>153</v>
      </c>
      <c r="B8" s="107">
        <v>0</v>
      </c>
      <c r="C8" s="98">
        <v>0.80800000000000005</v>
      </c>
      <c r="D8" s="98">
        <v>0</v>
      </c>
      <c r="E8" s="119" t="s">
        <v>487</v>
      </c>
      <c r="F8" s="120">
        <v>0</v>
      </c>
      <c r="G8" s="98">
        <v>1</v>
      </c>
      <c r="H8" s="98">
        <v>0</v>
      </c>
      <c r="I8" s="121" t="s">
        <v>487</v>
      </c>
      <c r="J8" s="108"/>
      <c r="K8" s="108"/>
      <c r="L8" s="5">
        <f t="shared" si="0"/>
        <v>0</v>
      </c>
      <c r="M8" s="6">
        <f t="shared" si="1"/>
        <v>0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487</v>
      </c>
      <c r="F9" s="120">
        <v>0</v>
      </c>
      <c r="G9" s="98">
        <v>0</v>
      </c>
      <c r="H9" s="98">
        <v>0</v>
      </c>
      <c r="I9" s="121" t="s">
        <v>487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12.599</v>
      </c>
      <c r="C10" s="98">
        <v>14.593</v>
      </c>
      <c r="D10" s="98">
        <v>26.081</v>
      </c>
      <c r="E10" s="119">
        <v>2.0700849273751882</v>
      </c>
      <c r="F10" s="120">
        <v>2</v>
      </c>
      <c r="G10" s="98">
        <v>2</v>
      </c>
      <c r="H10" s="98">
        <v>5</v>
      </c>
      <c r="I10" s="121">
        <v>2.5</v>
      </c>
      <c r="J10" s="108"/>
      <c r="K10" s="108"/>
      <c r="L10" s="5">
        <f t="shared" si="0"/>
        <v>13.481999999999999</v>
      </c>
      <c r="M10" s="6">
        <f t="shared" si="1"/>
        <v>3</v>
      </c>
    </row>
    <row r="11" spans="1:13" ht="14.4" hidden="1" customHeight="1" outlineLevel="1" x14ac:dyDescent="0.3">
      <c r="A11" s="104" t="s">
        <v>156</v>
      </c>
      <c r="B11" s="107">
        <v>11.837999999999999</v>
      </c>
      <c r="C11" s="98">
        <v>1.9370000000000001</v>
      </c>
      <c r="D11" s="98">
        <v>39.862000000000002</v>
      </c>
      <c r="E11" s="119">
        <v>3.3672917722588278</v>
      </c>
      <c r="F11" s="120">
        <v>1</v>
      </c>
      <c r="G11" s="98">
        <v>1</v>
      </c>
      <c r="H11" s="98">
        <v>3</v>
      </c>
      <c r="I11" s="121">
        <v>3</v>
      </c>
      <c r="J11" s="108"/>
      <c r="K11" s="108"/>
      <c r="L11" s="5">
        <f t="shared" si="0"/>
        <v>28.024000000000001</v>
      </c>
      <c r="M11" s="6">
        <f t="shared" si="1"/>
        <v>2</v>
      </c>
    </row>
    <row r="12" spans="1:13" ht="14.4" hidden="1" customHeight="1" outlineLevel="1" thickBot="1" x14ac:dyDescent="0.35">
      <c r="A12" s="231" t="s">
        <v>208</v>
      </c>
      <c r="B12" s="232">
        <v>0</v>
      </c>
      <c r="C12" s="233">
        <v>0</v>
      </c>
      <c r="D12" s="233">
        <v>0</v>
      </c>
      <c r="E12" s="234"/>
      <c r="F12" s="235">
        <v>0</v>
      </c>
      <c r="G12" s="233">
        <v>0</v>
      </c>
      <c r="H12" s="233">
        <v>0</v>
      </c>
      <c r="I12" s="236"/>
      <c r="J12" s="108"/>
      <c r="K12" s="108"/>
      <c r="L12" s="237">
        <f>D12-B12</f>
        <v>0</v>
      </c>
      <c r="M12" s="238">
        <f>H12-F12</f>
        <v>0</v>
      </c>
    </row>
    <row r="13" spans="1:13" ht="14.4" customHeight="1" collapsed="1" thickBot="1" x14ac:dyDescent="0.35">
      <c r="A13" s="105" t="s">
        <v>3</v>
      </c>
      <c r="B13" s="100">
        <f>SUM(B5:B12)</f>
        <v>167.61999999999998</v>
      </c>
      <c r="C13" s="101">
        <f>SUM(C5:C12)</f>
        <v>189.916</v>
      </c>
      <c r="D13" s="101">
        <f>SUM(D5:D12)</f>
        <v>307.46500000000003</v>
      </c>
      <c r="E13" s="122">
        <f>IF(OR(D13=0,B13=0),0,D13/B13)</f>
        <v>1.8342978164896795</v>
      </c>
      <c r="F13" s="123">
        <f>SUM(F5:F12)</f>
        <v>29</v>
      </c>
      <c r="G13" s="101">
        <f>SUM(G5:G12)</f>
        <v>20</v>
      </c>
      <c r="H13" s="101">
        <f>SUM(H5:H12)</f>
        <v>40</v>
      </c>
      <c r="I13" s="124">
        <f>IF(OR(H13=0,F13=0),0,H13/F13)</f>
        <v>1.3793103448275863</v>
      </c>
      <c r="J13" s="108"/>
      <c r="K13" s="108"/>
      <c r="L13" s="114">
        <f>D13-B13</f>
        <v>139.84500000000006</v>
      </c>
      <c r="M13" s="125">
        <f t="shared" si="1"/>
        <v>11</v>
      </c>
    </row>
    <row r="14" spans="1:13" ht="14.4" customHeight="1" x14ac:dyDescent="0.3">
      <c r="A14" s="126"/>
      <c r="B14" s="509"/>
      <c r="C14" s="509"/>
      <c r="D14" s="509"/>
      <c r="E14" s="509"/>
      <c r="F14" s="509"/>
      <c r="G14" s="509"/>
      <c r="H14" s="509"/>
      <c r="I14" s="509"/>
      <c r="J14" s="108"/>
      <c r="K14" s="108"/>
      <c r="L14" s="108"/>
      <c r="M14" s="110"/>
    </row>
    <row r="15" spans="1:13" ht="14.4" customHeight="1" thickBot="1" x14ac:dyDescent="0.35">
      <c r="A15" s="126"/>
      <c r="B15" s="344"/>
      <c r="C15" s="345"/>
      <c r="D15" s="345"/>
      <c r="E15" s="345"/>
      <c r="F15" s="344"/>
      <c r="G15" s="345"/>
      <c r="H15" s="345"/>
      <c r="I15" s="345"/>
      <c r="J15" s="108"/>
      <c r="K15" s="108"/>
      <c r="L15" s="108"/>
      <c r="M15" s="110"/>
    </row>
    <row r="16" spans="1:13" ht="14.4" customHeight="1" thickBot="1" x14ac:dyDescent="0.35">
      <c r="A16" s="515" t="s">
        <v>204</v>
      </c>
      <c r="B16" s="517" t="s">
        <v>58</v>
      </c>
      <c r="C16" s="518"/>
      <c r="D16" s="518"/>
      <c r="E16" s="519"/>
      <c r="F16" s="517" t="s">
        <v>288</v>
      </c>
      <c r="G16" s="518"/>
      <c r="H16" s="518"/>
      <c r="I16" s="519"/>
      <c r="J16" s="500" t="s">
        <v>160</v>
      </c>
      <c r="K16" s="501"/>
      <c r="L16" s="143"/>
      <c r="M16" s="143"/>
    </row>
    <row r="17" spans="1:13" ht="14.4" customHeight="1" thickBot="1" x14ac:dyDescent="0.35">
      <c r="A17" s="516"/>
      <c r="B17" s="127">
        <v>2012</v>
      </c>
      <c r="C17" s="128">
        <v>2013</v>
      </c>
      <c r="D17" s="128">
        <v>2014</v>
      </c>
      <c r="E17" s="129" t="s">
        <v>2</v>
      </c>
      <c r="F17" s="127">
        <v>2012</v>
      </c>
      <c r="G17" s="128">
        <v>2013</v>
      </c>
      <c r="H17" s="128">
        <v>2014</v>
      </c>
      <c r="I17" s="129" t="s">
        <v>2</v>
      </c>
      <c r="J17" s="502" t="s">
        <v>161</v>
      </c>
      <c r="K17" s="503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116.119</v>
      </c>
      <c r="C18" s="99">
        <v>151.327</v>
      </c>
      <c r="D18" s="99">
        <v>186.691</v>
      </c>
      <c r="E18" s="116">
        <v>1.6077558366847804</v>
      </c>
      <c r="F18" s="106">
        <v>17</v>
      </c>
      <c r="G18" s="99">
        <v>12</v>
      </c>
      <c r="H18" s="99">
        <v>22</v>
      </c>
      <c r="I18" s="118">
        <v>1.2941176470588236</v>
      </c>
      <c r="J18" s="504">
        <f>0.97*0.976</f>
        <v>0.94672000000000001</v>
      </c>
      <c r="K18" s="505"/>
      <c r="L18" s="132">
        <f>D18-B18</f>
        <v>70.572000000000003</v>
      </c>
      <c r="M18" s="133">
        <f>H18-F18</f>
        <v>5</v>
      </c>
    </row>
    <row r="19" spans="1:13" ht="14.4" hidden="1" customHeight="1" outlineLevel="1" x14ac:dyDescent="0.3">
      <c r="A19" s="104" t="s">
        <v>151</v>
      </c>
      <c r="B19" s="107">
        <v>2.6379999999999999</v>
      </c>
      <c r="C19" s="98">
        <v>14.167</v>
      </c>
      <c r="D19" s="98">
        <v>12.416</v>
      </c>
      <c r="E19" s="119">
        <v>4.7065959059893858</v>
      </c>
      <c r="F19" s="107">
        <v>2</v>
      </c>
      <c r="G19" s="98">
        <v>3</v>
      </c>
      <c r="H19" s="98">
        <v>5</v>
      </c>
      <c r="I19" s="121">
        <v>2.5</v>
      </c>
      <c r="J19" s="504">
        <f>0.97*1.096</f>
        <v>1.0631200000000001</v>
      </c>
      <c r="K19" s="505"/>
      <c r="L19" s="134">
        <f t="shared" ref="L19:L26" si="2">D19-B19</f>
        <v>9.7780000000000005</v>
      </c>
      <c r="M19" s="135">
        <f t="shared" ref="M19:M26" si="3">H19-F19</f>
        <v>3</v>
      </c>
    </row>
    <row r="20" spans="1:13" ht="14.4" hidden="1" customHeight="1" outlineLevel="1" x14ac:dyDescent="0.3">
      <c r="A20" s="104" t="s">
        <v>152</v>
      </c>
      <c r="B20" s="107">
        <v>24.425999999999998</v>
      </c>
      <c r="C20" s="98">
        <v>7.0839999999999996</v>
      </c>
      <c r="D20" s="98">
        <v>42.414999999999999</v>
      </c>
      <c r="E20" s="119">
        <v>1.7364693359534922</v>
      </c>
      <c r="F20" s="107">
        <v>7</v>
      </c>
      <c r="G20" s="98">
        <v>1</v>
      </c>
      <c r="H20" s="98">
        <v>5</v>
      </c>
      <c r="I20" s="121">
        <v>0.7142857142857143</v>
      </c>
      <c r="J20" s="504">
        <f>0.97*1.047</f>
        <v>1.01559</v>
      </c>
      <c r="K20" s="505"/>
      <c r="L20" s="134">
        <f t="shared" si="2"/>
        <v>17.989000000000001</v>
      </c>
      <c r="M20" s="135">
        <f t="shared" si="3"/>
        <v>-2</v>
      </c>
    </row>
    <row r="21" spans="1:13" ht="14.4" hidden="1" customHeight="1" outlineLevel="1" x14ac:dyDescent="0.3">
      <c r="A21" s="104" t="s">
        <v>153</v>
      </c>
      <c r="B21" s="107">
        <v>0</v>
      </c>
      <c r="C21" s="98">
        <v>0.80800000000000005</v>
      </c>
      <c r="D21" s="98">
        <v>0</v>
      </c>
      <c r="E21" s="119" t="s">
        <v>487</v>
      </c>
      <c r="F21" s="107">
        <v>0</v>
      </c>
      <c r="G21" s="98">
        <v>1</v>
      </c>
      <c r="H21" s="98">
        <v>0</v>
      </c>
      <c r="I21" s="121" t="s">
        <v>487</v>
      </c>
      <c r="J21" s="504">
        <f>0.97*1.091</f>
        <v>1.05827</v>
      </c>
      <c r="K21" s="505"/>
      <c r="L21" s="134">
        <f t="shared" si="2"/>
        <v>0</v>
      </c>
      <c r="M21" s="135">
        <f t="shared" si="3"/>
        <v>0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487</v>
      </c>
      <c r="F22" s="107">
        <v>0</v>
      </c>
      <c r="G22" s="98">
        <v>0</v>
      </c>
      <c r="H22" s="98">
        <v>0</v>
      </c>
      <c r="I22" s="121" t="s">
        <v>487</v>
      </c>
      <c r="J22" s="504">
        <f>0.97*1</f>
        <v>0.97</v>
      </c>
      <c r="K22" s="505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12.599</v>
      </c>
      <c r="C23" s="98">
        <v>14.593</v>
      </c>
      <c r="D23" s="98">
        <v>26.081</v>
      </c>
      <c r="E23" s="119">
        <v>2.0700849273751882</v>
      </c>
      <c r="F23" s="107">
        <v>2</v>
      </c>
      <c r="G23" s="98">
        <v>2</v>
      </c>
      <c r="H23" s="98">
        <v>5</v>
      </c>
      <c r="I23" s="121">
        <v>2.5</v>
      </c>
      <c r="J23" s="504">
        <f>0.97*1.096</f>
        <v>1.0631200000000001</v>
      </c>
      <c r="K23" s="505"/>
      <c r="L23" s="134">
        <f t="shared" si="2"/>
        <v>13.481999999999999</v>
      </c>
      <c r="M23" s="135">
        <f t="shared" si="3"/>
        <v>3</v>
      </c>
    </row>
    <row r="24" spans="1:13" ht="14.4" hidden="1" customHeight="1" outlineLevel="1" x14ac:dyDescent="0.3">
      <c r="A24" s="104" t="s">
        <v>156</v>
      </c>
      <c r="B24" s="107">
        <v>11.837999999999999</v>
      </c>
      <c r="C24" s="98">
        <v>1.9370000000000001</v>
      </c>
      <c r="D24" s="98">
        <v>39.862000000000002</v>
      </c>
      <c r="E24" s="119">
        <v>3.3672917722588278</v>
      </c>
      <c r="F24" s="107">
        <v>1</v>
      </c>
      <c r="G24" s="98">
        <v>1</v>
      </c>
      <c r="H24" s="98">
        <v>3</v>
      </c>
      <c r="I24" s="121">
        <v>3</v>
      </c>
      <c r="J24" s="504">
        <f>0.97*0.989</f>
        <v>0.95933000000000002</v>
      </c>
      <c r="K24" s="505"/>
      <c r="L24" s="134">
        <f t="shared" si="2"/>
        <v>28.024000000000001</v>
      </c>
      <c r="M24" s="135">
        <f t="shared" si="3"/>
        <v>2</v>
      </c>
    </row>
    <row r="25" spans="1:13" ht="14.4" hidden="1" customHeight="1" outlineLevel="1" thickBot="1" x14ac:dyDescent="0.35">
      <c r="A25" s="231" t="s">
        <v>208</v>
      </c>
      <c r="B25" s="232">
        <v>0</v>
      </c>
      <c r="C25" s="233">
        <v>0</v>
      </c>
      <c r="D25" s="233">
        <v>0</v>
      </c>
      <c r="E25" s="234"/>
      <c r="F25" s="232">
        <v>0</v>
      </c>
      <c r="G25" s="233">
        <v>0</v>
      </c>
      <c r="H25" s="233">
        <v>0</v>
      </c>
      <c r="I25" s="236"/>
      <c r="J25" s="346"/>
      <c r="K25" s="347"/>
      <c r="L25" s="239">
        <f>D25-B25</f>
        <v>0</v>
      </c>
      <c r="M25" s="240">
        <f>H25-F25</f>
        <v>0</v>
      </c>
    </row>
    <row r="26" spans="1:13" ht="14.4" customHeight="1" collapsed="1" thickBot="1" x14ac:dyDescent="0.35">
      <c r="A26" s="136" t="s">
        <v>3</v>
      </c>
      <c r="B26" s="137">
        <f>SUM(B18:B25)</f>
        <v>167.61999999999998</v>
      </c>
      <c r="C26" s="138">
        <f>SUM(C18:C25)</f>
        <v>189.916</v>
      </c>
      <c r="D26" s="138">
        <f>SUM(D18:D25)</f>
        <v>307.46500000000003</v>
      </c>
      <c r="E26" s="139">
        <f>IF(OR(D26=0,B26=0),0,D26/B26)</f>
        <v>1.8342978164896795</v>
      </c>
      <c r="F26" s="137">
        <f>SUM(F18:F25)</f>
        <v>29</v>
      </c>
      <c r="G26" s="138">
        <f>SUM(G18:G25)</f>
        <v>20</v>
      </c>
      <c r="H26" s="138">
        <f>SUM(H18:H25)</f>
        <v>40</v>
      </c>
      <c r="I26" s="140">
        <f>IF(OR(H26=0,F26=0),0,H26/F26)</f>
        <v>1.3793103448275863</v>
      </c>
      <c r="J26" s="108"/>
      <c r="K26" s="108"/>
      <c r="L26" s="130">
        <f t="shared" si="2"/>
        <v>139.84500000000006</v>
      </c>
      <c r="M26" s="141">
        <f t="shared" si="3"/>
        <v>11</v>
      </c>
    </row>
    <row r="27" spans="1:13" ht="14.4" customHeight="1" x14ac:dyDescent="0.3">
      <c r="A27" s="142"/>
      <c r="B27" s="509" t="s">
        <v>206</v>
      </c>
      <c r="C27" s="520"/>
      <c r="D27" s="520"/>
      <c r="E27" s="520"/>
      <c r="F27" s="509" t="s">
        <v>207</v>
      </c>
      <c r="G27" s="520"/>
      <c r="H27" s="520"/>
      <c r="I27" s="520"/>
      <c r="J27" s="143"/>
      <c r="K27" s="143"/>
      <c r="L27" s="143"/>
      <c r="M27" s="144"/>
    </row>
    <row r="28" spans="1:13" ht="14.4" customHeight="1" thickBot="1" x14ac:dyDescent="0.35">
      <c r="A28" s="142"/>
      <c r="B28" s="344"/>
      <c r="C28" s="345"/>
      <c r="D28" s="345"/>
      <c r="E28" s="345"/>
      <c r="F28" s="344"/>
      <c r="G28" s="345"/>
      <c r="H28" s="345"/>
      <c r="I28" s="345"/>
      <c r="J28" s="143"/>
      <c r="K28" s="143"/>
      <c r="L28" s="143"/>
      <c r="M28" s="144"/>
    </row>
    <row r="29" spans="1:13" ht="14.4" customHeight="1" thickBot="1" x14ac:dyDescent="0.35">
      <c r="A29" s="510" t="s">
        <v>205</v>
      </c>
      <c r="B29" s="512" t="s">
        <v>58</v>
      </c>
      <c r="C29" s="513"/>
      <c r="D29" s="513"/>
      <c r="E29" s="514"/>
      <c r="F29" s="513" t="s">
        <v>288</v>
      </c>
      <c r="G29" s="513"/>
      <c r="H29" s="513"/>
      <c r="I29" s="514"/>
      <c r="J29" s="143"/>
      <c r="K29" s="143"/>
      <c r="L29" s="143"/>
      <c r="M29" s="144"/>
    </row>
    <row r="30" spans="1:13" ht="14.4" customHeight="1" thickBot="1" x14ac:dyDescent="0.35">
      <c r="A30" s="511"/>
      <c r="B30" s="145">
        <v>2012</v>
      </c>
      <c r="C30" s="146">
        <v>2013</v>
      </c>
      <c r="D30" s="146">
        <v>2014</v>
      </c>
      <c r="E30" s="147" t="s">
        <v>2</v>
      </c>
      <c r="F30" s="146">
        <v>2012</v>
      </c>
      <c r="G30" s="146">
        <v>2013</v>
      </c>
      <c r="H30" s="146">
        <v>2014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487</v>
      </c>
      <c r="F31" s="117">
        <v>0</v>
      </c>
      <c r="G31" s="99">
        <v>0</v>
      </c>
      <c r="H31" s="99">
        <v>0</v>
      </c>
      <c r="I31" s="118" t="s">
        <v>487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487</v>
      </c>
      <c r="F32" s="120">
        <v>0</v>
      </c>
      <c r="G32" s="98">
        <v>0</v>
      </c>
      <c r="H32" s="98">
        <v>0</v>
      </c>
      <c r="I32" s="121" t="s">
        <v>487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487</v>
      </c>
      <c r="F33" s="120">
        <v>0</v>
      </c>
      <c r="G33" s="98">
        <v>0</v>
      </c>
      <c r="H33" s="98">
        <v>0</v>
      </c>
      <c r="I33" s="121" t="s">
        <v>487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487</v>
      </c>
      <c r="F34" s="120">
        <v>0</v>
      </c>
      <c r="G34" s="98">
        <v>0</v>
      </c>
      <c r="H34" s="98">
        <v>0</v>
      </c>
      <c r="I34" s="121" t="s">
        <v>487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487</v>
      </c>
      <c r="F35" s="120">
        <v>0</v>
      </c>
      <c r="G35" s="98">
        <v>0</v>
      </c>
      <c r="H35" s="98">
        <v>0</v>
      </c>
      <c r="I35" s="121" t="s">
        <v>487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487</v>
      </c>
      <c r="F36" s="120">
        <v>0</v>
      </c>
      <c r="G36" s="98">
        <v>0</v>
      </c>
      <c r="H36" s="98">
        <v>0</v>
      </c>
      <c r="I36" s="121" t="s">
        <v>487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487</v>
      </c>
      <c r="F37" s="120">
        <v>0</v>
      </c>
      <c r="G37" s="98">
        <v>0</v>
      </c>
      <c r="H37" s="98">
        <v>0</v>
      </c>
      <c r="I37" s="121" t="s">
        <v>487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31" t="s">
        <v>208</v>
      </c>
      <c r="B38" s="232">
        <v>0</v>
      </c>
      <c r="C38" s="233">
        <v>0</v>
      </c>
      <c r="D38" s="233">
        <v>0</v>
      </c>
      <c r="E38" s="234"/>
      <c r="F38" s="235">
        <v>0</v>
      </c>
      <c r="G38" s="233">
        <v>0</v>
      </c>
      <c r="H38" s="233">
        <v>0</v>
      </c>
      <c r="I38" s="236"/>
      <c r="J38" s="143"/>
      <c r="K38" s="143"/>
      <c r="L38" s="239">
        <f>D38-B38</f>
        <v>0</v>
      </c>
      <c r="M38" s="240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8"/>
      <c r="B40" s="348"/>
      <c r="C40" s="348"/>
      <c r="D40" s="348"/>
      <c r="E40" s="349"/>
      <c r="F40" s="348"/>
      <c r="G40" s="348"/>
      <c r="H40" s="348"/>
      <c r="I40" s="350"/>
      <c r="J40" s="348"/>
      <c r="K40" s="348"/>
      <c r="L40" s="348"/>
      <c r="M40" s="348"/>
    </row>
    <row r="41" spans="1:13" ht="14.4" customHeight="1" x14ac:dyDescent="0.3">
      <c r="A41" s="249" t="s">
        <v>291</v>
      </c>
      <c r="B41" s="348"/>
      <c r="C41" s="348"/>
      <c r="D41" s="348"/>
      <c r="E41" s="349"/>
      <c r="F41" s="348"/>
      <c r="G41" s="348"/>
      <c r="H41" s="348"/>
      <c r="I41" s="350"/>
      <c r="J41" s="348"/>
      <c r="K41" s="348"/>
      <c r="L41" s="348"/>
      <c r="M41" s="348"/>
    </row>
    <row r="42" spans="1:13" ht="14.4" customHeight="1" x14ac:dyDescent="0.25">
      <c r="A42" s="430" t="s">
        <v>287</v>
      </c>
    </row>
    <row r="43" spans="1:13" ht="14.4" customHeight="1" x14ac:dyDescent="0.25">
      <c r="A43" s="431" t="s">
        <v>293</v>
      </c>
    </row>
    <row r="44" spans="1:13" ht="14.4" customHeight="1" x14ac:dyDescent="0.25">
      <c r="A44" s="430" t="s">
        <v>289</v>
      </c>
    </row>
    <row r="45" spans="1:13" ht="14.4" customHeight="1" x14ac:dyDescent="0.25">
      <c r="A45" s="431" t="s">
        <v>290</v>
      </c>
    </row>
    <row r="46" spans="1:13" ht="14.4" customHeight="1" x14ac:dyDescent="0.3">
      <c r="A46" s="230" t="s">
        <v>292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4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66" t="s">
        <v>102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ht="14.4" customHeight="1" x14ac:dyDescent="0.3">
      <c r="A2" s="364" t="s">
        <v>294</v>
      </c>
      <c r="B2" s="190"/>
      <c r="C2" s="190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3"/>
      <c r="C3" s="353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3"/>
      <c r="C4" s="353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3"/>
      <c r="C5" s="353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3"/>
      <c r="C6" s="353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3"/>
      <c r="C7" s="353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3"/>
      <c r="C8" s="353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3"/>
      <c r="C9" s="353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3"/>
      <c r="C10" s="353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3"/>
      <c r="C11" s="353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3"/>
      <c r="C12" s="353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3"/>
      <c r="C13" s="353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3"/>
      <c r="C14" s="353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3"/>
      <c r="C15" s="353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3"/>
      <c r="C16" s="353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3"/>
      <c r="C17" s="353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3"/>
      <c r="C18" s="353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3"/>
      <c r="C19" s="353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3"/>
      <c r="C20" s="353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3"/>
      <c r="C21" s="353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3"/>
      <c r="C22" s="353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3"/>
      <c r="C23" s="353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3"/>
      <c r="C24" s="353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3"/>
      <c r="C25" s="353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3"/>
      <c r="C26" s="353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3"/>
      <c r="C27" s="353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3"/>
      <c r="C28" s="353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3"/>
      <c r="C29" s="353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3"/>
      <c r="C30" s="353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21" t="s">
        <v>70</v>
      </c>
      <c r="C31" s="522"/>
      <c r="D31" s="522"/>
      <c r="E31" s="523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4"/>
      <c r="H32" s="354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91">
        <v>102</v>
      </c>
      <c r="C33" s="191">
        <v>50</v>
      </c>
      <c r="D33" s="75">
        <f>IF(C33="","",C33-B33)</f>
        <v>-52</v>
      </c>
      <c r="E33" s="76">
        <f>IF(C33="","",C33/B33)</f>
        <v>0.49019607843137253</v>
      </c>
      <c r="F33" s="77">
        <v>8.3000000000000007</v>
      </c>
      <c r="G33" s="354">
        <v>0</v>
      </c>
      <c r="H33" s="355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92">
        <v>189.76</v>
      </c>
      <c r="C34" s="192">
        <v>75</v>
      </c>
      <c r="D34" s="78">
        <f t="shared" ref="D34:D45" si="0">IF(C34="","",C34-B34)</f>
        <v>-114.75999999999999</v>
      </c>
      <c r="E34" s="79">
        <f t="shared" ref="E34:E45" si="1">IF(C34="","",C34/B34)</f>
        <v>0.39523608768971336</v>
      </c>
      <c r="F34" s="80">
        <v>8.75</v>
      </c>
      <c r="G34" s="354">
        <v>1</v>
      </c>
      <c r="H34" s="355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92">
        <v>387.05</v>
      </c>
      <c r="C35" s="192">
        <v>218</v>
      </c>
      <c r="D35" s="78">
        <f t="shared" si="0"/>
        <v>-169.05</v>
      </c>
      <c r="E35" s="79">
        <f t="shared" si="1"/>
        <v>0.56323472419584031</v>
      </c>
      <c r="F35" s="80">
        <v>23.16</v>
      </c>
      <c r="G35" s="356"/>
      <c r="H35" s="356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92">
        <v>465.8</v>
      </c>
      <c r="C36" s="192">
        <v>258</v>
      </c>
      <c r="D36" s="78">
        <f t="shared" si="0"/>
        <v>-207.8</v>
      </c>
      <c r="E36" s="79">
        <f t="shared" si="1"/>
        <v>0.5538857878917991</v>
      </c>
      <c r="F36" s="80">
        <v>27.08</v>
      </c>
      <c r="G36" s="356"/>
      <c r="H36" s="356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92">
        <v>633.77</v>
      </c>
      <c r="C37" s="192">
        <v>665</v>
      </c>
      <c r="D37" s="78">
        <f t="shared" si="0"/>
        <v>31.230000000000018</v>
      </c>
      <c r="E37" s="79">
        <f t="shared" si="1"/>
        <v>1.0492765514303297</v>
      </c>
      <c r="F37" s="80">
        <v>280.43</v>
      </c>
      <c r="G37" s="356"/>
      <c r="H37" s="356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92"/>
      <c r="C38" s="192"/>
      <c r="D38" s="78" t="str">
        <f t="shared" si="0"/>
        <v/>
      </c>
      <c r="E38" s="79" t="str">
        <f t="shared" si="1"/>
        <v/>
      </c>
      <c r="F38" s="80"/>
      <c r="G38" s="356"/>
      <c r="H38" s="356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92"/>
      <c r="C39" s="192"/>
      <c r="D39" s="78" t="str">
        <f t="shared" si="0"/>
        <v/>
      </c>
      <c r="E39" s="79" t="str">
        <f t="shared" si="1"/>
        <v/>
      </c>
      <c r="F39" s="80"/>
      <c r="G39" s="356"/>
      <c r="H39" s="356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92"/>
      <c r="C40" s="192"/>
      <c r="D40" s="78" t="str">
        <f t="shared" si="0"/>
        <v/>
      </c>
      <c r="E40" s="79" t="str">
        <f t="shared" si="1"/>
        <v/>
      </c>
      <c r="F40" s="80"/>
      <c r="G40" s="356"/>
      <c r="H40" s="356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92"/>
      <c r="C41" s="192"/>
      <c r="D41" s="78" t="str">
        <f t="shared" si="0"/>
        <v/>
      </c>
      <c r="E41" s="79" t="str">
        <f t="shared" si="1"/>
        <v/>
      </c>
      <c r="F41" s="80"/>
      <c r="G41" s="356"/>
      <c r="H41" s="356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92"/>
      <c r="C42" s="192"/>
      <c r="D42" s="78" t="str">
        <f t="shared" si="0"/>
        <v/>
      </c>
      <c r="E42" s="79" t="str">
        <f t="shared" si="1"/>
        <v/>
      </c>
      <c r="F42" s="80"/>
      <c r="G42" s="356"/>
      <c r="H42" s="356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92"/>
      <c r="C43" s="192"/>
      <c r="D43" s="78" t="str">
        <f t="shared" si="0"/>
        <v/>
      </c>
      <c r="E43" s="79" t="str">
        <f t="shared" si="1"/>
        <v/>
      </c>
      <c r="F43" s="80"/>
      <c r="G43" s="356"/>
      <c r="H43" s="356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92"/>
      <c r="C44" s="192"/>
      <c r="D44" s="78" t="str">
        <f t="shared" si="0"/>
        <v/>
      </c>
      <c r="E44" s="79" t="str">
        <f t="shared" si="1"/>
        <v/>
      </c>
      <c r="F44" s="80"/>
      <c r="G44" s="356"/>
      <c r="H44" s="356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3"/>
      <c r="C45" s="193"/>
      <c r="D45" s="81" t="str">
        <f t="shared" si="0"/>
        <v/>
      </c>
      <c r="E45" s="82" t="str">
        <f t="shared" si="1"/>
        <v/>
      </c>
      <c r="F45" s="83"/>
      <c r="G45" s="356"/>
      <c r="H45" s="356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4" customWidth="1"/>
    <col min="3" max="3" width="5.88671875" style="204" customWidth="1"/>
    <col min="4" max="4" width="7.6640625" style="204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4" customWidth="1"/>
    <col min="20" max="20" width="9.6640625" style="204" customWidth="1"/>
    <col min="21" max="21" width="7.6640625" style="204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6" customFormat="1" ht="18.600000000000001" customHeight="1" thickBot="1" x14ac:dyDescent="0.4">
      <c r="A1" s="484" t="s">
        <v>2983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</row>
    <row r="2" spans="1:23" ht="14.4" customHeight="1" thickBot="1" x14ac:dyDescent="0.35">
      <c r="A2" s="364" t="s">
        <v>294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7"/>
      <c r="Q2" s="357"/>
      <c r="R2" s="357"/>
      <c r="S2" s="358"/>
      <c r="T2" s="358"/>
      <c r="U2" s="358"/>
      <c r="V2" s="357"/>
      <c r="W2" s="359"/>
    </row>
    <row r="3" spans="1:23" s="85" customFormat="1" ht="14.4" customHeight="1" x14ac:dyDescent="0.3">
      <c r="A3" s="530" t="s">
        <v>62</v>
      </c>
      <c r="B3" s="531">
        <v>2012</v>
      </c>
      <c r="C3" s="532"/>
      <c r="D3" s="533"/>
      <c r="E3" s="531">
        <v>2013</v>
      </c>
      <c r="F3" s="532"/>
      <c r="G3" s="533"/>
      <c r="H3" s="531">
        <v>2014</v>
      </c>
      <c r="I3" s="532"/>
      <c r="J3" s="533"/>
      <c r="K3" s="534" t="s">
        <v>63</v>
      </c>
      <c r="L3" s="526" t="s">
        <v>64</v>
      </c>
      <c r="M3" s="526" t="s">
        <v>65</v>
      </c>
      <c r="N3" s="526" t="s">
        <v>66</v>
      </c>
      <c r="O3" s="255" t="s">
        <v>67</v>
      </c>
      <c r="P3" s="527" t="s">
        <v>68</v>
      </c>
      <c r="Q3" s="528" t="s">
        <v>69</v>
      </c>
      <c r="R3" s="529"/>
      <c r="S3" s="524" t="s">
        <v>70</v>
      </c>
      <c r="T3" s="525"/>
      <c r="U3" s="525"/>
      <c r="V3" s="525"/>
      <c r="W3" s="205" t="s">
        <v>70</v>
      </c>
    </row>
    <row r="4" spans="1:23" s="86" customFormat="1" ht="14.4" customHeight="1" thickBot="1" x14ac:dyDescent="0.35">
      <c r="A4" s="697"/>
      <c r="B4" s="698" t="s">
        <v>71</v>
      </c>
      <c r="C4" s="699" t="s">
        <v>59</v>
      </c>
      <c r="D4" s="700" t="s">
        <v>72</v>
      </c>
      <c r="E4" s="698" t="s">
        <v>71</v>
      </c>
      <c r="F4" s="699" t="s">
        <v>59</v>
      </c>
      <c r="G4" s="700" t="s">
        <v>72</v>
      </c>
      <c r="H4" s="698" t="s">
        <v>71</v>
      </c>
      <c r="I4" s="699" t="s">
        <v>59</v>
      </c>
      <c r="J4" s="700" t="s">
        <v>72</v>
      </c>
      <c r="K4" s="701"/>
      <c r="L4" s="702"/>
      <c r="M4" s="702"/>
      <c r="N4" s="702"/>
      <c r="O4" s="703"/>
      <c r="P4" s="704"/>
      <c r="Q4" s="705" t="s">
        <v>60</v>
      </c>
      <c r="R4" s="706" t="s">
        <v>59</v>
      </c>
      <c r="S4" s="707" t="s">
        <v>73</v>
      </c>
      <c r="T4" s="708" t="s">
        <v>74</v>
      </c>
      <c r="U4" s="708" t="s">
        <v>75</v>
      </c>
      <c r="V4" s="709" t="s">
        <v>2</v>
      </c>
      <c r="W4" s="710" t="s">
        <v>76</v>
      </c>
    </row>
    <row r="5" spans="1:23" ht="14.4" customHeight="1" x14ac:dyDescent="0.3">
      <c r="A5" s="740" t="s">
        <v>2883</v>
      </c>
      <c r="B5" s="382"/>
      <c r="C5" s="711"/>
      <c r="D5" s="712"/>
      <c r="E5" s="713"/>
      <c r="F5" s="714"/>
      <c r="G5" s="715"/>
      <c r="H5" s="716">
        <v>1</v>
      </c>
      <c r="I5" s="717">
        <v>26.14</v>
      </c>
      <c r="J5" s="718">
        <v>115</v>
      </c>
      <c r="K5" s="719">
        <v>16.36</v>
      </c>
      <c r="L5" s="720">
        <v>10</v>
      </c>
      <c r="M5" s="720">
        <v>88</v>
      </c>
      <c r="N5" s="721">
        <v>29.39</v>
      </c>
      <c r="O5" s="720" t="s">
        <v>2884</v>
      </c>
      <c r="P5" s="722" t="s">
        <v>2885</v>
      </c>
      <c r="Q5" s="723">
        <f>H5-B5</f>
        <v>1</v>
      </c>
      <c r="R5" s="723">
        <f>I5-C5</f>
        <v>26.14</v>
      </c>
      <c r="S5" s="382">
        <f>IF(H5=0,"",H5*N5)</f>
        <v>29.39</v>
      </c>
      <c r="T5" s="382">
        <f>IF(H5=0,"",H5*J5)</f>
        <v>115</v>
      </c>
      <c r="U5" s="382">
        <f>IF(H5=0,"",T5-S5)</f>
        <v>85.61</v>
      </c>
      <c r="V5" s="724">
        <f>IF(H5=0,"",T5/S5)</f>
        <v>3.912895542701599</v>
      </c>
      <c r="W5" s="725">
        <v>86</v>
      </c>
    </row>
    <row r="6" spans="1:23" ht="14.4" customHeight="1" x14ac:dyDescent="0.3">
      <c r="A6" s="741" t="s">
        <v>2886</v>
      </c>
      <c r="B6" s="682">
        <v>1</v>
      </c>
      <c r="C6" s="683">
        <v>6.77</v>
      </c>
      <c r="D6" s="684">
        <v>9</v>
      </c>
      <c r="E6" s="693"/>
      <c r="F6" s="672"/>
      <c r="G6" s="673"/>
      <c r="H6" s="678"/>
      <c r="I6" s="672"/>
      <c r="J6" s="673"/>
      <c r="K6" s="677">
        <v>6.77</v>
      </c>
      <c r="L6" s="678">
        <v>5</v>
      </c>
      <c r="M6" s="678">
        <v>41</v>
      </c>
      <c r="N6" s="679">
        <v>13.77</v>
      </c>
      <c r="O6" s="678" t="s">
        <v>2884</v>
      </c>
      <c r="P6" s="694" t="s">
        <v>2887</v>
      </c>
      <c r="Q6" s="680">
        <f t="shared" ref="Q6:R54" si="0">H6-B6</f>
        <v>-1</v>
      </c>
      <c r="R6" s="680">
        <f t="shared" si="0"/>
        <v>-6.77</v>
      </c>
      <c r="S6" s="690" t="str">
        <f t="shared" ref="S6:S54" si="1">IF(H6=0,"",H6*N6)</f>
        <v/>
      </c>
      <c r="T6" s="690" t="str">
        <f t="shared" ref="T6:T54" si="2">IF(H6=0,"",H6*J6)</f>
        <v/>
      </c>
      <c r="U6" s="690" t="str">
        <f t="shared" ref="U6:U54" si="3">IF(H6=0,"",T6-S6)</f>
        <v/>
      </c>
      <c r="V6" s="695" t="str">
        <f t="shared" ref="V6:V54" si="4">IF(H6=0,"",T6/S6)</f>
        <v/>
      </c>
      <c r="W6" s="681"/>
    </row>
    <row r="7" spans="1:23" ht="14.4" customHeight="1" x14ac:dyDescent="0.3">
      <c r="A7" s="742" t="s">
        <v>2888</v>
      </c>
      <c r="B7" s="726">
        <v>1</v>
      </c>
      <c r="C7" s="727">
        <v>11.7</v>
      </c>
      <c r="D7" s="685">
        <v>58</v>
      </c>
      <c r="E7" s="728"/>
      <c r="F7" s="729"/>
      <c r="G7" s="686"/>
      <c r="H7" s="730"/>
      <c r="I7" s="729"/>
      <c r="J7" s="686"/>
      <c r="K7" s="731">
        <v>8.6300000000000008</v>
      </c>
      <c r="L7" s="730">
        <v>6</v>
      </c>
      <c r="M7" s="730">
        <v>56</v>
      </c>
      <c r="N7" s="732">
        <v>18.63</v>
      </c>
      <c r="O7" s="730" t="s">
        <v>2884</v>
      </c>
      <c r="P7" s="733" t="s">
        <v>2889</v>
      </c>
      <c r="Q7" s="734">
        <f t="shared" si="0"/>
        <v>-1</v>
      </c>
      <c r="R7" s="734">
        <f t="shared" si="0"/>
        <v>-11.7</v>
      </c>
      <c r="S7" s="735" t="str">
        <f t="shared" si="1"/>
        <v/>
      </c>
      <c r="T7" s="735" t="str">
        <f t="shared" si="2"/>
        <v/>
      </c>
      <c r="U7" s="735" t="str">
        <f t="shared" si="3"/>
        <v/>
      </c>
      <c r="V7" s="736" t="str">
        <f t="shared" si="4"/>
        <v/>
      </c>
      <c r="W7" s="687"/>
    </row>
    <row r="8" spans="1:23" ht="14.4" customHeight="1" x14ac:dyDescent="0.3">
      <c r="A8" s="741" t="s">
        <v>2890</v>
      </c>
      <c r="B8" s="690"/>
      <c r="C8" s="691"/>
      <c r="D8" s="692"/>
      <c r="E8" s="693">
        <v>1</v>
      </c>
      <c r="F8" s="672">
        <v>36.67</v>
      </c>
      <c r="G8" s="673">
        <v>71</v>
      </c>
      <c r="H8" s="674">
        <v>1</v>
      </c>
      <c r="I8" s="675">
        <v>61.5</v>
      </c>
      <c r="J8" s="676">
        <v>206</v>
      </c>
      <c r="K8" s="677">
        <v>40.01</v>
      </c>
      <c r="L8" s="678">
        <v>17</v>
      </c>
      <c r="M8" s="678">
        <v>154</v>
      </c>
      <c r="N8" s="679">
        <v>51.21</v>
      </c>
      <c r="O8" s="678" t="s">
        <v>2884</v>
      </c>
      <c r="P8" s="694" t="s">
        <v>2891</v>
      </c>
      <c r="Q8" s="680">
        <f t="shared" si="0"/>
        <v>1</v>
      </c>
      <c r="R8" s="680">
        <f t="shared" si="0"/>
        <v>61.5</v>
      </c>
      <c r="S8" s="690">
        <f t="shared" si="1"/>
        <v>51.21</v>
      </c>
      <c r="T8" s="690">
        <f t="shared" si="2"/>
        <v>206</v>
      </c>
      <c r="U8" s="690">
        <f t="shared" si="3"/>
        <v>154.79</v>
      </c>
      <c r="V8" s="695">
        <f t="shared" si="4"/>
        <v>4.0226518258152701</v>
      </c>
      <c r="W8" s="681">
        <v>155</v>
      </c>
    </row>
    <row r="9" spans="1:23" ht="14.4" customHeight="1" x14ac:dyDescent="0.3">
      <c r="A9" s="741" t="s">
        <v>2892</v>
      </c>
      <c r="B9" s="690">
        <v>1</v>
      </c>
      <c r="C9" s="691">
        <v>18.54</v>
      </c>
      <c r="D9" s="692">
        <v>12</v>
      </c>
      <c r="E9" s="693"/>
      <c r="F9" s="672"/>
      <c r="G9" s="673"/>
      <c r="H9" s="674"/>
      <c r="I9" s="675"/>
      <c r="J9" s="688"/>
      <c r="K9" s="677">
        <v>18.54</v>
      </c>
      <c r="L9" s="678">
        <v>7</v>
      </c>
      <c r="M9" s="678">
        <v>66</v>
      </c>
      <c r="N9" s="679">
        <v>21.98</v>
      </c>
      <c r="O9" s="678" t="s">
        <v>2884</v>
      </c>
      <c r="P9" s="694" t="s">
        <v>2893</v>
      </c>
      <c r="Q9" s="680">
        <f t="shared" si="0"/>
        <v>-1</v>
      </c>
      <c r="R9" s="680">
        <f t="shared" si="0"/>
        <v>-18.54</v>
      </c>
      <c r="S9" s="690" t="str">
        <f t="shared" si="1"/>
        <v/>
      </c>
      <c r="T9" s="690" t="str">
        <f t="shared" si="2"/>
        <v/>
      </c>
      <c r="U9" s="690" t="str">
        <f t="shared" si="3"/>
        <v/>
      </c>
      <c r="V9" s="695" t="str">
        <f t="shared" si="4"/>
        <v/>
      </c>
      <c r="W9" s="681"/>
    </row>
    <row r="10" spans="1:23" ht="14.4" customHeight="1" x14ac:dyDescent="0.3">
      <c r="A10" s="742" t="s">
        <v>2894</v>
      </c>
      <c r="B10" s="735"/>
      <c r="C10" s="737"/>
      <c r="D10" s="696"/>
      <c r="E10" s="728">
        <v>2</v>
      </c>
      <c r="F10" s="729">
        <v>44.32</v>
      </c>
      <c r="G10" s="686">
        <v>35</v>
      </c>
      <c r="H10" s="738">
        <v>2</v>
      </c>
      <c r="I10" s="739">
        <v>47.25</v>
      </c>
      <c r="J10" s="689">
        <v>27</v>
      </c>
      <c r="K10" s="731">
        <v>23.62</v>
      </c>
      <c r="L10" s="730">
        <v>11</v>
      </c>
      <c r="M10" s="730">
        <v>99</v>
      </c>
      <c r="N10" s="732">
        <v>32.9</v>
      </c>
      <c r="O10" s="730" t="s">
        <v>2884</v>
      </c>
      <c r="P10" s="733" t="s">
        <v>2895</v>
      </c>
      <c r="Q10" s="734">
        <f t="shared" si="0"/>
        <v>2</v>
      </c>
      <c r="R10" s="734">
        <f t="shared" si="0"/>
        <v>47.25</v>
      </c>
      <c r="S10" s="735">
        <f t="shared" si="1"/>
        <v>65.8</v>
      </c>
      <c r="T10" s="735">
        <f t="shared" si="2"/>
        <v>54</v>
      </c>
      <c r="U10" s="735">
        <f t="shared" si="3"/>
        <v>-11.799999999999997</v>
      </c>
      <c r="V10" s="736">
        <f t="shared" si="4"/>
        <v>0.8206686930091186</v>
      </c>
      <c r="W10" s="687"/>
    </row>
    <row r="11" spans="1:23" ht="14.4" customHeight="1" x14ac:dyDescent="0.3">
      <c r="A11" s="741" t="s">
        <v>2896</v>
      </c>
      <c r="B11" s="690">
        <v>4</v>
      </c>
      <c r="C11" s="691">
        <v>54.13</v>
      </c>
      <c r="D11" s="692">
        <v>18</v>
      </c>
      <c r="E11" s="693">
        <v>2</v>
      </c>
      <c r="F11" s="672">
        <v>26.14</v>
      </c>
      <c r="G11" s="673">
        <v>26.5</v>
      </c>
      <c r="H11" s="674">
        <v>5</v>
      </c>
      <c r="I11" s="675">
        <v>63.27</v>
      </c>
      <c r="J11" s="688">
        <v>17.399999999999999</v>
      </c>
      <c r="K11" s="677">
        <v>13.53</v>
      </c>
      <c r="L11" s="678">
        <v>8</v>
      </c>
      <c r="M11" s="678">
        <v>70</v>
      </c>
      <c r="N11" s="679">
        <v>23.48</v>
      </c>
      <c r="O11" s="678" t="s">
        <v>2884</v>
      </c>
      <c r="P11" s="694" t="s">
        <v>2897</v>
      </c>
      <c r="Q11" s="680">
        <f t="shared" si="0"/>
        <v>1</v>
      </c>
      <c r="R11" s="680">
        <f t="shared" si="0"/>
        <v>9.14</v>
      </c>
      <c r="S11" s="690">
        <f t="shared" si="1"/>
        <v>117.4</v>
      </c>
      <c r="T11" s="690">
        <f t="shared" si="2"/>
        <v>87</v>
      </c>
      <c r="U11" s="690">
        <f t="shared" si="3"/>
        <v>-30.400000000000006</v>
      </c>
      <c r="V11" s="695">
        <f t="shared" si="4"/>
        <v>0.74105621805792155</v>
      </c>
      <c r="W11" s="681">
        <v>13</v>
      </c>
    </row>
    <row r="12" spans="1:23" ht="14.4" customHeight="1" x14ac:dyDescent="0.3">
      <c r="A12" s="741" t="s">
        <v>2898</v>
      </c>
      <c r="B12" s="682">
        <v>1</v>
      </c>
      <c r="C12" s="683">
        <v>3.3</v>
      </c>
      <c r="D12" s="684">
        <v>3</v>
      </c>
      <c r="E12" s="693"/>
      <c r="F12" s="672"/>
      <c r="G12" s="673"/>
      <c r="H12" s="678"/>
      <c r="I12" s="672"/>
      <c r="J12" s="673"/>
      <c r="K12" s="677">
        <v>4.24</v>
      </c>
      <c r="L12" s="678">
        <v>4</v>
      </c>
      <c r="M12" s="678">
        <v>40</v>
      </c>
      <c r="N12" s="679">
        <v>13.44</v>
      </c>
      <c r="O12" s="678" t="s">
        <v>2884</v>
      </c>
      <c r="P12" s="694" t="s">
        <v>2899</v>
      </c>
      <c r="Q12" s="680">
        <f t="shared" si="0"/>
        <v>-1</v>
      </c>
      <c r="R12" s="680">
        <f t="shared" si="0"/>
        <v>-3.3</v>
      </c>
      <c r="S12" s="690" t="str">
        <f t="shared" si="1"/>
        <v/>
      </c>
      <c r="T12" s="690" t="str">
        <f t="shared" si="2"/>
        <v/>
      </c>
      <c r="U12" s="690" t="str">
        <f t="shared" si="3"/>
        <v/>
      </c>
      <c r="V12" s="695" t="str">
        <f t="shared" si="4"/>
        <v/>
      </c>
      <c r="W12" s="681"/>
    </row>
    <row r="13" spans="1:23" ht="14.4" customHeight="1" x14ac:dyDescent="0.3">
      <c r="A13" s="741" t="s">
        <v>2900</v>
      </c>
      <c r="B13" s="682">
        <v>1</v>
      </c>
      <c r="C13" s="683">
        <v>1.36</v>
      </c>
      <c r="D13" s="684">
        <v>3</v>
      </c>
      <c r="E13" s="693"/>
      <c r="F13" s="672"/>
      <c r="G13" s="673"/>
      <c r="H13" s="678"/>
      <c r="I13" s="672"/>
      <c r="J13" s="673"/>
      <c r="K13" s="677">
        <v>1.53</v>
      </c>
      <c r="L13" s="678">
        <v>5</v>
      </c>
      <c r="M13" s="678">
        <v>44</v>
      </c>
      <c r="N13" s="679">
        <v>14.57</v>
      </c>
      <c r="O13" s="678" t="s">
        <v>2884</v>
      </c>
      <c r="P13" s="694" t="s">
        <v>2901</v>
      </c>
      <c r="Q13" s="680">
        <f t="shared" si="0"/>
        <v>-1</v>
      </c>
      <c r="R13" s="680">
        <f t="shared" si="0"/>
        <v>-1.36</v>
      </c>
      <c r="S13" s="690" t="str">
        <f t="shared" si="1"/>
        <v/>
      </c>
      <c r="T13" s="690" t="str">
        <f t="shared" si="2"/>
        <v/>
      </c>
      <c r="U13" s="690" t="str">
        <f t="shared" si="3"/>
        <v/>
      </c>
      <c r="V13" s="695" t="str">
        <f t="shared" si="4"/>
        <v/>
      </c>
      <c r="W13" s="681"/>
    </row>
    <row r="14" spans="1:23" ht="14.4" customHeight="1" x14ac:dyDescent="0.3">
      <c r="A14" s="741" t="s">
        <v>2902</v>
      </c>
      <c r="B14" s="690"/>
      <c r="C14" s="691"/>
      <c r="D14" s="692"/>
      <c r="E14" s="693"/>
      <c r="F14" s="672"/>
      <c r="G14" s="673"/>
      <c r="H14" s="674">
        <v>1</v>
      </c>
      <c r="I14" s="675">
        <v>1.48</v>
      </c>
      <c r="J14" s="688">
        <v>3</v>
      </c>
      <c r="K14" s="677">
        <v>2.39</v>
      </c>
      <c r="L14" s="678">
        <v>5</v>
      </c>
      <c r="M14" s="678">
        <v>42</v>
      </c>
      <c r="N14" s="679">
        <v>13.9</v>
      </c>
      <c r="O14" s="678" t="s">
        <v>2884</v>
      </c>
      <c r="P14" s="694" t="s">
        <v>2903</v>
      </c>
      <c r="Q14" s="680">
        <f t="shared" si="0"/>
        <v>1</v>
      </c>
      <c r="R14" s="680">
        <f t="shared" si="0"/>
        <v>1.48</v>
      </c>
      <c r="S14" s="690">
        <f t="shared" si="1"/>
        <v>13.9</v>
      </c>
      <c r="T14" s="690">
        <f t="shared" si="2"/>
        <v>3</v>
      </c>
      <c r="U14" s="690">
        <f t="shared" si="3"/>
        <v>-10.9</v>
      </c>
      <c r="V14" s="695">
        <f t="shared" si="4"/>
        <v>0.21582733812949639</v>
      </c>
      <c r="W14" s="681"/>
    </row>
    <row r="15" spans="1:23" ht="14.4" customHeight="1" x14ac:dyDescent="0.3">
      <c r="A15" s="741" t="s">
        <v>2904</v>
      </c>
      <c r="B15" s="682">
        <v>1</v>
      </c>
      <c r="C15" s="683">
        <v>0.56000000000000005</v>
      </c>
      <c r="D15" s="684">
        <v>5</v>
      </c>
      <c r="E15" s="693"/>
      <c r="F15" s="672"/>
      <c r="G15" s="673"/>
      <c r="H15" s="678"/>
      <c r="I15" s="672"/>
      <c r="J15" s="673"/>
      <c r="K15" s="677">
        <v>0.45</v>
      </c>
      <c r="L15" s="678">
        <v>2</v>
      </c>
      <c r="M15" s="678">
        <v>19</v>
      </c>
      <c r="N15" s="679">
        <v>6.38</v>
      </c>
      <c r="O15" s="678" t="s">
        <v>2884</v>
      </c>
      <c r="P15" s="694" t="s">
        <v>2905</v>
      </c>
      <c r="Q15" s="680">
        <f t="shared" si="0"/>
        <v>-1</v>
      </c>
      <c r="R15" s="680">
        <f t="shared" si="0"/>
        <v>-0.56000000000000005</v>
      </c>
      <c r="S15" s="690" t="str">
        <f t="shared" si="1"/>
        <v/>
      </c>
      <c r="T15" s="690" t="str">
        <f t="shared" si="2"/>
        <v/>
      </c>
      <c r="U15" s="690" t="str">
        <f t="shared" si="3"/>
        <v/>
      </c>
      <c r="V15" s="695" t="str">
        <f t="shared" si="4"/>
        <v/>
      </c>
      <c r="W15" s="681"/>
    </row>
    <row r="16" spans="1:23" ht="14.4" customHeight="1" x14ac:dyDescent="0.3">
      <c r="A16" s="741" t="s">
        <v>2906</v>
      </c>
      <c r="B16" s="690"/>
      <c r="C16" s="691"/>
      <c r="D16" s="692"/>
      <c r="E16" s="693"/>
      <c r="F16" s="672"/>
      <c r="G16" s="673"/>
      <c r="H16" s="674">
        <v>1</v>
      </c>
      <c r="I16" s="675">
        <v>1.4</v>
      </c>
      <c r="J16" s="688">
        <v>3</v>
      </c>
      <c r="K16" s="677">
        <v>1.84</v>
      </c>
      <c r="L16" s="678">
        <v>4</v>
      </c>
      <c r="M16" s="678">
        <v>32</v>
      </c>
      <c r="N16" s="679">
        <v>10.8</v>
      </c>
      <c r="O16" s="678" t="s">
        <v>2884</v>
      </c>
      <c r="P16" s="694" t="s">
        <v>2907</v>
      </c>
      <c r="Q16" s="680">
        <f t="shared" si="0"/>
        <v>1</v>
      </c>
      <c r="R16" s="680">
        <f t="shared" si="0"/>
        <v>1.4</v>
      </c>
      <c r="S16" s="690">
        <f t="shared" si="1"/>
        <v>10.8</v>
      </c>
      <c r="T16" s="690">
        <f t="shared" si="2"/>
        <v>3</v>
      </c>
      <c r="U16" s="690">
        <f t="shared" si="3"/>
        <v>-7.8000000000000007</v>
      </c>
      <c r="V16" s="695">
        <f t="shared" si="4"/>
        <v>0.27777777777777773</v>
      </c>
      <c r="W16" s="681"/>
    </row>
    <row r="17" spans="1:23" ht="14.4" customHeight="1" x14ac:dyDescent="0.3">
      <c r="A17" s="741" t="s">
        <v>2908</v>
      </c>
      <c r="B17" s="690"/>
      <c r="C17" s="691"/>
      <c r="D17" s="692"/>
      <c r="E17" s="693"/>
      <c r="F17" s="672"/>
      <c r="G17" s="673"/>
      <c r="H17" s="674">
        <v>2</v>
      </c>
      <c r="I17" s="675">
        <v>1.17</v>
      </c>
      <c r="J17" s="676">
        <v>3</v>
      </c>
      <c r="K17" s="677">
        <v>0.45</v>
      </c>
      <c r="L17" s="678">
        <v>1</v>
      </c>
      <c r="M17" s="678">
        <v>8</v>
      </c>
      <c r="N17" s="679">
        <v>2.5299999999999998</v>
      </c>
      <c r="O17" s="678" t="s">
        <v>2884</v>
      </c>
      <c r="P17" s="694" t="s">
        <v>2909</v>
      </c>
      <c r="Q17" s="680">
        <f t="shared" si="0"/>
        <v>2</v>
      </c>
      <c r="R17" s="680">
        <f t="shared" si="0"/>
        <v>1.17</v>
      </c>
      <c r="S17" s="690">
        <f t="shared" si="1"/>
        <v>5.0599999999999996</v>
      </c>
      <c r="T17" s="690">
        <f t="shared" si="2"/>
        <v>6</v>
      </c>
      <c r="U17" s="690">
        <f t="shared" si="3"/>
        <v>0.94000000000000039</v>
      </c>
      <c r="V17" s="695">
        <f t="shared" si="4"/>
        <v>1.1857707509881423</v>
      </c>
      <c r="W17" s="681">
        <v>1</v>
      </c>
    </row>
    <row r="18" spans="1:23" ht="14.4" customHeight="1" x14ac:dyDescent="0.3">
      <c r="A18" s="741" t="s">
        <v>2910</v>
      </c>
      <c r="B18" s="690"/>
      <c r="C18" s="691"/>
      <c r="D18" s="692"/>
      <c r="E18" s="693"/>
      <c r="F18" s="672"/>
      <c r="G18" s="673"/>
      <c r="H18" s="674">
        <v>3</v>
      </c>
      <c r="I18" s="675">
        <v>11.4</v>
      </c>
      <c r="J18" s="688">
        <v>2.2999999999999998</v>
      </c>
      <c r="K18" s="677">
        <v>4.5</v>
      </c>
      <c r="L18" s="678">
        <v>4</v>
      </c>
      <c r="M18" s="678">
        <v>35</v>
      </c>
      <c r="N18" s="679">
        <v>11.73</v>
      </c>
      <c r="O18" s="678" t="s">
        <v>2884</v>
      </c>
      <c r="P18" s="694" t="s">
        <v>2911</v>
      </c>
      <c r="Q18" s="680">
        <f t="shared" si="0"/>
        <v>3</v>
      </c>
      <c r="R18" s="680">
        <f t="shared" si="0"/>
        <v>11.4</v>
      </c>
      <c r="S18" s="690">
        <f t="shared" si="1"/>
        <v>35.19</v>
      </c>
      <c r="T18" s="690">
        <f t="shared" si="2"/>
        <v>6.8999999999999995</v>
      </c>
      <c r="U18" s="690">
        <f t="shared" si="3"/>
        <v>-28.29</v>
      </c>
      <c r="V18" s="695">
        <f t="shared" si="4"/>
        <v>0.19607843137254902</v>
      </c>
      <c r="W18" s="681"/>
    </row>
    <row r="19" spans="1:23" ht="14.4" customHeight="1" x14ac:dyDescent="0.3">
      <c r="A19" s="742" t="s">
        <v>2912</v>
      </c>
      <c r="B19" s="735"/>
      <c r="C19" s="737"/>
      <c r="D19" s="696"/>
      <c r="E19" s="728">
        <v>1</v>
      </c>
      <c r="F19" s="729">
        <v>3.16</v>
      </c>
      <c r="G19" s="686">
        <v>3</v>
      </c>
      <c r="H19" s="738"/>
      <c r="I19" s="739"/>
      <c r="J19" s="689"/>
      <c r="K19" s="731">
        <v>6.46</v>
      </c>
      <c r="L19" s="730">
        <v>4</v>
      </c>
      <c r="M19" s="730">
        <v>40</v>
      </c>
      <c r="N19" s="732">
        <v>13.41</v>
      </c>
      <c r="O19" s="730" t="s">
        <v>2884</v>
      </c>
      <c r="P19" s="733" t="s">
        <v>2913</v>
      </c>
      <c r="Q19" s="734">
        <f t="shared" si="0"/>
        <v>0</v>
      </c>
      <c r="R19" s="734">
        <f t="shared" si="0"/>
        <v>0</v>
      </c>
      <c r="S19" s="735" t="str">
        <f t="shared" si="1"/>
        <v/>
      </c>
      <c r="T19" s="735" t="str">
        <f t="shared" si="2"/>
        <v/>
      </c>
      <c r="U19" s="735" t="str">
        <f t="shared" si="3"/>
        <v/>
      </c>
      <c r="V19" s="736" t="str">
        <f t="shared" si="4"/>
        <v/>
      </c>
      <c r="W19" s="687"/>
    </row>
    <row r="20" spans="1:23" ht="14.4" customHeight="1" x14ac:dyDescent="0.3">
      <c r="A20" s="742" t="s">
        <v>2914</v>
      </c>
      <c r="B20" s="735">
        <v>1</v>
      </c>
      <c r="C20" s="737">
        <v>11.84</v>
      </c>
      <c r="D20" s="696">
        <v>4</v>
      </c>
      <c r="E20" s="728">
        <v>1</v>
      </c>
      <c r="F20" s="729">
        <v>2.86</v>
      </c>
      <c r="G20" s="686">
        <v>1</v>
      </c>
      <c r="H20" s="738">
        <v>1</v>
      </c>
      <c r="I20" s="739">
        <v>8.2799999999999994</v>
      </c>
      <c r="J20" s="689">
        <v>8</v>
      </c>
      <c r="K20" s="731">
        <v>8.2799999999999994</v>
      </c>
      <c r="L20" s="730">
        <v>6</v>
      </c>
      <c r="M20" s="730">
        <v>50</v>
      </c>
      <c r="N20" s="732">
        <v>16.739999999999998</v>
      </c>
      <c r="O20" s="730" t="s">
        <v>2884</v>
      </c>
      <c r="P20" s="733" t="s">
        <v>2915</v>
      </c>
      <c r="Q20" s="734">
        <f t="shared" si="0"/>
        <v>0</v>
      </c>
      <c r="R20" s="734">
        <f t="shared" si="0"/>
        <v>-3.5600000000000005</v>
      </c>
      <c r="S20" s="735">
        <f t="shared" si="1"/>
        <v>16.739999999999998</v>
      </c>
      <c r="T20" s="735">
        <f t="shared" si="2"/>
        <v>8</v>
      </c>
      <c r="U20" s="735">
        <f t="shared" si="3"/>
        <v>-8.7399999999999984</v>
      </c>
      <c r="V20" s="736">
        <f t="shared" si="4"/>
        <v>0.47789725209080053</v>
      </c>
      <c r="W20" s="687"/>
    </row>
    <row r="21" spans="1:23" ht="14.4" customHeight="1" x14ac:dyDescent="0.3">
      <c r="A21" s="741" t="s">
        <v>2916</v>
      </c>
      <c r="B21" s="690"/>
      <c r="C21" s="691"/>
      <c r="D21" s="692"/>
      <c r="E21" s="693"/>
      <c r="F21" s="672"/>
      <c r="G21" s="673"/>
      <c r="H21" s="674">
        <v>1</v>
      </c>
      <c r="I21" s="675">
        <v>5.21</v>
      </c>
      <c r="J21" s="688">
        <v>3</v>
      </c>
      <c r="K21" s="677">
        <v>5.21</v>
      </c>
      <c r="L21" s="678">
        <v>3</v>
      </c>
      <c r="M21" s="678">
        <v>25</v>
      </c>
      <c r="N21" s="679">
        <v>8.49</v>
      </c>
      <c r="O21" s="678" t="s">
        <v>2884</v>
      </c>
      <c r="P21" s="694" t="s">
        <v>2917</v>
      </c>
      <c r="Q21" s="680">
        <f t="shared" si="0"/>
        <v>1</v>
      </c>
      <c r="R21" s="680">
        <f t="shared" si="0"/>
        <v>5.21</v>
      </c>
      <c r="S21" s="690">
        <f t="shared" si="1"/>
        <v>8.49</v>
      </c>
      <c r="T21" s="690">
        <f t="shared" si="2"/>
        <v>3</v>
      </c>
      <c r="U21" s="690">
        <f t="shared" si="3"/>
        <v>-5.49</v>
      </c>
      <c r="V21" s="695">
        <f t="shared" si="4"/>
        <v>0.35335689045936397</v>
      </c>
      <c r="W21" s="681"/>
    </row>
    <row r="22" spans="1:23" ht="14.4" customHeight="1" x14ac:dyDescent="0.3">
      <c r="A22" s="741" t="s">
        <v>2918</v>
      </c>
      <c r="B22" s="690">
        <v>1</v>
      </c>
      <c r="C22" s="691">
        <v>1.91</v>
      </c>
      <c r="D22" s="692">
        <v>7</v>
      </c>
      <c r="E22" s="693">
        <v>1</v>
      </c>
      <c r="F22" s="672">
        <v>1.52</v>
      </c>
      <c r="G22" s="673">
        <v>2</v>
      </c>
      <c r="H22" s="674">
        <v>2</v>
      </c>
      <c r="I22" s="675">
        <v>3.34</v>
      </c>
      <c r="J22" s="688">
        <v>3.5</v>
      </c>
      <c r="K22" s="677">
        <v>1.91</v>
      </c>
      <c r="L22" s="678">
        <v>3</v>
      </c>
      <c r="M22" s="678">
        <v>24</v>
      </c>
      <c r="N22" s="679">
        <v>8.0399999999999991</v>
      </c>
      <c r="O22" s="678" t="s">
        <v>2884</v>
      </c>
      <c r="P22" s="694" t="s">
        <v>2919</v>
      </c>
      <c r="Q22" s="680">
        <f t="shared" si="0"/>
        <v>1</v>
      </c>
      <c r="R22" s="680">
        <f t="shared" si="0"/>
        <v>1.43</v>
      </c>
      <c r="S22" s="690">
        <f t="shared" si="1"/>
        <v>16.079999999999998</v>
      </c>
      <c r="T22" s="690">
        <f t="shared" si="2"/>
        <v>7</v>
      </c>
      <c r="U22" s="690">
        <f t="shared" si="3"/>
        <v>-9.0799999999999983</v>
      </c>
      <c r="V22" s="695">
        <f t="shared" si="4"/>
        <v>0.43532338308457719</v>
      </c>
      <c r="W22" s="681"/>
    </row>
    <row r="23" spans="1:23" ht="14.4" customHeight="1" x14ac:dyDescent="0.3">
      <c r="A23" s="742" t="s">
        <v>2920</v>
      </c>
      <c r="B23" s="735">
        <v>1</v>
      </c>
      <c r="C23" s="737">
        <v>1.87</v>
      </c>
      <c r="D23" s="696">
        <v>2</v>
      </c>
      <c r="E23" s="728">
        <v>2</v>
      </c>
      <c r="F23" s="729">
        <v>6.86</v>
      </c>
      <c r="G23" s="686">
        <v>7</v>
      </c>
      <c r="H23" s="738">
        <v>1</v>
      </c>
      <c r="I23" s="739">
        <v>2.99</v>
      </c>
      <c r="J23" s="689">
        <v>4</v>
      </c>
      <c r="K23" s="731">
        <v>3.55</v>
      </c>
      <c r="L23" s="730">
        <v>5</v>
      </c>
      <c r="M23" s="730">
        <v>41</v>
      </c>
      <c r="N23" s="732">
        <v>13.79</v>
      </c>
      <c r="O23" s="730" t="s">
        <v>2884</v>
      </c>
      <c r="P23" s="733" t="s">
        <v>2921</v>
      </c>
      <c r="Q23" s="734">
        <f t="shared" si="0"/>
        <v>0</v>
      </c>
      <c r="R23" s="734">
        <f t="shared" si="0"/>
        <v>1.1200000000000001</v>
      </c>
      <c r="S23" s="735">
        <f t="shared" si="1"/>
        <v>13.79</v>
      </c>
      <c r="T23" s="735">
        <f t="shared" si="2"/>
        <v>4</v>
      </c>
      <c r="U23" s="735">
        <f t="shared" si="3"/>
        <v>-9.7899999999999991</v>
      </c>
      <c r="V23" s="736">
        <f t="shared" si="4"/>
        <v>0.29006526468455407</v>
      </c>
      <c r="W23" s="687"/>
    </row>
    <row r="24" spans="1:23" ht="14.4" customHeight="1" x14ac:dyDescent="0.3">
      <c r="A24" s="741" t="s">
        <v>2922</v>
      </c>
      <c r="B24" s="682">
        <v>1</v>
      </c>
      <c r="C24" s="683">
        <v>1.8</v>
      </c>
      <c r="D24" s="684">
        <v>10</v>
      </c>
      <c r="E24" s="693"/>
      <c r="F24" s="672"/>
      <c r="G24" s="673"/>
      <c r="H24" s="678"/>
      <c r="I24" s="672"/>
      <c r="J24" s="673"/>
      <c r="K24" s="677">
        <v>1.8</v>
      </c>
      <c r="L24" s="678">
        <v>6</v>
      </c>
      <c r="M24" s="678">
        <v>54</v>
      </c>
      <c r="N24" s="679">
        <v>18.079999999999998</v>
      </c>
      <c r="O24" s="678" t="s">
        <v>2884</v>
      </c>
      <c r="P24" s="694" t="s">
        <v>2923</v>
      </c>
      <c r="Q24" s="680">
        <f t="shared" si="0"/>
        <v>-1</v>
      </c>
      <c r="R24" s="680">
        <f t="shared" si="0"/>
        <v>-1.8</v>
      </c>
      <c r="S24" s="690" t="str">
        <f t="shared" si="1"/>
        <v/>
      </c>
      <c r="T24" s="690" t="str">
        <f t="shared" si="2"/>
        <v/>
      </c>
      <c r="U24" s="690" t="str">
        <f t="shared" si="3"/>
        <v/>
      </c>
      <c r="V24" s="695" t="str">
        <f t="shared" si="4"/>
        <v/>
      </c>
      <c r="W24" s="681"/>
    </row>
    <row r="25" spans="1:23" ht="14.4" customHeight="1" x14ac:dyDescent="0.3">
      <c r="A25" s="741" t="s">
        <v>2924</v>
      </c>
      <c r="B25" s="690"/>
      <c r="C25" s="691"/>
      <c r="D25" s="692"/>
      <c r="E25" s="693"/>
      <c r="F25" s="672"/>
      <c r="G25" s="673"/>
      <c r="H25" s="674">
        <v>1</v>
      </c>
      <c r="I25" s="675">
        <v>3.4</v>
      </c>
      <c r="J25" s="676">
        <v>15</v>
      </c>
      <c r="K25" s="677">
        <v>3.4</v>
      </c>
      <c r="L25" s="678">
        <v>2</v>
      </c>
      <c r="M25" s="678">
        <v>20</v>
      </c>
      <c r="N25" s="679">
        <v>6.72</v>
      </c>
      <c r="O25" s="678" t="s">
        <v>2884</v>
      </c>
      <c r="P25" s="694" t="s">
        <v>2925</v>
      </c>
      <c r="Q25" s="680">
        <f t="shared" si="0"/>
        <v>1</v>
      </c>
      <c r="R25" s="680">
        <f t="shared" si="0"/>
        <v>3.4</v>
      </c>
      <c r="S25" s="690">
        <f t="shared" si="1"/>
        <v>6.72</v>
      </c>
      <c r="T25" s="690">
        <f t="shared" si="2"/>
        <v>15</v>
      </c>
      <c r="U25" s="690">
        <f t="shared" si="3"/>
        <v>8.2800000000000011</v>
      </c>
      <c r="V25" s="695">
        <f t="shared" si="4"/>
        <v>2.2321428571428572</v>
      </c>
      <c r="W25" s="681">
        <v>8</v>
      </c>
    </row>
    <row r="26" spans="1:23" ht="14.4" customHeight="1" x14ac:dyDescent="0.3">
      <c r="A26" s="741" t="s">
        <v>2926</v>
      </c>
      <c r="B26" s="690">
        <v>3</v>
      </c>
      <c r="C26" s="691">
        <v>17.59</v>
      </c>
      <c r="D26" s="692">
        <v>10.3</v>
      </c>
      <c r="E26" s="693">
        <v>3</v>
      </c>
      <c r="F26" s="672">
        <v>17.760000000000002</v>
      </c>
      <c r="G26" s="673">
        <v>17</v>
      </c>
      <c r="H26" s="674">
        <v>3</v>
      </c>
      <c r="I26" s="675">
        <v>15.71</v>
      </c>
      <c r="J26" s="688">
        <v>15.3</v>
      </c>
      <c r="K26" s="677">
        <v>5.86</v>
      </c>
      <c r="L26" s="678">
        <v>8</v>
      </c>
      <c r="M26" s="678">
        <v>68</v>
      </c>
      <c r="N26" s="679">
        <v>22.56</v>
      </c>
      <c r="O26" s="678" t="s">
        <v>2884</v>
      </c>
      <c r="P26" s="694" t="s">
        <v>2927</v>
      </c>
      <c r="Q26" s="680">
        <f t="shared" si="0"/>
        <v>0</v>
      </c>
      <c r="R26" s="680">
        <f t="shared" si="0"/>
        <v>-1.879999999999999</v>
      </c>
      <c r="S26" s="690">
        <f t="shared" si="1"/>
        <v>67.679999999999993</v>
      </c>
      <c r="T26" s="690">
        <f t="shared" si="2"/>
        <v>45.900000000000006</v>
      </c>
      <c r="U26" s="690">
        <f t="shared" si="3"/>
        <v>-21.779999999999987</v>
      </c>
      <c r="V26" s="695">
        <f t="shared" si="4"/>
        <v>0.67819148936170226</v>
      </c>
      <c r="W26" s="681">
        <v>11</v>
      </c>
    </row>
    <row r="27" spans="1:23" ht="14.4" customHeight="1" x14ac:dyDescent="0.3">
      <c r="A27" s="741" t="s">
        <v>2928</v>
      </c>
      <c r="B27" s="690"/>
      <c r="C27" s="691"/>
      <c r="D27" s="692"/>
      <c r="E27" s="693">
        <v>1</v>
      </c>
      <c r="F27" s="672">
        <v>2.66</v>
      </c>
      <c r="G27" s="673">
        <v>3</v>
      </c>
      <c r="H27" s="674"/>
      <c r="I27" s="675"/>
      <c r="J27" s="688"/>
      <c r="K27" s="677">
        <v>4.3600000000000003</v>
      </c>
      <c r="L27" s="678">
        <v>5</v>
      </c>
      <c r="M27" s="678">
        <v>49</v>
      </c>
      <c r="N27" s="679">
        <v>16.309999999999999</v>
      </c>
      <c r="O27" s="678" t="s">
        <v>2884</v>
      </c>
      <c r="P27" s="694" t="s">
        <v>2929</v>
      </c>
      <c r="Q27" s="680">
        <f t="shared" si="0"/>
        <v>0</v>
      </c>
      <c r="R27" s="680">
        <f t="shared" si="0"/>
        <v>0</v>
      </c>
      <c r="S27" s="690" t="str">
        <f t="shared" si="1"/>
        <v/>
      </c>
      <c r="T27" s="690" t="str">
        <f t="shared" si="2"/>
        <v/>
      </c>
      <c r="U27" s="690" t="str">
        <f t="shared" si="3"/>
        <v/>
      </c>
      <c r="V27" s="695" t="str">
        <f t="shared" si="4"/>
        <v/>
      </c>
      <c r="W27" s="681"/>
    </row>
    <row r="28" spans="1:23" ht="14.4" customHeight="1" x14ac:dyDescent="0.3">
      <c r="A28" s="742" t="s">
        <v>2930</v>
      </c>
      <c r="B28" s="735">
        <v>1</v>
      </c>
      <c r="C28" s="737">
        <v>4.2</v>
      </c>
      <c r="D28" s="696">
        <v>2</v>
      </c>
      <c r="E28" s="728"/>
      <c r="F28" s="729"/>
      <c r="G28" s="686"/>
      <c r="H28" s="738">
        <v>2</v>
      </c>
      <c r="I28" s="739">
        <v>11.21</v>
      </c>
      <c r="J28" s="689">
        <v>8.5</v>
      </c>
      <c r="K28" s="731">
        <v>4.45</v>
      </c>
      <c r="L28" s="730">
        <v>5</v>
      </c>
      <c r="M28" s="730">
        <v>47</v>
      </c>
      <c r="N28" s="732">
        <v>15.81</v>
      </c>
      <c r="O28" s="730" t="s">
        <v>2884</v>
      </c>
      <c r="P28" s="733" t="s">
        <v>2931</v>
      </c>
      <c r="Q28" s="734">
        <f t="shared" si="0"/>
        <v>1</v>
      </c>
      <c r="R28" s="734">
        <f t="shared" si="0"/>
        <v>7.0100000000000007</v>
      </c>
      <c r="S28" s="735">
        <f t="shared" si="1"/>
        <v>31.62</v>
      </c>
      <c r="T28" s="735">
        <f t="shared" si="2"/>
        <v>17</v>
      </c>
      <c r="U28" s="735">
        <f t="shared" si="3"/>
        <v>-14.620000000000001</v>
      </c>
      <c r="V28" s="736">
        <f t="shared" si="4"/>
        <v>0.5376344086021505</v>
      </c>
      <c r="W28" s="687"/>
    </row>
    <row r="29" spans="1:23" ht="14.4" customHeight="1" x14ac:dyDescent="0.3">
      <c r="A29" s="741" t="s">
        <v>2932</v>
      </c>
      <c r="B29" s="690"/>
      <c r="C29" s="691"/>
      <c r="D29" s="692"/>
      <c r="E29" s="674">
        <v>1</v>
      </c>
      <c r="F29" s="675">
        <v>5.4</v>
      </c>
      <c r="G29" s="688">
        <v>2</v>
      </c>
      <c r="H29" s="678"/>
      <c r="I29" s="672"/>
      <c r="J29" s="673"/>
      <c r="K29" s="677">
        <v>2.1800000000000002</v>
      </c>
      <c r="L29" s="678">
        <v>4</v>
      </c>
      <c r="M29" s="678">
        <v>38</v>
      </c>
      <c r="N29" s="679">
        <v>12.7</v>
      </c>
      <c r="O29" s="678" t="s">
        <v>2884</v>
      </c>
      <c r="P29" s="694" t="s">
        <v>2933</v>
      </c>
      <c r="Q29" s="680">
        <f t="shared" si="0"/>
        <v>0</v>
      </c>
      <c r="R29" s="680">
        <f t="shared" si="0"/>
        <v>0</v>
      </c>
      <c r="S29" s="690" t="str">
        <f t="shared" si="1"/>
        <v/>
      </c>
      <c r="T29" s="690" t="str">
        <f t="shared" si="2"/>
        <v/>
      </c>
      <c r="U29" s="690" t="str">
        <f t="shared" si="3"/>
        <v/>
      </c>
      <c r="V29" s="695" t="str">
        <f t="shared" si="4"/>
        <v/>
      </c>
      <c r="W29" s="681"/>
    </row>
    <row r="30" spans="1:23" ht="14.4" customHeight="1" x14ac:dyDescent="0.3">
      <c r="A30" s="741" t="s">
        <v>2934</v>
      </c>
      <c r="B30" s="690"/>
      <c r="C30" s="691"/>
      <c r="D30" s="692"/>
      <c r="E30" s="693"/>
      <c r="F30" s="672"/>
      <c r="G30" s="673"/>
      <c r="H30" s="674">
        <v>1</v>
      </c>
      <c r="I30" s="675">
        <v>5.79</v>
      </c>
      <c r="J30" s="688">
        <v>4</v>
      </c>
      <c r="K30" s="677">
        <v>2.65</v>
      </c>
      <c r="L30" s="678">
        <v>5</v>
      </c>
      <c r="M30" s="678">
        <v>41</v>
      </c>
      <c r="N30" s="679">
        <v>13.51</v>
      </c>
      <c r="O30" s="678" t="s">
        <v>2884</v>
      </c>
      <c r="P30" s="694" t="s">
        <v>2935</v>
      </c>
      <c r="Q30" s="680">
        <f t="shared" si="0"/>
        <v>1</v>
      </c>
      <c r="R30" s="680">
        <f t="shared" si="0"/>
        <v>5.79</v>
      </c>
      <c r="S30" s="690">
        <f t="shared" si="1"/>
        <v>13.51</v>
      </c>
      <c r="T30" s="690">
        <f t="shared" si="2"/>
        <v>4</v>
      </c>
      <c r="U30" s="690">
        <f t="shared" si="3"/>
        <v>-9.51</v>
      </c>
      <c r="V30" s="695">
        <f t="shared" si="4"/>
        <v>0.29607698001480387</v>
      </c>
      <c r="W30" s="681"/>
    </row>
    <row r="31" spans="1:23" ht="14.4" customHeight="1" x14ac:dyDescent="0.3">
      <c r="A31" s="741" t="s">
        <v>2936</v>
      </c>
      <c r="B31" s="682">
        <v>1</v>
      </c>
      <c r="C31" s="683">
        <v>2.08</v>
      </c>
      <c r="D31" s="684">
        <v>1</v>
      </c>
      <c r="E31" s="693"/>
      <c r="F31" s="672"/>
      <c r="G31" s="673"/>
      <c r="H31" s="678"/>
      <c r="I31" s="672"/>
      <c r="J31" s="673"/>
      <c r="K31" s="677">
        <v>0.95</v>
      </c>
      <c r="L31" s="678">
        <v>3</v>
      </c>
      <c r="M31" s="678">
        <v>26</v>
      </c>
      <c r="N31" s="679">
        <v>8.59</v>
      </c>
      <c r="O31" s="678" t="s">
        <v>2884</v>
      </c>
      <c r="P31" s="694" t="s">
        <v>2937</v>
      </c>
      <c r="Q31" s="680">
        <f t="shared" si="0"/>
        <v>-1</v>
      </c>
      <c r="R31" s="680">
        <f t="shared" si="0"/>
        <v>-2.08</v>
      </c>
      <c r="S31" s="690" t="str">
        <f t="shared" si="1"/>
        <v/>
      </c>
      <c r="T31" s="690" t="str">
        <f t="shared" si="2"/>
        <v/>
      </c>
      <c r="U31" s="690" t="str">
        <f t="shared" si="3"/>
        <v/>
      </c>
      <c r="V31" s="695" t="str">
        <f t="shared" si="4"/>
        <v/>
      </c>
      <c r="W31" s="681"/>
    </row>
    <row r="32" spans="1:23" ht="14.4" customHeight="1" x14ac:dyDescent="0.3">
      <c r="A32" s="741" t="s">
        <v>2938</v>
      </c>
      <c r="B32" s="690"/>
      <c r="C32" s="691"/>
      <c r="D32" s="692"/>
      <c r="E32" s="693"/>
      <c r="F32" s="672"/>
      <c r="G32" s="673"/>
      <c r="H32" s="674">
        <v>1</v>
      </c>
      <c r="I32" s="675">
        <v>0.56999999999999995</v>
      </c>
      <c r="J32" s="688">
        <v>4</v>
      </c>
      <c r="K32" s="677">
        <v>0.56999999999999995</v>
      </c>
      <c r="L32" s="678">
        <v>3</v>
      </c>
      <c r="M32" s="678">
        <v>23</v>
      </c>
      <c r="N32" s="679">
        <v>7.56</v>
      </c>
      <c r="O32" s="678" t="s">
        <v>2884</v>
      </c>
      <c r="P32" s="694" t="s">
        <v>2939</v>
      </c>
      <c r="Q32" s="680">
        <f t="shared" si="0"/>
        <v>1</v>
      </c>
      <c r="R32" s="680">
        <f t="shared" si="0"/>
        <v>0.56999999999999995</v>
      </c>
      <c r="S32" s="690">
        <f t="shared" si="1"/>
        <v>7.56</v>
      </c>
      <c r="T32" s="690">
        <f t="shared" si="2"/>
        <v>4</v>
      </c>
      <c r="U32" s="690">
        <f t="shared" si="3"/>
        <v>-3.5599999999999996</v>
      </c>
      <c r="V32" s="695">
        <f t="shared" si="4"/>
        <v>0.52910052910052918</v>
      </c>
      <c r="W32" s="681"/>
    </row>
    <row r="33" spans="1:23" ht="14.4" customHeight="1" x14ac:dyDescent="0.3">
      <c r="A33" s="741" t="s">
        <v>2940</v>
      </c>
      <c r="B33" s="690">
        <v>1</v>
      </c>
      <c r="C33" s="691">
        <v>2.1</v>
      </c>
      <c r="D33" s="692">
        <v>10</v>
      </c>
      <c r="E33" s="693"/>
      <c r="F33" s="672"/>
      <c r="G33" s="673"/>
      <c r="H33" s="674">
        <v>1</v>
      </c>
      <c r="I33" s="675">
        <v>2.1</v>
      </c>
      <c r="J33" s="688">
        <v>5</v>
      </c>
      <c r="K33" s="677">
        <v>2.1</v>
      </c>
      <c r="L33" s="678">
        <v>4</v>
      </c>
      <c r="M33" s="678">
        <v>40</v>
      </c>
      <c r="N33" s="679">
        <v>13.21</v>
      </c>
      <c r="O33" s="678" t="s">
        <v>2884</v>
      </c>
      <c r="P33" s="694" t="s">
        <v>2941</v>
      </c>
      <c r="Q33" s="680">
        <f t="shared" si="0"/>
        <v>0</v>
      </c>
      <c r="R33" s="680">
        <f t="shared" si="0"/>
        <v>0</v>
      </c>
      <c r="S33" s="690">
        <f t="shared" si="1"/>
        <v>13.21</v>
      </c>
      <c r="T33" s="690">
        <f t="shared" si="2"/>
        <v>5</v>
      </c>
      <c r="U33" s="690">
        <f t="shared" si="3"/>
        <v>-8.2100000000000009</v>
      </c>
      <c r="V33" s="695">
        <f t="shared" si="4"/>
        <v>0.37850113550340647</v>
      </c>
      <c r="W33" s="681"/>
    </row>
    <row r="34" spans="1:23" ht="14.4" customHeight="1" x14ac:dyDescent="0.3">
      <c r="A34" s="741" t="s">
        <v>2942</v>
      </c>
      <c r="B34" s="690"/>
      <c r="C34" s="691"/>
      <c r="D34" s="692"/>
      <c r="E34" s="674">
        <v>1</v>
      </c>
      <c r="F34" s="675">
        <v>1.94</v>
      </c>
      <c r="G34" s="688">
        <v>3</v>
      </c>
      <c r="H34" s="678"/>
      <c r="I34" s="672"/>
      <c r="J34" s="673"/>
      <c r="K34" s="677">
        <v>1</v>
      </c>
      <c r="L34" s="678">
        <v>4</v>
      </c>
      <c r="M34" s="678">
        <v>36</v>
      </c>
      <c r="N34" s="679">
        <v>11.93</v>
      </c>
      <c r="O34" s="678" t="s">
        <v>2884</v>
      </c>
      <c r="P34" s="694" t="s">
        <v>2943</v>
      </c>
      <c r="Q34" s="680">
        <f t="shared" si="0"/>
        <v>0</v>
      </c>
      <c r="R34" s="680">
        <f t="shared" si="0"/>
        <v>0</v>
      </c>
      <c r="S34" s="690" t="str">
        <f t="shared" si="1"/>
        <v/>
      </c>
      <c r="T34" s="690" t="str">
        <f t="shared" si="2"/>
        <v/>
      </c>
      <c r="U34" s="690" t="str">
        <f t="shared" si="3"/>
        <v/>
      </c>
      <c r="V34" s="695" t="str">
        <f t="shared" si="4"/>
        <v/>
      </c>
      <c r="W34" s="681"/>
    </row>
    <row r="35" spans="1:23" ht="14.4" customHeight="1" x14ac:dyDescent="0.3">
      <c r="A35" s="741" t="s">
        <v>2944</v>
      </c>
      <c r="B35" s="690"/>
      <c r="C35" s="691"/>
      <c r="D35" s="692"/>
      <c r="E35" s="693"/>
      <c r="F35" s="672"/>
      <c r="G35" s="673"/>
      <c r="H35" s="674">
        <v>1</v>
      </c>
      <c r="I35" s="675">
        <v>2.3199999999999998</v>
      </c>
      <c r="J35" s="688">
        <v>4</v>
      </c>
      <c r="K35" s="677">
        <v>2.0299999999999998</v>
      </c>
      <c r="L35" s="678">
        <v>4</v>
      </c>
      <c r="M35" s="678">
        <v>35</v>
      </c>
      <c r="N35" s="679">
        <v>11.7</v>
      </c>
      <c r="O35" s="678" t="s">
        <v>2884</v>
      </c>
      <c r="P35" s="694" t="s">
        <v>2945</v>
      </c>
      <c r="Q35" s="680">
        <f t="shared" si="0"/>
        <v>1</v>
      </c>
      <c r="R35" s="680">
        <f t="shared" si="0"/>
        <v>2.3199999999999998</v>
      </c>
      <c r="S35" s="690">
        <f t="shared" si="1"/>
        <v>11.7</v>
      </c>
      <c r="T35" s="690">
        <f t="shared" si="2"/>
        <v>4</v>
      </c>
      <c r="U35" s="690">
        <f t="shared" si="3"/>
        <v>-7.6999999999999993</v>
      </c>
      <c r="V35" s="695">
        <f t="shared" si="4"/>
        <v>0.34188034188034189</v>
      </c>
      <c r="W35" s="681"/>
    </row>
    <row r="36" spans="1:23" ht="14.4" customHeight="1" x14ac:dyDescent="0.3">
      <c r="A36" s="741" t="s">
        <v>2946</v>
      </c>
      <c r="B36" s="690"/>
      <c r="C36" s="691"/>
      <c r="D36" s="692"/>
      <c r="E36" s="693"/>
      <c r="F36" s="672"/>
      <c r="G36" s="673"/>
      <c r="H36" s="674">
        <v>1</v>
      </c>
      <c r="I36" s="675">
        <v>1.08</v>
      </c>
      <c r="J36" s="688">
        <v>3</v>
      </c>
      <c r="K36" s="677">
        <v>0.63</v>
      </c>
      <c r="L36" s="678">
        <v>3</v>
      </c>
      <c r="M36" s="678">
        <v>26</v>
      </c>
      <c r="N36" s="679">
        <v>8.7200000000000006</v>
      </c>
      <c r="O36" s="678" t="s">
        <v>2884</v>
      </c>
      <c r="P36" s="694" t="s">
        <v>2947</v>
      </c>
      <c r="Q36" s="680">
        <f t="shared" si="0"/>
        <v>1</v>
      </c>
      <c r="R36" s="680">
        <f t="shared" si="0"/>
        <v>1.08</v>
      </c>
      <c r="S36" s="690">
        <f t="shared" si="1"/>
        <v>8.7200000000000006</v>
      </c>
      <c r="T36" s="690">
        <f t="shared" si="2"/>
        <v>3</v>
      </c>
      <c r="U36" s="690">
        <f t="shared" si="3"/>
        <v>-5.7200000000000006</v>
      </c>
      <c r="V36" s="695">
        <f t="shared" si="4"/>
        <v>0.34403669724770641</v>
      </c>
      <c r="W36" s="681"/>
    </row>
    <row r="37" spans="1:23" ht="14.4" customHeight="1" x14ac:dyDescent="0.3">
      <c r="A37" s="741" t="s">
        <v>2948</v>
      </c>
      <c r="B37" s="690"/>
      <c r="C37" s="691"/>
      <c r="D37" s="692"/>
      <c r="E37" s="674">
        <v>1</v>
      </c>
      <c r="F37" s="675">
        <v>0.56999999999999995</v>
      </c>
      <c r="G37" s="688">
        <v>4</v>
      </c>
      <c r="H37" s="678"/>
      <c r="I37" s="672"/>
      <c r="J37" s="673"/>
      <c r="K37" s="677">
        <v>0.65</v>
      </c>
      <c r="L37" s="678">
        <v>3</v>
      </c>
      <c r="M37" s="678">
        <v>26</v>
      </c>
      <c r="N37" s="679">
        <v>8.64</v>
      </c>
      <c r="O37" s="678" t="s">
        <v>2884</v>
      </c>
      <c r="P37" s="694" t="s">
        <v>2949</v>
      </c>
      <c r="Q37" s="680">
        <f t="shared" si="0"/>
        <v>0</v>
      </c>
      <c r="R37" s="680">
        <f t="shared" si="0"/>
        <v>0</v>
      </c>
      <c r="S37" s="690" t="str">
        <f t="shared" si="1"/>
        <v/>
      </c>
      <c r="T37" s="690" t="str">
        <f t="shared" si="2"/>
        <v/>
      </c>
      <c r="U37" s="690" t="str">
        <f t="shared" si="3"/>
        <v/>
      </c>
      <c r="V37" s="695" t="str">
        <f t="shared" si="4"/>
        <v/>
      </c>
      <c r="W37" s="681"/>
    </row>
    <row r="38" spans="1:23" ht="14.4" customHeight="1" x14ac:dyDescent="0.3">
      <c r="A38" s="741" t="s">
        <v>2950</v>
      </c>
      <c r="B38" s="690"/>
      <c r="C38" s="691"/>
      <c r="D38" s="692"/>
      <c r="E38" s="693"/>
      <c r="F38" s="672"/>
      <c r="G38" s="673"/>
      <c r="H38" s="674">
        <v>1</v>
      </c>
      <c r="I38" s="675">
        <v>0.53</v>
      </c>
      <c r="J38" s="688">
        <v>2</v>
      </c>
      <c r="K38" s="677">
        <v>0.78</v>
      </c>
      <c r="L38" s="678">
        <v>3</v>
      </c>
      <c r="M38" s="678">
        <v>31</v>
      </c>
      <c r="N38" s="679">
        <v>10.18</v>
      </c>
      <c r="O38" s="678" t="s">
        <v>2884</v>
      </c>
      <c r="P38" s="694" t="s">
        <v>2951</v>
      </c>
      <c r="Q38" s="680">
        <f t="shared" si="0"/>
        <v>1</v>
      </c>
      <c r="R38" s="680">
        <f t="shared" si="0"/>
        <v>0.53</v>
      </c>
      <c r="S38" s="690">
        <f t="shared" si="1"/>
        <v>10.18</v>
      </c>
      <c r="T38" s="690">
        <f t="shared" si="2"/>
        <v>2</v>
      </c>
      <c r="U38" s="690">
        <f t="shared" si="3"/>
        <v>-8.18</v>
      </c>
      <c r="V38" s="695">
        <f t="shared" si="4"/>
        <v>0.19646365422396858</v>
      </c>
      <c r="W38" s="681"/>
    </row>
    <row r="39" spans="1:23" ht="14.4" customHeight="1" x14ac:dyDescent="0.3">
      <c r="A39" s="741" t="s">
        <v>2952</v>
      </c>
      <c r="B39" s="682">
        <v>1</v>
      </c>
      <c r="C39" s="683">
        <v>2.2599999999999998</v>
      </c>
      <c r="D39" s="684">
        <v>6</v>
      </c>
      <c r="E39" s="693"/>
      <c r="F39" s="672"/>
      <c r="G39" s="673"/>
      <c r="H39" s="678"/>
      <c r="I39" s="672"/>
      <c r="J39" s="673"/>
      <c r="K39" s="677">
        <v>1.91</v>
      </c>
      <c r="L39" s="678">
        <v>3</v>
      </c>
      <c r="M39" s="678">
        <v>29</v>
      </c>
      <c r="N39" s="679">
        <v>9.77</v>
      </c>
      <c r="O39" s="678" t="s">
        <v>2884</v>
      </c>
      <c r="P39" s="694" t="s">
        <v>2953</v>
      </c>
      <c r="Q39" s="680">
        <f t="shared" si="0"/>
        <v>-1</v>
      </c>
      <c r="R39" s="680">
        <f t="shared" si="0"/>
        <v>-2.2599999999999998</v>
      </c>
      <c r="S39" s="690" t="str">
        <f t="shared" si="1"/>
        <v/>
      </c>
      <c r="T39" s="690" t="str">
        <f t="shared" si="2"/>
        <v/>
      </c>
      <c r="U39" s="690" t="str">
        <f t="shared" si="3"/>
        <v/>
      </c>
      <c r="V39" s="695" t="str">
        <f t="shared" si="4"/>
        <v/>
      </c>
      <c r="W39" s="681"/>
    </row>
    <row r="40" spans="1:23" ht="14.4" customHeight="1" x14ac:dyDescent="0.3">
      <c r="A40" s="742" t="s">
        <v>2954</v>
      </c>
      <c r="B40" s="726">
        <v>1</v>
      </c>
      <c r="C40" s="727">
        <v>2.2000000000000002</v>
      </c>
      <c r="D40" s="685">
        <v>6</v>
      </c>
      <c r="E40" s="728"/>
      <c r="F40" s="729"/>
      <c r="G40" s="686"/>
      <c r="H40" s="730"/>
      <c r="I40" s="729"/>
      <c r="J40" s="686"/>
      <c r="K40" s="731">
        <v>2.2000000000000002</v>
      </c>
      <c r="L40" s="730">
        <v>4</v>
      </c>
      <c r="M40" s="730">
        <v>34</v>
      </c>
      <c r="N40" s="732">
        <v>11.44</v>
      </c>
      <c r="O40" s="730" t="s">
        <v>2884</v>
      </c>
      <c r="P40" s="733" t="s">
        <v>2955</v>
      </c>
      <c r="Q40" s="734">
        <f t="shared" si="0"/>
        <v>-1</v>
      </c>
      <c r="R40" s="734">
        <f t="shared" si="0"/>
        <v>-2.2000000000000002</v>
      </c>
      <c r="S40" s="735" t="str">
        <f t="shared" si="1"/>
        <v/>
      </c>
      <c r="T40" s="735" t="str">
        <f t="shared" si="2"/>
        <v/>
      </c>
      <c r="U40" s="735" t="str">
        <f t="shared" si="3"/>
        <v/>
      </c>
      <c r="V40" s="736" t="str">
        <f t="shared" si="4"/>
        <v/>
      </c>
      <c r="W40" s="687"/>
    </row>
    <row r="41" spans="1:23" ht="14.4" customHeight="1" x14ac:dyDescent="0.3">
      <c r="A41" s="741" t="s">
        <v>2956</v>
      </c>
      <c r="B41" s="690"/>
      <c r="C41" s="691"/>
      <c r="D41" s="692"/>
      <c r="E41" s="693"/>
      <c r="F41" s="672"/>
      <c r="G41" s="673"/>
      <c r="H41" s="674">
        <v>1</v>
      </c>
      <c r="I41" s="675">
        <v>0.77</v>
      </c>
      <c r="J41" s="688">
        <v>2</v>
      </c>
      <c r="K41" s="677">
        <v>0.77</v>
      </c>
      <c r="L41" s="678">
        <v>2</v>
      </c>
      <c r="M41" s="678">
        <v>20</v>
      </c>
      <c r="N41" s="679">
        <v>6.72</v>
      </c>
      <c r="O41" s="678" t="s">
        <v>2884</v>
      </c>
      <c r="P41" s="694" t="s">
        <v>2957</v>
      </c>
      <c r="Q41" s="680">
        <f t="shared" si="0"/>
        <v>1</v>
      </c>
      <c r="R41" s="680">
        <f t="shared" si="0"/>
        <v>0.77</v>
      </c>
      <c r="S41" s="690">
        <f t="shared" si="1"/>
        <v>6.72</v>
      </c>
      <c r="T41" s="690">
        <f t="shared" si="2"/>
        <v>2</v>
      </c>
      <c r="U41" s="690">
        <f t="shared" si="3"/>
        <v>-4.72</v>
      </c>
      <c r="V41" s="695">
        <f t="shared" si="4"/>
        <v>0.29761904761904762</v>
      </c>
      <c r="W41" s="681"/>
    </row>
    <row r="42" spans="1:23" ht="14.4" customHeight="1" x14ac:dyDescent="0.3">
      <c r="A42" s="741" t="s">
        <v>2958</v>
      </c>
      <c r="B42" s="690"/>
      <c r="C42" s="691"/>
      <c r="D42" s="692"/>
      <c r="E42" s="693"/>
      <c r="F42" s="672"/>
      <c r="G42" s="673"/>
      <c r="H42" s="674">
        <v>1</v>
      </c>
      <c r="I42" s="675">
        <v>0.5</v>
      </c>
      <c r="J42" s="676">
        <v>7</v>
      </c>
      <c r="K42" s="677">
        <v>0.5</v>
      </c>
      <c r="L42" s="678">
        <v>2</v>
      </c>
      <c r="M42" s="678">
        <v>19</v>
      </c>
      <c r="N42" s="679">
        <v>6.48</v>
      </c>
      <c r="O42" s="678" t="s">
        <v>2884</v>
      </c>
      <c r="P42" s="694" t="s">
        <v>2959</v>
      </c>
      <c r="Q42" s="680">
        <f t="shared" si="0"/>
        <v>1</v>
      </c>
      <c r="R42" s="680">
        <f t="shared" si="0"/>
        <v>0.5</v>
      </c>
      <c r="S42" s="690">
        <f t="shared" si="1"/>
        <v>6.48</v>
      </c>
      <c r="T42" s="690">
        <f t="shared" si="2"/>
        <v>7</v>
      </c>
      <c r="U42" s="690">
        <f t="shared" si="3"/>
        <v>0.51999999999999957</v>
      </c>
      <c r="V42" s="695">
        <f t="shared" si="4"/>
        <v>1.0802469135802468</v>
      </c>
      <c r="W42" s="681">
        <v>1</v>
      </c>
    </row>
    <row r="43" spans="1:23" ht="14.4" customHeight="1" x14ac:dyDescent="0.3">
      <c r="A43" s="741" t="s">
        <v>2960</v>
      </c>
      <c r="B43" s="682">
        <v>1</v>
      </c>
      <c r="C43" s="683">
        <v>0.6</v>
      </c>
      <c r="D43" s="684">
        <v>2</v>
      </c>
      <c r="E43" s="693"/>
      <c r="F43" s="672"/>
      <c r="G43" s="673"/>
      <c r="H43" s="678"/>
      <c r="I43" s="672"/>
      <c r="J43" s="673"/>
      <c r="K43" s="677">
        <v>0.6</v>
      </c>
      <c r="L43" s="678">
        <v>2</v>
      </c>
      <c r="M43" s="678">
        <v>18</v>
      </c>
      <c r="N43" s="679">
        <v>6.12</v>
      </c>
      <c r="O43" s="678" t="s">
        <v>2884</v>
      </c>
      <c r="P43" s="694" t="s">
        <v>2961</v>
      </c>
      <c r="Q43" s="680">
        <f t="shared" si="0"/>
        <v>-1</v>
      </c>
      <c r="R43" s="680">
        <f t="shared" si="0"/>
        <v>-0.6</v>
      </c>
      <c r="S43" s="690" t="str">
        <f t="shared" si="1"/>
        <v/>
      </c>
      <c r="T43" s="690" t="str">
        <f t="shared" si="2"/>
        <v/>
      </c>
      <c r="U43" s="690" t="str">
        <f t="shared" si="3"/>
        <v/>
      </c>
      <c r="V43" s="695" t="str">
        <f t="shared" si="4"/>
        <v/>
      </c>
      <c r="W43" s="681"/>
    </row>
    <row r="44" spans="1:23" ht="14.4" customHeight="1" x14ac:dyDescent="0.3">
      <c r="A44" s="741" t="s">
        <v>2962</v>
      </c>
      <c r="B44" s="682">
        <v>2</v>
      </c>
      <c r="C44" s="683">
        <v>9.9600000000000009</v>
      </c>
      <c r="D44" s="684">
        <v>9.5</v>
      </c>
      <c r="E44" s="693"/>
      <c r="F44" s="672"/>
      <c r="G44" s="673"/>
      <c r="H44" s="678"/>
      <c r="I44" s="672"/>
      <c r="J44" s="673"/>
      <c r="K44" s="677">
        <v>6.74</v>
      </c>
      <c r="L44" s="678">
        <v>8</v>
      </c>
      <c r="M44" s="678">
        <v>71</v>
      </c>
      <c r="N44" s="679">
        <v>23.79</v>
      </c>
      <c r="O44" s="678" t="s">
        <v>2884</v>
      </c>
      <c r="P44" s="694" t="s">
        <v>2963</v>
      </c>
      <c r="Q44" s="680">
        <f t="shared" si="0"/>
        <v>-2</v>
      </c>
      <c r="R44" s="680">
        <f t="shared" si="0"/>
        <v>-9.9600000000000009</v>
      </c>
      <c r="S44" s="690" t="str">
        <f t="shared" si="1"/>
        <v/>
      </c>
      <c r="T44" s="690" t="str">
        <f t="shared" si="2"/>
        <v/>
      </c>
      <c r="U44" s="690" t="str">
        <f t="shared" si="3"/>
        <v/>
      </c>
      <c r="V44" s="695" t="str">
        <f t="shared" si="4"/>
        <v/>
      </c>
      <c r="W44" s="681"/>
    </row>
    <row r="45" spans="1:23" ht="14.4" customHeight="1" x14ac:dyDescent="0.3">
      <c r="A45" s="741" t="s">
        <v>2964</v>
      </c>
      <c r="B45" s="690"/>
      <c r="C45" s="691"/>
      <c r="D45" s="692"/>
      <c r="E45" s="693"/>
      <c r="F45" s="672"/>
      <c r="G45" s="673"/>
      <c r="H45" s="674">
        <v>1</v>
      </c>
      <c r="I45" s="675">
        <v>0.28000000000000003</v>
      </c>
      <c r="J45" s="688">
        <v>1</v>
      </c>
      <c r="K45" s="677">
        <v>0.56000000000000005</v>
      </c>
      <c r="L45" s="678">
        <v>3</v>
      </c>
      <c r="M45" s="678">
        <v>24</v>
      </c>
      <c r="N45" s="679">
        <v>8.16</v>
      </c>
      <c r="O45" s="678" t="s">
        <v>2884</v>
      </c>
      <c r="P45" s="694" t="s">
        <v>2965</v>
      </c>
      <c r="Q45" s="680">
        <f t="shared" si="0"/>
        <v>1</v>
      </c>
      <c r="R45" s="680">
        <f t="shared" si="0"/>
        <v>0.28000000000000003</v>
      </c>
      <c r="S45" s="690">
        <f t="shared" si="1"/>
        <v>8.16</v>
      </c>
      <c r="T45" s="690">
        <f t="shared" si="2"/>
        <v>1</v>
      </c>
      <c r="U45" s="690">
        <f t="shared" si="3"/>
        <v>-7.16</v>
      </c>
      <c r="V45" s="695">
        <f t="shared" si="4"/>
        <v>0.12254901960784313</v>
      </c>
      <c r="W45" s="681"/>
    </row>
    <row r="46" spans="1:23" ht="14.4" customHeight="1" x14ac:dyDescent="0.3">
      <c r="A46" s="742" t="s">
        <v>2966</v>
      </c>
      <c r="B46" s="735"/>
      <c r="C46" s="737"/>
      <c r="D46" s="696"/>
      <c r="E46" s="728">
        <v>1</v>
      </c>
      <c r="F46" s="729">
        <v>0.81</v>
      </c>
      <c r="G46" s="686">
        <v>3</v>
      </c>
      <c r="H46" s="738"/>
      <c r="I46" s="739"/>
      <c r="J46" s="689"/>
      <c r="K46" s="731">
        <v>0.78</v>
      </c>
      <c r="L46" s="730">
        <v>3</v>
      </c>
      <c r="M46" s="730">
        <v>31</v>
      </c>
      <c r="N46" s="732">
        <v>10.49</v>
      </c>
      <c r="O46" s="730" t="s">
        <v>2884</v>
      </c>
      <c r="P46" s="733" t="s">
        <v>2967</v>
      </c>
      <c r="Q46" s="734">
        <f t="shared" si="0"/>
        <v>0</v>
      </c>
      <c r="R46" s="734">
        <f t="shared" si="0"/>
        <v>0</v>
      </c>
      <c r="S46" s="735" t="str">
        <f t="shared" si="1"/>
        <v/>
      </c>
      <c r="T46" s="735" t="str">
        <f t="shared" si="2"/>
        <v/>
      </c>
      <c r="U46" s="735" t="str">
        <f t="shared" si="3"/>
        <v/>
      </c>
      <c r="V46" s="736" t="str">
        <f t="shared" si="4"/>
        <v/>
      </c>
      <c r="W46" s="687"/>
    </row>
    <row r="47" spans="1:23" ht="14.4" customHeight="1" x14ac:dyDescent="0.3">
      <c r="A47" s="741" t="s">
        <v>2968</v>
      </c>
      <c r="B47" s="682">
        <v>2</v>
      </c>
      <c r="C47" s="683">
        <v>5.44</v>
      </c>
      <c r="D47" s="684">
        <v>3</v>
      </c>
      <c r="E47" s="693"/>
      <c r="F47" s="672"/>
      <c r="G47" s="673"/>
      <c r="H47" s="678"/>
      <c r="I47" s="672"/>
      <c r="J47" s="673"/>
      <c r="K47" s="677">
        <v>5.15</v>
      </c>
      <c r="L47" s="678">
        <v>7</v>
      </c>
      <c r="M47" s="678">
        <v>62</v>
      </c>
      <c r="N47" s="679">
        <v>20.66</v>
      </c>
      <c r="O47" s="678" t="s">
        <v>2884</v>
      </c>
      <c r="P47" s="694" t="s">
        <v>2969</v>
      </c>
      <c r="Q47" s="680">
        <f t="shared" si="0"/>
        <v>-2</v>
      </c>
      <c r="R47" s="680">
        <f t="shared" si="0"/>
        <v>-5.44</v>
      </c>
      <c r="S47" s="690" t="str">
        <f t="shared" si="1"/>
        <v/>
      </c>
      <c r="T47" s="690" t="str">
        <f t="shared" si="2"/>
        <v/>
      </c>
      <c r="U47" s="690" t="str">
        <f t="shared" si="3"/>
        <v/>
      </c>
      <c r="V47" s="695" t="str">
        <f t="shared" si="4"/>
        <v/>
      </c>
      <c r="W47" s="681"/>
    </row>
    <row r="48" spans="1:23" ht="14.4" customHeight="1" x14ac:dyDescent="0.3">
      <c r="A48" s="741" t="s">
        <v>2970</v>
      </c>
      <c r="B48" s="682">
        <v>1</v>
      </c>
      <c r="C48" s="683">
        <v>3.16</v>
      </c>
      <c r="D48" s="684">
        <v>5</v>
      </c>
      <c r="E48" s="693"/>
      <c r="F48" s="672"/>
      <c r="G48" s="673"/>
      <c r="H48" s="678"/>
      <c r="I48" s="672"/>
      <c r="J48" s="673"/>
      <c r="K48" s="677">
        <v>3.16</v>
      </c>
      <c r="L48" s="678">
        <v>5</v>
      </c>
      <c r="M48" s="678">
        <v>44</v>
      </c>
      <c r="N48" s="679">
        <v>14.66</v>
      </c>
      <c r="O48" s="678" t="s">
        <v>2884</v>
      </c>
      <c r="P48" s="694" t="s">
        <v>2971</v>
      </c>
      <c r="Q48" s="680">
        <f t="shared" si="0"/>
        <v>-1</v>
      </c>
      <c r="R48" s="680">
        <f t="shared" si="0"/>
        <v>-3.16</v>
      </c>
      <c r="S48" s="690" t="str">
        <f t="shared" si="1"/>
        <v/>
      </c>
      <c r="T48" s="690" t="str">
        <f t="shared" si="2"/>
        <v/>
      </c>
      <c r="U48" s="690" t="str">
        <f t="shared" si="3"/>
        <v/>
      </c>
      <c r="V48" s="695" t="str">
        <f t="shared" si="4"/>
        <v/>
      </c>
      <c r="W48" s="681"/>
    </row>
    <row r="49" spans="1:23" ht="14.4" customHeight="1" x14ac:dyDescent="0.3">
      <c r="A49" s="741" t="s">
        <v>2972</v>
      </c>
      <c r="B49" s="690"/>
      <c r="C49" s="691"/>
      <c r="D49" s="692"/>
      <c r="E49" s="693"/>
      <c r="F49" s="672"/>
      <c r="G49" s="673"/>
      <c r="H49" s="674">
        <v>1</v>
      </c>
      <c r="I49" s="675">
        <v>19.079999999999998</v>
      </c>
      <c r="J49" s="688">
        <v>18</v>
      </c>
      <c r="K49" s="677">
        <v>19.079999999999998</v>
      </c>
      <c r="L49" s="678">
        <v>7</v>
      </c>
      <c r="M49" s="678">
        <v>62</v>
      </c>
      <c r="N49" s="679">
        <v>20.5</v>
      </c>
      <c r="O49" s="678" t="s">
        <v>2884</v>
      </c>
      <c r="P49" s="694" t="s">
        <v>2973</v>
      </c>
      <c r="Q49" s="680">
        <f t="shared" si="0"/>
        <v>1</v>
      </c>
      <c r="R49" s="680">
        <f t="shared" si="0"/>
        <v>19.079999999999998</v>
      </c>
      <c r="S49" s="690">
        <f t="shared" si="1"/>
        <v>20.5</v>
      </c>
      <c r="T49" s="690">
        <f t="shared" si="2"/>
        <v>18</v>
      </c>
      <c r="U49" s="690">
        <f t="shared" si="3"/>
        <v>-2.5</v>
      </c>
      <c r="V49" s="695">
        <f t="shared" si="4"/>
        <v>0.87804878048780488</v>
      </c>
      <c r="W49" s="681"/>
    </row>
    <row r="50" spans="1:23" ht="14.4" customHeight="1" x14ac:dyDescent="0.3">
      <c r="A50" s="742" t="s">
        <v>2974</v>
      </c>
      <c r="B50" s="735"/>
      <c r="C50" s="737"/>
      <c r="D50" s="696"/>
      <c r="E50" s="728">
        <v>1</v>
      </c>
      <c r="F50" s="729">
        <v>23</v>
      </c>
      <c r="G50" s="686">
        <v>34</v>
      </c>
      <c r="H50" s="738"/>
      <c r="I50" s="739"/>
      <c r="J50" s="689"/>
      <c r="K50" s="731">
        <v>24.51</v>
      </c>
      <c r="L50" s="730">
        <v>11</v>
      </c>
      <c r="M50" s="730">
        <v>103</v>
      </c>
      <c r="N50" s="732">
        <v>34.270000000000003</v>
      </c>
      <c r="O50" s="730" t="s">
        <v>2884</v>
      </c>
      <c r="P50" s="733" t="s">
        <v>2973</v>
      </c>
      <c r="Q50" s="734">
        <f t="shared" si="0"/>
        <v>0</v>
      </c>
      <c r="R50" s="734">
        <f t="shared" si="0"/>
        <v>0</v>
      </c>
      <c r="S50" s="735" t="str">
        <f t="shared" si="1"/>
        <v/>
      </c>
      <c r="T50" s="735" t="str">
        <f t="shared" si="2"/>
        <v/>
      </c>
      <c r="U50" s="735" t="str">
        <f t="shared" si="3"/>
        <v/>
      </c>
      <c r="V50" s="736" t="str">
        <f t="shared" si="4"/>
        <v/>
      </c>
      <c r="W50" s="687"/>
    </row>
    <row r="51" spans="1:23" ht="14.4" customHeight="1" x14ac:dyDescent="0.3">
      <c r="A51" s="741" t="s">
        <v>2975</v>
      </c>
      <c r="B51" s="690"/>
      <c r="C51" s="691"/>
      <c r="D51" s="692"/>
      <c r="E51" s="674">
        <v>1</v>
      </c>
      <c r="F51" s="675">
        <v>16.23</v>
      </c>
      <c r="G51" s="688">
        <v>14</v>
      </c>
      <c r="H51" s="678"/>
      <c r="I51" s="672"/>
      <c r="J51" s="673"/>
      <c r="K51" s="677">
        <v>16.940000000000001</v>
      </c>
      <c r="L51" s="678">
        <v>10</v>
      </c>
      <c r="M51" s="678">
        <v>93</v>
      </c>
      <c r="N51" s="679">
        <v>31.16</v>
      </c>
      <c r="O51" s="678" t="s">
        <v>2884</v>
      </c>
      <c r="P51" s="694" t="s">
        <v>2976</v>
      </c>
      <c r="Q51" s="680">
        <f t="shared" si="0"/>
        <v>0</v>
      </c>
      <c r="R51" s="680">
        <f t="shared" si="0"/>
        <v>0</v>
      </c>
      <c r="S51" s="690" t="str">
        <f t="shared" si="1"/>
        <v/>
      </c>
      <c r="T51" s="690" t="str">
        <f t="shared" si="2"/>
        <v/>
      </c>
      <c r="U51" s="690" t="str">
        <f t="shared" si="3"/>
        <v/>
      </c>
      <c r="V51" s="695" t="str">
        <f t="shared" si="4"/>
        <v/>
      </c>
      <c r="W51" s="681"/>
    </row>
    <row r="52" spans="1:23" ht="14.4" customHeight="1" x14ac:dyDescent="0.3">
      <c r="A52" s="741" t="s">
        <v>2977</v>
      </c>
      <c r="B52" s="690"/>
      <c r="C52" s="691"/>
      <c r="D52" s="692"/>
      <c r="E52" s="693"/>
      <c r="F52" s="672"/>
      <c r="G52" s="673"/>
      <c r="H52" s="674">
        <v>1</v>
      </c>
      <c r="I52" s="675">
        <v>2.71</v>
      </c>
      <c r="J52" s="688">
        <v>6</v>
      </c>
      <c r="K52" s="677">
        <v>1.7</v>
      </c>
      <c r="L52" s="678">
        <v>5</v>
      </c>
      <c r="M52" s="678">
        <v>45</v>
      </c>
      <c r="N52" s="679">
        <v>14.97</v>
      </c>
      <c r="O52" s="678" t="s">
        <v>2884</v>
      </c>
      <c r="P52" s="694" t="s">
        <v>2978</v>
      </c>
      <c r="Q52" s="680">
        <f t="shared" si="0"/>
        <v>1</v>
      </c>
      <c r="R52" s="680">
        <f t="shared" si="0"/>
        <v>2.71</v>
      </c>
      <c r="S52" s="690">
        <f t="shared" si="1"/>
        <v>14.97</v>
      </c>
      <c r="T52" s="690">
        <f t="shared" si="2"/>
        <v>6</v>
      </c>
      <c r="U52" s="690">
        <f t="shared" si="3"/>
        <v>-8.9700000000000006</v>
      </c>
      <c r="V52" s="695">
        <f t="shared" si="4"/>
        <v>0.40080160320641278</v>
      </c>
      <c r="W52" s="681"/>
    </row>
    <row r="53" spans="1:23" ht="14.4" customHeight="1" x14ac:dyDescent="0.3">
      <c r="A53" s="741" t="s">
        <v>2979</v>
      </c>
      <c r="B53" s="690"/>
      <c r="C53" s="691"/>
      <c r="D53" s="692"/>
      <c r="E53" s="693"/>
      <c r="F53" s="672"/>
      <c r="G53" s="673"/>
      <c r="H53" s="674">
        <v>1</v>
      </c>
      <c r="I53" s="675">
        <v>3.74</v>
      </c>
      <c r="J53" s="676">
        <v>4</v>
      </c>
      <c r="K53" s="677">
        <v>2.66</v>
      </c>
      <c r="L53" s="678">
        <v>1</v>
      </c>
      <c r="M53" s="678">
        <v>6</v>
      </c>
      <c r="N53" s="679">
        <v>2.11</v>
      </c>
      <c r="O53" s="678" t="s">
        <v>2884</v>
      </c>
      <c r="P53" s="694" t="s">
        <v>2980</v>
      </c>
      <c r="Q53" s="680">
        <f t="shared" si="0"/>
        <v>1</v>
      </c>
      <c r="R53" s="680">
        <f t="shared" si="0"/>
        <v>3.74</v>
      </c>
      <c r="S53" s="690">
        <f t="shared" si="1"/>
        <v>2.11</v>
      </c>
      <c r="T53" s="690">
        <f t="shared" si="2"/>
        <v>4</v>
      </c>
      <c r="U53" s="690">
        <f t="shared" si="3"/>
        <v>1.8900000000000001</v>
      </c>
      <c r="V53" s="695">
        <f t="shared" si="4"/>
        <v>1.8957345971563981</v>
      </c>
      <c r="W53" s="681">
        <v>2</v>
      </c>
    </row>
    <row r="54" spans="1:23" ht="14.4" customHeight="1" thickBot="1" x14ac:dyDescent="0.35">
      <c r="A54" s="743" t="s">
        <v>2981</v>
      </c>
      <c r="B54" s="744">
        <v>1</v>
      </c>
      <c r="C54" s="745">
        <v>4.25</v>
      </c>
      <c r="D54" s="746">
        <v>14</v>
      </c>
      <c r="E54" s="747"/>
      <c r="F54" s="748"/>
      <c r="G54" s="749"/>
      <c r="H54" s="750">
        <v>1</v>
      </c>
      <c r="I54" s="751">
        <v>4.25</v>
      </c>
      <c r="J54" s="752">
        <v>24</v>
      </c>
      <c r="K54" s="753">
        <v>4.25</v>
      </c>
      <c r="L54" s="754">
        <v>7</v>
      </c>
      <c r="M54" s="754">
        <v>60</v>
      </c>
      <c r="N54" s="755">
        <v>20.079999999999998</v>
      </c>
      <c r="O54" s="754" t="s">
        <v>2884</v>
      </c>
      <c r="P54" s="756" t="s">
        <v>2982</v>
      </c>
      <c r="Q54" s="757">
        <f t="shared" si="0"/>
        <v>0</v>
      </c>
      <c r="R54" s="757">
        <f t="shared" si="0"/>
        <v>0</v>
      </c>
      <c r="S54" s="744">
        <f t="shared" si="1"/>
        <v>20.079999999999998</v>
      </c>
      <c r="T54" s="744">
        <f t="shared" si="2"/>
        <v>24</v>
      </c>
      <c r="U54" s="744">
        <f t="shared" si="3"/>
        <v>3.9200000000000017</v>
      </c>
      <c r="V54" s="758">
        <f t="shared" si="4"/>
        <v>1.1952191235059761</v>
      </c>
      <c r="W54" s="759">
        <v>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5:Q1048576">
    <cfRule type="cellIs" dxfId="12" priority="9" stopIfTrue="1" operator="lessThan">
      <formula>0</formula>
    </cfRule>
  </conditionalFormatting>
  <conditionalFormatting sqref="U55:U1048576">
    <cfRule type="cellIs" dxfId="11" priority="8" stopIfTrue="1" operator="greaterThan">
      <formula>0</formula>
    </cfRule>
  </conditionalFormatting>
  <conditionalFormatting sqref="V55:V1048576">
    <cfRule type="cellIs" dxfId="10" priority="7" stopIfTrue="1" operator="greaterThan">
      <formula>1</formula>
    </cfRule>
  </conditionalFormatting>
  <conditionalFormatting sqref="V55:V1048576">
    <cfRule type="cellIs" dxfId="9" priority="4" stopIfTrue="1" operator="greaterThan">
      <formula>1</formula>
    </cfRule>
  </conditionalFormatting>
  <conditionalFormatting sqref="U55:U1048576">
    <cfRule type="cellIs" dxfId="8" priority="5" stopIfTrue="1" operator="greaterThan">
      <formula>0</formula>
    </cfRule>
  </conditionalFormatting>
  <conditionalFormatting sqref="Q55:Q1048576">
    <cfRule type="cellIs" dxfId="7" priority="6" stopIfTrue="1" operator="lessThan">
      <formula>0</formula>
    </cfRule>
  </conditionalFormatting>
  <conditionalFormatting sqref="V5:V54">
    <cfRule type="cellIs" dxfId="6" priority="1" stopIfTrue="1" operator="greaterThan">
      <formula>1</formula>
    </cfRule>
  </conditionalFormatting>
  <conditionalFormatting sqref="U5:U54">
    <cfRule type="cellIs" dxfId="5" priority="2" stopIfTrue="1" operator="greaterThan">
      <formula>0</formula>
    </cfRule>
  </conditionalFormatting>
  <conditionalFormatting sqref="Q5:Q5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62" bestFit="1" customWidth="1"/>
    <col min="2" max="2" width="11.6640625" style="262" hidden="1" customWidth="1"/>
    <col min="3" max="4" width="11" style="264" customWidth="1"/>
    <col min="5" max="5" width="11" style="265" customWidth="1"/>
    <col min="6" max="16384" width="8.88671875" style="262"/>
  </cols>
  <sheetData>
    <row r="1" spans="1:5" ht="18.600000000000001" thickBot="1" x14ac:dyDescent="0.4">
      <c r="A1" s="436" t="s">
        <v>136</v>
      </c>
      <c r="B1" s="436"/>
      <c r="C1" s="437"/>
      <c r="D1" s="437"/>
      <c r="E1" s="437"/>
    </row>
    <row r="2" spans="1:5" ht="14.4" customHeight="1" thickBot="1" x14ac:dyDescent="0.35">
      <c r="A2" s="364" t="s">
        <v>294</v>
      </c>
      <c r="B2" s="263"/>
    </row>
    <row r="3" spans="1:5" ht="14.4" customHeight="1" thickBot="1" x14ac:dyDescent="0.35">
      <c r="A3" s="266"/>
      <c r="C3" s="267" t="s">
        <v>118</v>
      </c>
      <c r="D3" s="268" t="s">
        <v>81</v>
      </c>
      <c r="E3" s="269" t="s">
        <v>83</v>
      </c>
    </row>
    <row r="4" spans="1:5" ht="14.4" customHeight="1" thickBot="1" x14ac:dyDescent="0.35">
      <c r="A4" s="270" t="str">
        <f>HYPERLINK("#HI!A1","NÁKLADY CELKEM (v tisících Kč)")</f>
        <v>NÁKLADY CELKEM (v tisících Kč)</v>
      </c>
      <c r="B4" s="271"/>
      <c r="C4" s="272">
        <f ca="1">IF(ISERROR(VLOOKUP("Náklady celkem",INDIRECT("HI!$A:$G"),6,0)),0,VLOOKUP("Náklady celkem",INDIRECT("HI!$A:$G"),6,0))</f>
        <v>20289.800207740125</v>
      </c>
      <c r="D4" s="272">
        <f ca="1">IF(ISERROR(VLOOKUP("Náklady celkem",INDIRECT("HI!$A:$G"),5,0)),0,VLOOKUP("Náklady celkem",INDIRECT("HI!$A:$G"),5,0))</f>
        <v>20689.570080000016</v>
      </c>
      <c r="E4" s="273">
        <f ca="1">IF(C4=0,0,D4/C4)</f>
        <v>1.0197029969820692</v>
      </c>
    </row>
    <row r="5" spans="1:5" ht="14.4" customHeight="1" x14ac:dyDescent="0.3">
      <c r="A5" s="274" t="s">
        <v>169</v>
      </c>
      <c r="B5" s="275"/>
      <c r="C5" s="276"/>
      <c r="D5" s="276"/>
      <c r="E5" s="277"/>
    </row>
    <row r="6" spans="1:5" ht="14.4" customHeight="1" x14ac:dyDescent="0.3">
      <c r="A6" s="278" t="s">
        <v>174</v>
      </c>
      <c r="B6" s="279"/>
      <c r="C6" s="280"/>
      <c r="D6" s="280"/>
      <c r="E6" s="277"/>
    </row>
    <row r="7" spans="1:5" ht="14.4" customHeight="1" x14ac:dyDescent="0.3">
      <c r="A7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9" t="s">
        <v>123</v>
      </c>
      <c r="C7" s="280">
        <f>IF(ISERROR(HI!F5),"",HI!F5)</f>
        <v>3068.4653799650459</v>
      </c>
      <c r="D7" s="280">
        <f>IF(ISERROR(HI!E5),"",HI!E5)</f>
        <v>3329.3190200000022</v>
      </c>
      <c r="E7" s="277">
        <f t="shared" ref="E7:E12" si="0">IF(C7=0,0,D7/C7)</f>
        <v>1.0850111074213677</v>
      </c>
    </row>
    <row r="8" spans="1:5" ht="14.4" customHeight="1" x14ac:dyDescent="0.3">
      <c r="A8" s="281" t="str">
        <f>HYPERLINK("#'LŽ PL'!A1","% plnění pozitivního listu")</f>
        <v>% plnění pozitivního listu</v>
      </c>
      <c r="B8" s="279" t="s">
        <v>167</v>
      </c>
      <c r="C8" s="282">
        <v>0.9</v>
      </c>
      <c r="D8" s="282">
        <f>IF(ISERROR(VLOOKUP("celkem",'LŽ PL'!$A:$F,5,0)),0,VLOOKUP("celkem",'LŽ PL'!$A:$F,5,0))</f>
        <v>0.95642307152558559</v>
      </c>
      <c r="E8" s="277">
        <f t="shared" si="0"/>
        <v>1.0626923016950951</v>
      </c>
    </row>
    <row r="9" spans="1:5" ht="14.4" customHeight="1" x14ac:dyDescent="0.3">
      <c r="A9" s="283" t="s">
        <v>170</v>
      </c>
      <c r="B9" s="279"/>
      <c r="C9" s="280"/>
      <c r="D9" s="280"/>
      <c r="E9" s="277"/>
    </row>
    <row r="10" spans="1:5" ht="14.4" customHeight="1" x14ac:dyDescent="0.3">
      <c r="A10" s="283" t="s">
        <v>171</v>
      </c>
      <c r="B10" s="279"/>
      <c r="C10" s="280"/>
      <c r="D10" s="280"/>
      <c r="E10" s="277"/>
    </row>
    <row r="11" spans="1:5" ht="14.4" customHeight="1" x14ac:dyDescent="0.3">
      <c r="A11" s="284" t="s">
        <v>175</v>
      </c>
      <c r="B11" s="279"/>
      <c r="C11" s="276"/>
      <c r="D11" s="276"/>
      <c r="E11" s="277"/>
    </row>
    <row r="12" spans="1:5" ht="14.4" customHeight="1" x14ac:dyDescent="0.3">
      <c r="A12" s="28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279" t="s">
        <v>123</v>
      </c>
      <c r="C12" s="280">
        <f>IF(ISERROR(HI!F6),"",HI!F6)</f>
        <v>1476.3625479187001</v>
      </c>
      <c r="D12" s="280">
        <f>IF(ISERROR(HI!E6),"",HI!E6)</f>
        <v>1202.4708400000011</v>
      </c>
      <c r="E12" s="277">
        <f t="shared" si="0"/>
        <v>0.81448208077018924</v>
      </c>
    </row>
    <row r="13" spans="1:5" ht="14.4" customHeight="1" thickBot="1" x14ac:dyDescent="0.35">
      <c r="A13" s="286" t="str">
        <f>HYPERLINK("#HI!A1","Osobní náklady")</f>
        <v>Osobní náklady</v>
      </c>
      <c r="B13" s="279"/>
      <c r="C13" s="276">
        <f ca="1">IF(ISERROR(VLOOKUP("Osobní náklady (Kč) *",INDIRECT("HI!$A:$G"),6,0)),0,VLOOKUP("Osobní náklady (Kč) *",INDIRECT("HI!$A:$G"),6,0))</f>
        <v>12686.729112433124</v>
      </c>
      <c r="D13" s="276">
        <f ca="1">IF(ISERROR(VLOOKUP("Osobní náklady (Kč) *",INDIRECT("HI!$A:$G"),5,0)),0,VLOOKUP("Osobní náklady (Kč) *",INDIRECT("HI!$A:$G"),5,0))</f>
        <v>12984.73218000001</v>
      </c>
      <c r="E13" s="277">
        <f ca="1">IF(C13=0,0,D13/C13)</f>
        <v>1.0234893537117333</v>
      </c>
    </row>
    <row r="14" spans="1:5" ht="14.4" customHeight="1" thickBot="1" x14ac:dyDescent="0.35">
      <c r="A14" s="290"/>
      <c r="B14" s="291"/>
      <c r="C14" s="292"/>
      <c r="D14" s="292"/>
      <c r="E14" s="293"/>
    </row>
    <row r="15" spans="1:5" ht="14.4" customHeight="1" thickBot="1" x14ac:dyDescent="0.35">
      <c r="A15" s="294" t="str">
        <f>HYPERLINK("#HI!A1","VÝNOSY CELKEM (v tisících)")</f>
        <v>VÝNOSY CELKEM (v tisících)</v>
      </c>
      <c r="B15" s="295"/>
      <c r="C15" s="296">
        <f ca="1">IF(ISERROR(VLOOKUP("Výnosy celkem",INDIRECT("HI!$A:$G"),6,0)),0,VLOOKUP("Výnosy celkem",INDIRECT("HI!$A:$G"),6,0))</f>
        <v>5028.5999999999995</v>
      </c>
      <c r="D15" s="296">
        <f ca="1">IF(ISERROR(VLOOKUP("Výnosy celkem",INDIRECT("HI!$A:$G"),5,0)),0,VLOOKUP("Výnosy celkem",INDIRECT("HI!$A:$G"),5,0))</f>
        <v>9223.9500000000007</v>
      </c>
      <c r="E15" s="297">
        <f t="shared" ref="E15:E24" ca="1" si="1">IF(C15=0,0,D15/C15)</f>
        <v>1.8342978164896795</v>
      </c>
    </row>
    <row r="16" spans="1:5" ht="14.4" customHeight="1" x14ac:dyDescent="0.3">
      <c r="A16" s="298" t="str">
        <f>HYPERLINK("#HI!A1","Ambulance (body za výkony + Kč za ZUM a ZULP)")</f>
        <v>Ambulance (body za výkony + Kč za ZUM a ZULP)</v>
      </c>
      <c r="B16" s="275"/>
      <c r="C16" s="276">
        <f ca="1">IF(ISERROR(VLOOKUP("Ambulance *",INDIRECT("HI!$A:$G"),6,0)),0,VLOOKUP("Ambulance *",INDIRECT("HI!$A:$G"),6,0))</f>
        <v>0</v>
      </c>
      <c r="D16" s="276">
        <f ca="1">IF(ISERROR(VLOOKUP("Ambulance *",INDIRECT("HI!$A:$G"),5,0)),0,VLOOKUP("Ambulance *",INDIRECT("HI!$A:$G"),5,0))</f>
        <v>0</v>
      </c>
      <c r="E16" s="277">
        <f t="shared" ca="1" si="1"/>
        <v>0</v>
      </c>
    </row>
    <row r="17" spans="1:5" ht="14.4" customHeight="1" x14ac:dyDescent="0.3">
      <c r="A17" s="299" t="str">
        <f>HYPERLINK("#'ZV Vykáz.-H'!A1","Zdravotní výkony vykázané u hospitalizovaných pacientů (max. 85 %)")</f>
        <v>Zdravotní výkony vykázané u hospitalizovaných pacientů (max. 85 %)</v>
      </c>
      <c r="B17" s="262" t="s">
        <v>138</v>
      </c>
      <c r="C17" s="282">
        <v>0.85</v>
      </c>
      <c r="D17" s="282">
        <f>IF(ISERROR(VLOOKUP("Celkem:",'ZV Vykáz.-H'!$A:$S,7,0)),"",VLOOKUP("Celkem:",'ZV Vykáz.-H'!$A:$S,7,0))</f>
        <v>0.98715593274600044</v>
      </c>
      <c r="E17" s="277">
        <f t="shared" si="1"/>
        <v>1.1613599208776475</v>
      </c>
    </row>
    <row r="18" spans="1:5" ht="14.4" customHeight="1" x14ac:dyDescent="0.3">
      <c r="A18" s="300" t="str">
        <f>HYPERLINK("#HI!A1","Hospitalizace (casemix * 30000)")</f>
        <v>Hospitalizace (casemix * 30000)</v>
      </c>
      <c r="B18" s="279"/>
      <c r="C18" s="276">
        <f ca="1">IF(ISERROR(VLOOKUP("Hospitalizace *",INDIRECT("HI!$A:$G"),6,0)),0,VLOOKUP("Hospitalizace *",INDIRECT("HI!$A:$G"),6,0))</f>
        <v>5028.5999999999995</v>
      </c>
      <c r="D18" s="276">
        <f ca="1">IF(ISERROR(VLOOKUP("Hospitalizace *",INDIRECT("HI!$A:$G"),5,0)),0,VLOOKUP("Hospitalizace *",INDIRECT("HI!$A:$G"),5,0))</f>
        <v>9223.9500000000007</v>
      </c>
      <c r="E18" s="277">
        <f ca="1">IF(C18=0,0,D18/C18)</f>
        <v>1.8342978164896795</v>
      </c>
    </row>
    <row r="19" spans="1:5" ht="14.4" customHeight="1" x14ac:dyDescent="0.3">
      <c r="A19" s="299" t="str">
        <f>HYPERLINK("#'CaseMix'!A1","Casemix (min. 100 %)")</f>
        <v>Casemix (min. 100 %)</v>
      </c>
      <c r="B19" s="279" t="s">
        <v>58</v>
      </c>
      <c r="C19" s="282">
        <v>1</v>
      </c>
      <c r="D19" s="282">
        <f>IF(ISERROR(VLOOKUP("Celkem",CaseMix!A:M,5,0)),0,VLOOKUP("Celkem",CaseMix!A:M,5,0))</f>
        <v>1.8342978164896795</v>
      </c>
      <c r="E19" s="277">
        <f t="shared" si="1"/>
        <v>1.8342978164896795</v>
      </c>
    </row>
    <row r="20" spans="1:5" ht="14.4" customHeight="1" x14ac:dyDescent="0.3">
      <c r="A20" s="301" t="str">
        <f>HYPERLINK("#'CaseMix'!A1","DRG mimo vyjmenované baze")</f>
        <v>DRG mimo vyjmenované baze</v>
      </c>
      <c r="B20" s="279" t="s">
        <v>58</v>
      </c>
      <c r="C20" s="282">
        <v>1</v>
      </c>
      <c r="D20" s="282">
        <f>IF(ISERROR(CaseMix!E26),"",CaseMix!E26)</f>
        <v>1.8342978164896795</v>
      </c>
      <c r="E20" s="277">
        <f t="shared" si="1"/>
        <v>1.8342978164896795</v>
      </c>
    </row>
    <row r="21" spans="1:5" ht="14.4" customHeight="1" x14ac:dyDescent="0.3">
      <c r="A21" s="301" t="str">
        <f>HYPERLINK("#'CaseMix'!A1","Vyjmenované baze DRG")</f>
        <v>Vyjmenované baze DRG</v>
      </c>
      <c r="B21" s="279" t="s">
        <v>58</v>
      </c>
      <c r="C21" s="282">
        <v>1</v>
      </c>
      <c r="D21" s="282">
        <f>IF(ISERROR(CaseMix!E39),"",CaseMix!E39)</f>
        <v>0</v>
      </c>
      <c r="E21" s="277">
        <f t="shared" si="1"/>
        <v>0</v>
      </c>
    </row>
    <row r="22" spans="1:5" ht="14.4" customHeight="1" x14ac:dyDescent="0.3">
      <c r="A22" s="299" t="str">
        <f>HYPERLINK("#'CaseMix'!A1","Počet hospitalizací ukončených na pracovišti (min. 95 %)")</f>
        <v>Počet hospitalizací ukončených na pracovišti (min. 95 %)</v>
      </c>
      <c r="B22" s="279" t="s">
        <v>58</v>
      </c>
      <c r="C22" s="282">
        <v>0.95</v>
      </c>
      <c r="D22" s="282">
        <f>IF(ISERROR(CaseMix!I13),"",CaseMix!I13)</f>
        <v>1.3793103448275863</v>
      </c>
      <c r="E22" s="277">
        <f t="shared" si="1"/>
        <v>1.4519056261343015</v>
      </c>
    </row>
    <row r="23" spans="1:5" ht="14.4" customHeight="1" x14ac:dyDescent="0.3">
      <c r="A23" s="299" t="str">
        <f>HYPERLINK("#'ALOS'!A1","Průměrná délka hospitalizace (max. 100 % republikového průměru)")</f>
        <v>Průměrná délka hospitalizace (max. 100 % republikového průměru)</v>
      </c>
      <c r="B23" s="279" t="s">
        <v>73</v>
      </c>
      <c r="C23" s="282">
        <v>1</v>
      </c>
      <c r="D23" s="302">
        <f>IF(ISERROR(INDEX(ALOS!$E:$E,COUNT(ALOS!$E:$E)+32)),0,INDEX(ALOS!$E:$E,COUNT(ALOS!$E:$E)+32))</f>
        <v>1.0492765514303297</v>
      </c>
      <c r="E23" s="277">
        <f t="shared" si="1"/>
        <v>1.0492765514303297</v>
      </c>
    </row>
    <row r="24" spans="1:5" ht="27.6" x14ac:dyDescent="0.3">
      <c r="A24" s="3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279" t="s">
        <v>135</v>
      </c>
      <c r="C24" s="282">
        <f>IF(E19&gt;1,95%,95%-2*ABS(C19-D19))</f>
        <v>0.95</v>
      </c>
      <c r="D24" s="282">
        <f>IF(ISERROR(VLOOKUP("Celkem:",'ZV Vyžád.'!$A:$M,7,0)),"",VLOOKUP("Celkem:",'ZV Vyžád.'!$A:$M,7,0))</f>
        <v>1.3566932439587445</v>
      </c>
      <c r="E24" s="277">
        <f t="shared" si="1"/>
        <v>1.4280981515355207</v>
      </c>
    </row>
    <row r="25" spans="1:5" ht="14.4" customHeight="1" thickBot="1" x14ac:dyDescent="0.35">
      <c r="A25" s="304" t="s">
        <v>172</v>
      </c>
      <c r="B25" s="287"/>
      <c r="C25" s="288"/>
      <c r="D25" s="288"/>
      <c r="E25" s="289"/>
    </row>
    <row r="26" spans="1:5" ht="14.4" customHeight="1" thickBot="1" x14ac:dyDescent="0.35">
      <c r="A26" s="305"/>
      <c r="B26" s="306"/>
      <c r="C26" s="307"/>
      <c r="D26" s="307"/>
      <c r="E26" s="308"/>
    </row>
    <row r="27" spans="1:5" ht="14.4" customHeight="1" thickBot="1" x14ac:dyDescent="0.35">
      <c r="A27" s="309" t="s">
        <v>173</v>
      </c>
      <c r="B27" s="310"/>
      <c r="C27" s="311"/>
      <c r="D27" s="311"/>
      <c r="E27" s="312"/>
    </row>
  </sheetData>
  <mergeCells count="1">
    <mergeCell ref="A1:E1"/>
  </mergeCells>
  <conditionalFormatting sqref="E19:E22 E15 E8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9:E22 E8">
    <cfRule type="cellIs" dxfId="59" priority="16" operator="lessThan">
      <formula>1</formula>
    </cfRule>
  </conditionalFormatting>
  <conditionalFormatting sqref="E23:E24 E4 E7 E12 E17">
    <cfRule type="cellIs" dxfId="58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41" customWidth="1"/>
    <col min="2" max="2" width="7.77734375" style="206" customWidth="1"/>
    <col min="3" max="3" width="7.21875" style="241" hidden="1" customWidth="1"/>
    <col min="4" max="4" width="7.77734375" style="206" customWidth="1"/>
    <col min="5" max="5" width="7.21875" style="241" hidden="1" customWidth="1"/>
    <col min="6" max="6" width="7.77734375" style="206" customWidth="1"/>
    <col min="7" max="7" width="7.77734375" style="325" customWidth="1"/>
    <col min="8" max="8" width="7.77734375" style="206" customWidth="1"/>
    <col min="9" max="9" width="7.21875" style="241" hidden="1" customWidth="1"/>
    <col min="10" max="10" width="7.77734375" style="206" customWidth="1"/>
    <col min="11" max="11" width="7.21875" style="241" hidden="1" customWidth="1"/>
    <col min="12" max="12" width="7.77734375" style="206" customWidth="1"/>
    <col min="13" max="13" width="7.77734375" style="325" customWidth="1"/>
    <col min="14" max="16384" width="8.88671875" style="241"/>
  </cols>
  <sheetData>
    <row r="1" spans="1:13" ht="18.600000000000001" customHeight="1" thickBot="1" x14ac:dyDescent="0.4">
      <c r="A1" s="445" t="s">
        <v>141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3" ht="14.4" customHeight="1" thickBot="1" x14ac:dyDescent="0.35">
      <c r="A2" s="364" t="s">
        <v>294</v>
      </c>
      <c r="B2" s="337"/>
      <c r="C2" s="211"/>
      <c r="D2" s="337"/>
      <c r="E2" s="211"/>
      <c r="F2" s="337"/>
      <c r="G2" s="338"/>
      <c r="H2" s="337"/>
      <c r="I2" s="211"/>
      <c r="J2" s="337"/>
      <c r="K2" s="211"/>
      <c r="L2" s="337"/>
      <c r="M2" s="338"/>
    </row>
    <row r="3" spans="1:13" ht="14.4" customHeight="1" thickBot="1" x14ac:dyDescent="0.35">
      <c r="A3" s="331" t="s">
        <v>142</v>
      </c>
      <c r="B3" s="332">
        <f>SUBTOTAL(9,B6:B1048576)</f>
        <v>2827351</v>
      </c>
      <c r="C3" s="333">
        <f t="shared" ref="C3:L3" si="0">SUBTOTAL(9,C6:C1048576)</f>
        <v>10</v>
      </c>
      <c r="D3" s="333">
        <f t="shared" si="0"/>
        <v>3369352</v>
      </c>
      <c r="E3" s="333">
        <f t="shared" si="0"/>
        <v>26.446260798937153</v>
      </c>
      <c r="F3" s="333">
        <f t="shared" si="0"/>
        <v>3835848</v>
      </c>
      <c r="G3" s="336">
        <f>IF(B3&lt;&gt;0,F3/B3,"")</f>
        <v>1.3566932439587445</v>
      </c>
      <c r="H3" s="332">
        <f t="shared" si="0"/>
        <v>779992.15</v>
      </c>
      <c r="I3" s="333">
        <f t="shared" si="0"/>
        <v>2</v>
      </c>
      <c r="J3" s="333">
        <f t="shared" si="0"/>
        <v>427718.96000000008</v>
      </c>
      <c r="K3" s="333">
        <f t="shared" si="0"/>
        <v>1.4974009277244047</v>
      </c>
      <c r="L3" s="333">
        <f t="shared" si="0"/>
        <v>1038864.0999999997</v>
      </c>
      <c r="M3" s="334">
        <f>IF(H3&lt;&gt;0,L3/H3,"")</f>
        <v>1.3318904555641999</v>
      </c>
    </row>
    <row r="4" spans="1:13" ht="14.4" customHeight="1" x14ac:dyDescent="0.3">
      <c r="A4" s="535" t="s">
        <v>105</v>
      </c>
      <c r="B4" s="489" t="s">
        <v>110</v>
      </c>
      <c r="C4" s="490"/>
      <c r="D4" s="490"/>
      <c r="E4" s="490"/>
      <c r="F4" s="490"/>
      <c r="G4" s="491"/>
      <c r="H4" s="489" t="s">
        <v>111</v>
      </c>
      <c r="I4" s="490"/>
      <c r="J4" s="490"/>
      <c r="K4" s="490"/>
      <c r="L4" s="490"/>
      <c r="M4" s="491"/>
    </row>
    <row r="5" spans="1:13" s="323" customFormat="1" ht="14.4" customHeight="1" thickBot="1" x14ac:dyDescent="0.35">
      <c r="A5" s="760"/>
      <c r="B5" s="761">
        <v>2012</v>
      </c>
      <c r="C5" s="762"/>
      <c r="D5" s="762">
        <v>2013</v>
      </c>
      <c r="E5" s="762"/>
      <c r="F5" s="762">
        <v>2014</v>
      </c>
      <c r="G5" s="658" t="s">
        <v>2</v>
      </c>
      <c r="H5" s="761">
        <v>2012</v>
      </c>
      <c r="I5" s="762"/>
      <c r="J5" s="762">
        <v>2013</v>
      </c>
      <c r="K5" s="762"/>
      <c r="L5" s="762">
        <v>2014</v>
      </c>
      <c r="M5" s="658" t="s">
        <v>2</v>
      </c>
    </row>
    <row r="6" spans="1:13" ht="14.4" customHeight="1" x14ac:dyDescent="0.3">
      <c r="A6" s="620" t="s">
        <v>2984</v>
      </c>
      <c r="B6" s="763">
        <v>554</v>
      </c>
      <c r="C6" s="585">
        <v>1</v>
      </c>
      <c r="D6" s="763">
        <v>219</v>
      </c>
      <c r="E6" s="585">
        <v>0.39530685920577618</v>
      </c>
      <c r="F6" s="763">
        <v>5572</v>
      </c>
      <c r="G6" s="607">
        <v>10.057761732851986</v>
      </c>
      <c r="H6" s="763"/>
      <c r="I6" s="585"/>
      <c r="J6" s="763"/>
      <c r="K6" s="585"/>
      <c r="L6" s="763"/>
      <c r="M6" s="764"/>
    </row>
    <row r="7" spans="1:13" ht="14.4" customHeight="1" x14ac:dyDescent="0.3">
      <c r="A7" s="621" t="s">
        <v>2985</v>
      </c>
      <c r="B7" s="765">
        <v>1139</v>
      </c>
      <c r="C7" s="591">
        <v>1</v>
      </c>
      <c r="D7" s="765">
        <v>15469</v>
      </c>
      <c r="E7" s="591">
        <v>13.581211589113257</v>
      </c>
      <c r="F7" s="765">
        <v>6900</v>
      </c>
      <c r="G7" s="616">
        <v>6.0579455662862163</v>
      </c>
      <c r="H7" s="765">
        <v>17761.86</v>
      </c>
      <c r="I7" s="591">
        <v>1</v>
      </c>
      <c r="J7" s="765">
        <v>17026.47</v>
      </c>
      <c r="K7" s="591">
        <v>0.95859724150511272</v>
      </c>
      <c r="L7" s="765">
        <v>2127.4</v>
      </c>
      <c r="M7" s="766">
        <v>0.11977349219057014</v>
      </c>
    </row>
    <row r="8" spans="1:13" ht="14.4" customHeight="1" x14ac:dyDescent="0.3">
      <c r="A8" s="621" t="s">
        <v>2986</v>
      </c>
      <c r="B8" s="765">
        <v>117967</v>
      </c>
      <c r="C8" s="591">
        <v>1</v>
      </c>
      <c r="D8" s="765">
        <v>130853</v>
      </c>
      <c r="E8" s="591">
        <v>1.1092339383047802</v>
      </c>
      <c r="F8" s="765">
        <v>158325</v>
      </c>
      <c r="G8" s="616">
        <v>1.3421126247170818</v>
      </c>
      <c r="H8" s="765"/>
      <c r="I8" s="591"/>
      <c r="J8" s="765"/>
      <c r="K8" s="591"/>
      <c r="L8" s="765"/>
      <c r="M8" s="766"/>
    </row>
    <row r="9" spans="1:13" ht="14.4" customHeight="1" x14ac:dyDescent="0.3">
      <c r="A9" s="621" t="s">
        <v>2987</v>
      </c>
      <c r="B9" s="765">
        <v>601579</v>
      </c>
      <c r="C9" s="591">
        <v>1</v>
      </c>
      <c r="D9" s="765">
        <v>777778</v>
      </c>
      <c r="E9" s="591">
        <v>1.2928942000967454</v>
      </c>
      <c r="F9" s="765">
        <v>804871</v>
      </c>
      <c r="G9" s="616">
        <v>1.3379306790961785</v>
      </c>
      <c r="H9" s="765"/>
      <c r="I9" s="591"/>
      <c r="J9" s="765"/>
      <c r="K9" s="591"/>
      <c r="L9" s="765"/>
      <c r="M9" s="766"/>
    </row>
    <row r="10" spans="1:13" ht="14.4" customHeight="1" x14ac:dyDescent="0.3">
      <c r="A10" s="621" t="s">
        <v>2988</v>
      </c>
      <c r="B10" s="765">
        <v>204292</v>
      </c>
      <c r="C10" s="591">
        <v>1</v>
      </c>
      <c r="D10" s="765">
        <v>322590</v>
      </c>
      <c r="E10" s="591">
        <v>1.5790633015487636</v>
      </c>
      <c r="F10" s="765">
        <v>285817</v>
      </c>
      <c r="G10" s="616">
        <v>1.3990611477688799</v>
      </c>
      <c r="H10" s="765"/>
      <c r="I10" s="591"/>
      <c r="J10" s="765"/>
      <c r="K10" s="591"/>
      <c r="L10" s="765"/>
      <c r="M10" s="766"/>
    </row>
    <row r="11" spans="1:13" ht="14.4" customHeight="1" x14ac:dyDescent="0.3">
      <c r="A11" s="621" t="s">
        <v>2989</v>
      </c>
      <c r="B11" s="765">
        <v>14120</v>
      </c>
      <c r="C11" s="591">
        <v>1</v>
      </c>
      <c r="D11" s="765">
        <v>63319</v>
      </c>
      <c r="E11" s="591">
        <v>4.484348441926346</v>
      </c>
      <c r="F11" s="765">
        <v>26112</v>
      </c>
      <c r="G11" s="616">
        <v>1.8492917847025496</v>
      </c>
      <c r="H11" s="765"/>
      <c r="I11" s="591"/>
      <c r="J11" s="765"/>
      <c r="K11" s="591"/>
      <c r="L11" s="765"/>
      <c r="M11" s="766"/>
    </row>
    <row r="12" spans="1:13" ht="14.4" customHeight="1" x14ac:dyDescent="0.3">
      <c r="A12" s="621" t="s">
        <v>2990</v>
      </c>
      <c r="B12" s="765">
        <v>100709</v>
      </c>
      <c r="C12" s="591">
        <v>1</v>
      </c>
      <c r="D12" s="765">
        <v>28301</v>
      </c>
      <c r="E12" s="591">
        <v>0.28101758532008064</v>
      </c>
      <c r="F12" s="765">
        <v>67333</v>
      </c>
      <c r="G12" s="616">
        <v>0.66858969903385002</v>
      </c>
      <c r="H12" s="765"/>
      <c r="I12" s="591"/>
      <c r="J12" s="765"/>
      <c r="K12" s="591"/>
      <c r="L12" s="765"/>
      <c r="M12" s="766"/>
    </row>
    <row r="13" spans="1:13" ht="14.4" customHeight="1" x14ac:dyDescent="0.3">
      <c r="A13" s="621" t="s">
        <v>2991</v>
      </c>
      <c r="B13" s="765">
        <v>1051934</v>
      </c>
      <c r="C13" s="591">
        <v>1</v>
      </c>
      <c r="D13" s="765">
        <v>986526</v>
      </c>
      <c r="E13" s="591">
        <v>0.9378211941053336</v>
      </c>
      <c r="F13" s="765">
        <v>1094619</v>
      </c>
      <c r="G13" s="616">
        <v>1.0405776408025598</v>
      </c>
      <c r="H13" s="765"/>
      <c r="I13" s="591"/>
      <c r="J13" s="765"/>
      <c r="K13" s="591"/>
      <c r="L13" s="765"/>
      <c r="M13" s="766"/>
    </row>
    <row r="14" spans="1:13" ht="14.4" customHeight="1" x14ac:dyDescent="0.3">
      <c r="A14" s="621" t="s">
        <v>2992</v>
      </c>
      <c r="B14" s="765">
        <v>179141</v>
      </c>
      <c r="C14" s="591">
        <v>1</v>
      </c>
      <c r="D14" s="765">
        <v>245964</v>
      </c>
      <c r="E14" s="591">
        <v>1.3730190185384696</v>
      </c>
      <c r="F14" s="765">
        <v>265372</v>
      </c>
      <c r="G14" s="616">
        <v>1.4813582596948771</v>
      </c>
      <c r="H14" s="765"/>
      <c r="I14" s="591"/>
      <c r="J14" s="765"/>
      <c r="K14" s="591"/>
      <c r="L14" s="765"/>
      <c r="M14" s="766"/>
    </row>
    <row r="15" spans="1:13" ht="14.4" customHeight="1" x14ac:dyDescent="0.3">
      <c r="A15" s="621" t="s">
        <v>2993</v>
      </c>
      <c r="B15" s="765">
        <v>555916</v>
      </c>
      <c r="C15" s="591">
        <v>1</v>
      </c>
      <c r="D15" s="765">
        <v>785145</v>
      </c>
      <c r="E15" s="591">
        <v>1.4123446707775995</v>
      </c>
      <c r="F15" s="765">
        <v>1120927</v>
      </c>
      <c r="G15" s="616">
        <v>2.0163603853819643</v>
      </c>
      <c r="H15" s="765">
        <v>762230.29</v>
      </c>
      <c r="I15" s="591">
        <v>1</v>
      </c>
      <c r="J15" s="765">
        <v>410692.49000000005</v>
      </c>
      <c r="K15" s="591">
        <v>0.53880368621929209</v>
      </c>
      <c r="L15" s="765">
        <v>1036736.6999999997</v>
      </c>
      <c r="M15" s="766">
        <v>1.3601357930816416</v>
      </c>
    </row>
    <row r="16" spans="1:13" ht="14.4" customHeight="1" thickBot="1" x14ac:dyDescent="0.35">
      <c r="A16" s="769" t="s">
        <v>2293</v>
      </c>
      <c r="B16" s="767"/>
      <c r="C16" s="597"/>
      <c r="D16" s="767">
        <v>13188</v>
      </c>
      <c r="E16" s="597"/>
      <c r="F16" s="767"/>
      <c r="G16" s="608"/>
      <c r="H16" s="767"/>
      <c r="I16" s="597"/>
      <c r="J16" s="767"/>
      <c r="K16" s="597"/>
      <c r="L16" s="767"/>
      <c r="M16" s="76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2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41" bestFit="1" customWidth="1"/>
    <col min="2" max="2" width="8.6640625" style="241" bestFit="1" customWidth="1"/>
    <col min="3" max="3" width="2.109375" style="241" bestFit="1" customWidth="1"/>
    <col min="4" max="4" width="8" style="241" bestFit="1" customWidth="1"/>
    <col min="5" max="5" width="52.88671875" style="241" bestFit="1" customWidth="1"/>
    <col min="6" max="7" width="11.109375" style="322" customWidth="1"/>
    <col min="8" max="9" width="9.33203125" style="322" hidden="1" customWidth="1"/>
    <col min="10" max="11" width="11.109375" style="322" customWidth="1"/>
    <col min="12" max="13" width="9.33203125" style="322" hidden="1" customWidth="1"/>
    <col min="14" max="15" width="11.109375" style="322" customWidth="1"/>
    <col min="16" max="16" width="11.109375" style="325" customWidth="1"/>
    <col min="17" max="17" width="11.109375" style="322" customWidth="1"/>
    <col min="18" max="16384" width="8.88671875" style="241"/>
  </cols>
  <sheetData>
    <row r="1" spans="1:17" ht="18.600000000000001" customHeight="1" thickBot="1" x14ac:dyDescent="0.4">
      <c r="A1" s="445" t="s">
        <v>3588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7" ht="14.4" customHeight="1" thickBot="1" x14ac:dyDescent="0.35">
      <c r="A2" s="364" t="s">
        <v>294</v>
      </c>
      <c r="B2" s="211"/>
      <c r="C2" s="211"/>
      <c r="D2" s="211"/>
      <c r="E2" s="21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38"/>
      <c r="Q2" s="341"/>
    </row>
    <row r="3" spans="1:17" ht="14.4" customHeight="1" thickBot="1" x14ac:dyDescent="0.35">
      <c r="E3" s="97" t="s">
        <v>142</v>
      </c>
      <c r="F3" s="198">
        <f t="shared" ref="F3:O3" si="0">SUBTOTAL(9,F6:F1048576)</f>
        <v>22440.690000000002</v>
      </c>
      <c r="G3" s="202">
        <f t="shared" si="0"/>
        <v>3607343.1500000004</v>
      </c>
      <c r="H3" s="203"/>
      <c r="I3" s="203"/>
      <c r="J3" s="198">
        <f t="shared" si="0"/>
        <v>25231.780000000002</v>
      </c>
      <c r="K3" s="202">
        <f t="shared" si="0"/>
        <v>3797070.96</v>
      </c>
      <c r="L3" s="203"/>
      <c r="M3" s="203"/>
      <c r="N3" s="198">
        <f t="shared" si="0"/>
        <v>25809.03</v>
      </c>
      <c r="O3" s="202">
        <f t="shared" si="0"/>
        <v>4874712.0999999996</v>
      </c>
      <c r="P3" s="166">
        <f>IF(G3=0,"",O3/G3)</f>
        <v>1.3513302996971606</v>
      </c>
      <c r="Q3" s="200">
        <f>IF(N3=0,"",O3/N3)</f>
        <v>188.87622277939155</v>
      </c>
    </row>
    <row r="4" spans="1:17" ht="14.4" customHeight="1" x14ac:dyDescent="0.3">
      <c r="A4" s="494" t="s">
        <v>61</v>
      </c>
      <c r="B4" s="493" t="s">
        <v>106</v>
      </c>
      <c r="C4" s="494" t="s">
        <v>107</v>
      </c>
      <c r="D4" s="495" t="s">
        <v>77</v>
      </c>
      <c r="E4" s="496" t="s">
        <v>11</v>
      </c>
      <c r="F4" s="497">
        <v>2012</v>
      </c>
      <c r="G4" s="498"/>
      <c r="H4" s="201"/>
      <c r="I4" s="201"/>
      <c r="J4" s="497">
        <v>2013</v>
      </c>
      <c r="K4" s="498"/>
      <c r="L4" s="201"/>
      <c r="M4" s="201"/>
      <c r="N4" s="497">
        <v>2014</v>
      </c>
      <c r="O4" s="498"/>
      <c r="P4" s="499" t="s">
        <v>2</v>
      </c>
      <c r="Q4" s="492" t="s">
        <v>109</v>
      </c>
    </row>
    <row r="5" spans="1:17" ht="14.4" customHeight="1" thickBot="1" x14ac:dyDescent="0.35">
      <c r="A5" s="663"/>
      <c r="B5" s="664"/>
      <c r="C5" s="663"/>
      <c r="D5" s="665"/>
      <c r="E5" s="666"/>
      <c r="F5" s="667" t="s">
        <v>78</v>
      </c>
      <c r="G5" s="668" t="s">
        <v>14</v>
      </c>
      <c r="H5" s="669"/>
      <c r="I5" s="669"/>
      <c r="J5" s="667" t="s">
        <v>78</v>
      </c>
      <c r="K5" s="668" t="s">
        <v>14</v>
      </c>
      <c r="L5" s="669"/>
      <c r="M5" s="669"/>
      <c r="N5" s="667" t="s">
        <v>78</v>
      </c>
      <c r="O5" s="668" t="s">
        <v>14</v>
      </c>
      <c r="P5" s="670"/>
      <c r="Q5" s="671"/>
    </row>
    <row r="6" spans="1:17" ht="14.4" customHeight="1" x14ac:dyDescent="0.3">
      <c r="A6" s="584" t="s">
        <v>2994</v>
      </c>
      <c r="B6" s="585" t="s">
        <v>2748</v>
      </c>
      <c r="C6" s="585" t="s">
        <v>2295</v>
      </c>
      <c r="D6" s="585" t="s">
        <v>2995</v>
      </c>
      <c r="E6" s="585" t="s">
        <v>2996</v>
      </c>
      <c r="F6" s="588">
        <v>1</v>
      </c>
      <c r="G6" s="588">
        <v>554</v>
      </c>
      <c r="H6" s="588">
        <v>1</v>
      </c>
      <c r="I6" s="588">
        <v>554</v>
      </c>
      <c r="J6" s="588"/>
      <c r="K6" s="588"/>
      <c r="L6" s="588"/>
      <c r="M6" s="588"/>
      <c r="N6" s="588"/>
      <c r="O6" s="588"/>
      <c r="P6" s="607"/>
      <c r="Q6" s="589"/>
    </row>
    <row r="7" spans="1:17" ht="14.4" customHeight="1" x14ac:dyDescent="0.3">
      <c r="A7" s="590" t="s">
        <v>2994</v>
      </c>
      <c r="B7" s="591" t="s">
        <v>2873</v>
      </c>
      <c r="C7" s="591" t="s">
        <v>2295</v>
      </c>
      <c r="D7" s="591" t="s">
        <v>2997</v>
      </c>
      <c r="E7" s="591" t="s">
        <v>2998</v>
      </c>
      <c r="F7" s="594"/>
      <c r="G7" s="594"/>
      <c r="H7" s="594"/>
      <c r="I7" s="594"/>
      <c r="J7" s="594">
        <v>1</v>
      </c>
      <c r="K7" s="594">
        <v>219</v>
      </c>
      <c r="L7" s="594"/>
      <c r="M7" s="594">
        <v>219</v>
      </c>
      <c r="N7" s="594"/>
      <c r="O7" s="594"/>
      <c r="P7" s="616"/>
      <c r="Q7" s="595"/>
    </row>
    <row r="8" spans="1:17" ht="14.4" customHeight="1" x14ac:dyDescent="0.3">
      <c r="A8" s="590" t="s">
        <v>2994</v>
      </c>
      <c r="B8" s="591" t="s">
        <v>2873</v>
      </c>
      <c r="C8" s="591" t="s">
        <v>2295</v>
      </c>
      <c r="D8" s="591" t="s">
        <v>2880</v>
      </c>
      <c r="E8" s="591" t="s">
        <v>2881</v>
      </c>
      <c r="F8" s="594"/>
      <c r="G8" s="594"/>
      <c r="H8" s="594"/>
      <c r="I8" s="594"/>
      <c r="J8" s="594"/>
      <c r="K8" s="594"/>
      <c r="L8" s="594"/>
      <c r="M8" s="594"/>
      <c r="N8" s="594">
        <v>1</v>
      </c>
      <c r="O8" s="594">
        <v>5572</v>
      </c>
      <c r="P8" s="616"/>
      <c r="Q8" s="595">
        <v>5572</v>
      </c>
    </row>
    <row r="9" spans="1:17" ht="14.4" customHeight="1" x14ac:dyDescent="0.3">
      <c r="A9" s="590" t="s">
        <v>2999</v>
      </c>
      <c r="B9" s="591" t="s">
        <v>974</v>
      </c>
      <c r="C9" s="591" t="s">
        <v>2530</v>
      </c>
      <c r="D9" s="591" t="s">
        <v>3000</v>
      </c>
      <c r="E9" s="591" t="s">
        <v>2795</v>
      </c>
      <c r="F9" s="594">
        <v>0.45</v>
      </c>
      <c r="G9" s="594">
        <v>974.39</v>
      </c>
      <c r="H9" s="594">
        <v>1</v>
      </c>
      <c r="I9" s="594">
        <v>2165.3111111111111</v>
      </c>
      <c r="J9" s="594">
        <v>0.5</v>
      </c>
      <c r="K9" s="594">
        <v>1092.1600000000001</v>
      </c>
      <c r="L9" s="594">
        <v>1.120865361918739</v>
      </c>
      <c r="M9" s="594">
        <v>2184.3200000000002</v>
      </c>
      <c r="N9" s="594"/>
      <c r="O9" s="594"/>
      <c r="P9" s="616"/>
      <c r="Q9" s="595"/>
    </row>
    <row r="10" spans="1:17" ht="14.4" customHeight="1" x14ac:dyDescent="0.3">
      <c r="A10" s="590" t="s">
        <v>2999</v>
      </c>
      <c r="B10" s="591" t="s">
        <v>974</v>
      </c>
      <c r="C10" s="591" t="s">
        <v>2586</v>
      </c>
      <c r="D10" s="591" t="s">
        <v>3001</v>
      </c>
      <c r="E10" s="591" t="s">
        <v>2588</v>
      </c>
      <c r="F10" s="594">
        <v>150</v>
      </c>
      <c r="G10" s="594">
        <v>679.5</v>
      </c>
      <c r="H10" s="594">
        <v>1</v>
      </c>
      <c r="I10" s="594">
        <v>4.53</v>
      </c>
      <c r="J10" s="594">
        <v>150</v>
      </c>
      <c r="K10" s="594">
        <v>726</v>
      </c>
      <c r="L10" s="594">
        <v>1.0684326710816776</v>
      </c>
      <c r="M10" s="594">
        <v>4.84</v>
      </c>
      <c r="N10" s="594"/>
      <c r="O10" s="594"/>
      <c r="P10" s="616"/>
      <c r="Q10" s="595"/>
    </row>
    <row r="11" spans="1:17" ht="14.4" customHeight="1" x14ac:dyDescent="0.3">
      <c r="A11" s="590" t="s">
        <v>2999</v>
      </c>
      <c r="B11" s="591" t="s">
        <v>974</v>
      </c>
      <c r="C11" s="591" t="s">
        <v>2586</v>
      </c>
      <c r="D11" s="591" t="s">
        <v>3002</v>
      </c>
      <c r="E11" s="591" t="s">
        <v>2588</v>
      </c>
      <c r="F11" s="594">
        <v>1</v>
      </c>
      <c r="G11" s="594">
        <v>2135.09</v>
      </c>
      <c r="H11" s="594">
        <v>1</v>
      </c>
      <c r="I11" s="594">
        <v>2135.09</v>
      </c>
      <c r="J11" s="594">
        <v>1</v>
      </c>
      <c r="K11" s="594">
        <v>2299.5500000000002</v>
      </c>
      <c r="L11" s="594">
        <v>1.0770271979167154</v>
      </c>
      <c r="M11" s="594">
        <v>2299.5500000000002</v>
      </c>
      <c r="N11" s="594"/>
      <c r="O11" s="594"/>
      <c r="P11" s="616"/>
      <c r="Q11" s="595"/>
    </row>
    <row r="12" spans="1:17" ht="14.4" customHeight="1" x14ac:dyDescent="0.3">
      <c r="A12" s="590" t="s">
        <v>2999</v>
      </c>
      <c r="B12" s="591" t="s">
        <v>974</v>
      </c>
      <c r="C12" s="591" t="s">
        <v>2586</v>
      </c>
      <c r="D12" s="591" t="s">
        <v>3003</v>
      </c>
      <c r="E12" s="591" t="s">
        <v>2588</v>
      </c>
      <c r="F12" s="594">
        <v>449</v>
      </c>
      <c r="G12" s="594">
        <v>13972.88</v>
      </c>
      <c r="H12" s="594">
        <v>1</v>
      </c>
      <c r="I12" s="594">
        <v>31.119999999999997</v>
      </c>
      <c r="J12" s="594">
        <v>388</v>
      </c>
      <c r="K12" s="594">
        <v>12908.76</v>
      </c>
      <c r="L12" s="594">
        <v>0.9238439033327418</v>
      </c>
      <c r="M12" s="594">
        <v>33.270000000000003</v>
      </c>
      <c r="N12" s="594"/>
      <c r="O12" s="594"/>
      <c r="P12" s="616"/>
      <c r="Q12" s="595"/>
    </row>
    <row r="13" spans="1:17" ht="14.4" customHeight="1" x14ac:dyDescent="0.3">
      <c r="A13" s="590" t="s">
        <v>2999</v>
      </c>
      <c r="B13" s="591" t="s">
        <v>974</v>
      </c>
      <c r="C13" s="591" t="s">
        <v>2586</v>
      </c>
      <c r="D13" s="591" t="s">
        <v>3004</v>
      </c>
      <c r="E13" s="591" t="s">
        <v>2588</v>
      </c>
      <c r="F13" s="594"/>
      <c r="G13" s="594"/>
      <c r="H13" s="594"/>
      <c r="I13" s="594"/>
      <c r="J13" s="594"/>
      <c r="K13" s="594"/>
      <c r="L13" s="594"/>
      <c r="M13" s="594"/>
      <c r="N13" s="594">
        <v>110</v>
      </c>
      <c r="O13" s="594">
        <v>2127.4</v>
      </c>
      <c r="P13" s="616"/>
      <c r="Q13" s="595">
        <v>19.34</v>
      </c>
    </row>
    <row r="14" spans="1:17" ht="14.4" customHeight="1" x14ac:dyDescent="0.3">
      <c r="A14" s="590" t="s">
        <v>2999</v>
      </c>
      <c r="B14" s="591" t="s">
        <v>974</v>
      </c>
      <c r="C14" s="591" t="s">
        <v>2295</v>
      </c>
      <c r="D14" s="591" t="s">
        <v>3005</v>
      </c>
      <c r="E14" s="591" t="s">
        <v>3006</v>
      </c>
      <c r="F14" s="594">
        <v>1</v>
      </c>
      <c r="G14" s="594">
        <v>653</v>
      </c>
      <c r="H14" s="594">
        <v>1</v>
      </c>
      <c r="I14" s="594">
        <v>653</v>
      </c>
      <c r="J14" s="594">
        <v>1</v>
      </c>
      <c r="K14" s="594">
        <v>654</v>
      </c>
      <c r="L14" s="594">
        <v>1.0015313935681469</v>
      </c>
      <c r="M14" s="594">
        <v>654</v>
      </c>
      <c r="N14" s="594"/>
      <c r="O14" s="594"/>
      <c r="P14" s="616"/>
      <c r="Q14" s="595"/>
    </row>
    <row r="15" spans="1:17" ht="14.4" customHeight="1" x14ac:dyDescent="0.3">
      <c r="A15" s="590" t="s">
        <v>2999</v>
      </c>
      <c r="B15" s="591" t="s">
        <v>974</v>
      </c>
      <c r="C15" s="591" t="s">
        <v>2295</v>
      </c>
      <c r="D15" s="591" t="s">
        <v>3007</v>
      </c>
      <c r="E15" s="591" t="s">
        <v>3008</v>
      </c>
      <c r="F15" s="594"/>
      <c r="G15" s="594"/>
      <c r="H15" s="594"/>
      <c r="I15" s="594"/>
      <c r="J15" s="594"/>
      <c r="K15" s="594"/>
      <c r="L15" s="594"/>
      <c r="M15" s="594"/>
      <c r="N15" s="594">
        <v>2</v>
      </c>
      <c r="O15" s="594">
        <v>6900</v>
      </c>
      <c r="P15" s="616"/>
      <c r="Q15" s="595">
        <v>3450</v>
      </c>
    </row>
    <row r="16" spans="1:17" ht="14.4" customHeight="1" x14ac:dyDescent="0.3">
      <c r="A16" s="590" t="s">
        <v>2999</v>
      </c>
      <c r="B16" s="591" t="s">
        <v>974</v>
      </c>
      <c r="C16" s="591" t="s">
        <v>2295</v>
      </c>
      <c r="D16" s="591" t="s">
        <v>3009</v>
      </c>
      <c r="E16" s="591" t="s">
        <v>3010</v>
      </c>
      <c r="F16" s="594"/>
      <c r="G16" s="594"/>
      <c r="H16" s="594"/>
      <c r="I16" s="594"/>
      <c r="J16" s="594">
        <v>1</v>
      </c>
      <c r="K16" s="594">
        <v>14328</v>
      </c>
      <c r="L16" s="594"/>
      <c r="M16" s="594">
        <v>14328</v>
      </c>
      <c r="N16" s="594"/>
      <c r="O16" s="594"/>
      <c r="P16" s="616"/>
      <c r="Q16" s="595"/>
    </row>
    <row r="17" spans="1:17" ht="14.4" customHeight="1" x14ac:dyDescent="0.3">
      <c r="A17" s="590" t="s">
        <v>2999</v>
      </c>
      <c r="B17" s="591" t="s">
        <v>974</v>
      </c>
      <c r="C17" s="591" t="s">
        <v>2295</v>
      </c>
      <c r="D17" s="591" t="s">
        <v>3011</v>
      </c>
      <c r="E17" s="591" t="s">
        <v>3012</v>
      </c>
      <c r="F17" s="594">
        <v>1</v>
      </c>
      <c r="G17" s="594">
        <v>486</v>
      </c>
      <c r="H17" s="594">
        <v>1</v>
      </c>
      <c r="I17" s="594">
        <v>486</v>
      </c>
      <c r="J17" s="594">
        <v>1</v>
      </c>
      <c r="K17" s="594">
        <v>487</v>
      </c>
      <c r="L17" s="594">
        <v>1.0020576131687242</v>
      </c>
      <c r="M17" s="594">
        <v>487</v>
      </c>
      <c r="N17" s="594"/>
      <c r="O17" s="594"/>
      <c r="P17" s="616"/>
      <c r="Q17" s="595"/>
    </row>
    <row r="18" spans="1:17" ht="14.4" customHeight="1" x14ac:dyDescent="0.3">
      <c r="A18" s="590" t="s">
        <v>3013</v>
      </c>
      <c r="B18" s="591" t="s">
        <v>3014</v>
      </c>
      <c r="C18" s="591" t="s">
        <v>2295</v>
      </c>
      <c r="D18" s="591" t="s">
        <v>3015</v>
      </c>
      <c r="E18" s="591" t="s">
        <v>3016</v>
      </c>
      <c r="F18" s="594">
        <v>22</v>
      </c>
      <c r="G18" s="594">
        <v>7700</v>
      </c>
      <c r="H18" s="594">
        <v>1</v>
      </c>
      <c r="I18" s="594">
        <v>350</v>
      </c>
      <c r="J18" s="594">
        <v>32</v>
      </c>
      <c r="K18" s="594">
        <v>11200</v>
      </c>
      <c r="L18" s="594">
        <v>1.4545454545454546</v>
      </c>
      <c r="M18" s="594">
        <v>350</v>
      </c>
      <c r="N18" s="594">
        <v>43</v>
      </c>
      <c r="O18" s="594">
        <v>15061</v>
      </c>
      <c r="P18" s="616">
        <v>1.9559740259740259</v>
      </c>
      <c r="Q18" s="595">
        <v>350.25581395348837</v>
      </c>
    </row>
    <row r="19" spans="1:17" ht="14.4" customHeight="1" x14ac:dyDescent="0.3">
      <c r="A19" s="590" t="s">
        <v>3013</v>
      </c>
      <c r="B19" s="591" t="s">
        <v>3014</v>
      </c>
      <c r="C19" s="591" t="s">
        <v>2295</v>
      </c>
      <c r="D19" s="591" t="s">
        <v>3017</v>
      </c>
      <c r="E19" s="591" t="s">
        <v>3018</v>
      </c>
      <c r="F19" s="594">
        <v>59</v>
      </c>
      <c r="G19" s="594">
        <v>3776</v>
      </c>
      <c r="H19" s="594">
        <v>1</v>
      </c>
      <c r="I19" s="594">
        <v>64</v>
      </c>
      <c r="J19" s="594">
        <v>94</v>
      </c>
      <c r="K19" s="594">
        <v>6110</v>
      </c>
      <c r="L19" s="594">
        <v>1.6181144067796611</v>
      </c>
      <c r="M19" s="594">
        <v>65</v>
      </c>
      <c r="N19" s="594">
        <v>88</v>
      </c>
      <c r="O19" s="594">
        <v>5720</v>
      </c>
      <c r="P19" s="616">
        <v>1.5148305084745763</v>
      </c>
      <c r="Q19" s="595">
        <v>65</v>
      </c>
    </row>
    <row r="20" spans="1:17" ht="14.4" customHeight="1" x14ac:dyDescent="0.3">
      <c r="A20" s="590" t="s">
        <v>3013</v>
      </c>
      <c r="B20" s="591" t="s">
        <v>3014</v>
      </c>
      <c r="C20" s="591" t="s">
        <v>2295</v>
      </c>
      <c r="D20" s="591" t="s">
        <v>3019</v>
      </c>
      <c r="E20" s="591" t="s">
        <v>3020</v>
      </c>
      <c r="F20" s="594">
        <v>29</v>
      </c>
      <c r="G20" s="594">
        <v>667</v>
      </c>
      <c r="H20" s="594">
        <v>1</v>
      </c>
      <c r="I20" s="594">
        <v>23</v>
      </c>
      <c r="J20" s="594">
        <v>23</v>
      </c>
      <c r="K20" s="594">
        <v>529</v>
      </c>
      <c r="L20" s="594">
        <v>0.7931034482758621</v>
      </c>
      <c r="M20" s="594">
        <v>23</v>
      </c>
      <c r="N20" s="594">
        <v>18</v>
      </c>
      <c r="O20" s="594">
        <v>421</v>
      </c>
      <c r="P20" s="616">
        <v>0.63118440779610197</v>
      </c>
      <c r="Q20" s="595">
        <v>23.388888888888889</v>
      </c>
    </row>
    <row r="21" spans="1:17" ht="14.4" customHeight="1" x14ac:dyDescent="0.3">
      <c r="A21" s="590" t="s">
        <v>3013</v>
      </c>
      <c r="B21" s="591" t="s">
        <v>3014</v>
      </c>
      <c r="C21" s="591" t="s">
        <v>2295</v>
      </c>
      <c r="D21" s="591" t="s">
        <v>3021</v>
      </c>
      <c r="E21" s="591" t="s">
        <v>3022</v>
      </c>
      <c r="F21" s="594">
        <v>13</v>
      </c>
      <c r="G21" s="594">
        <v>702</v>
      </c>
      <c r="H21" s="594">
        <v>1</v>
      </c>
      <c r="I21" s="594">
        <v>54</v>
      </c>
      <c r="J21" s="594">
        <v>6</v>
      </c>
      <c r="K21" s="594">
        <v>324</v>
      </c>
      <c r="L21" s="594">
        <v>0.46153846153846156</v>
      </c>
      <c r="M21" s="594">
        <v>54</v>
      </c>
      <c r="N21" s="594">
        <v>13</v>
      </c>
      <c r="O21" s="594">
        <v>702</v>
      </c>
      <c r="P21" s="616">
        <v>1</v>
      </c>
      <c r="Q21" s="595">
        <v>54</v>
      </c>
    </row>
    <row r="22" spans="1:17" ht="14.4" customHeight="1" x14ac:dyDescent="0.3">
      <c r="A22" s="590" t="s">
        <v>3013</v>
      </c>
      <c r="B22" s="591" t="s">
        <v>3014</v>
      </c>
      <c r="C22" s="591" t="s">
        <v>2295</v>
      </c>
      <c r="D22" s="591" t="s">
        <v>3023</v>
      </c>
      <c r="E22" s="591" t="s">
        <v>3024</v>
      </c>
      <c r="F22" s="594">
        <v>893</v>
      </c>
      <c r="G22" s="594">
        <v>68761</v>
      </c>
      <c r="H22" s="594">
        <v>1</v>
      </c>
      <c r="I22" s="594">
        <v>77</v>
      </c>
      <c r="J22" s="594">
        <v>1023</v>
      </c>
      <c r="K22" s="594">
        <v>78771</v>
      </c>
      <c r="L22" s="594">
        <v>1.1455767077267638</v>
      </c>
      <c r="M22" s="594">
        <v>77</v>
      </c>
      <c r="N22" s="594">
        <v>1082</v>
      </c>
      <c r="O22" s="594">
        <v>83314</v>
      </c>
      <c r="P22" s="616">
        <v>1.211646136618141</v>
      </c>
      <c r="Q22" s="595">
        <v>77</v>
      </c>
    </row>
    <row r="23" spans="1:17" ht="14.4" customHeight="1" x14ac:dyDescent="0.3">
      <c r="A23" s="590" t="s">
        <v>3013</v>
      </c>
      <c r="B23" s="591" t="s">
        <v>3014</v>
      </c>
      <c r="C23" s="591" t="s">
        <v>2295</v>
      </c>
      <c r="D23" s="591" t="s">
        <v>3025</v>
      </c>
      <c r="E23" s="591" t="s">
        <v>3026</v>
      </c>
      <c r="F23" s="594">
        <v>54</v>
      </c>
      <c r="G23" s="594">
        <v>1188</v>
      </c>
      <c r="H23" s="594">
        <v>1</v>
      </c>
      <c r="I23" s="594">
        <v>22</v>
      </c>
      <c r="J23" s="594">
        <v>53</v>
      </c>
      <c r="K23" s="594">
        <v>1166</v>
      </c>
      <c r="L23" s="594">
        <v>0.98148148148148151</v>
      </c>
      <c r="M23" s="594">
        <v>22</v>
      </c>
      <c r="N23" s="594">
        <v>42</v>
      </c>
      <c r="O23" s="594">
        <v>942</v>
      </c>
      <c r="P23" s="616">
        <v>0.79292929292929293</v>
      </c>
      <c r="Q23" s="595">
        <v>22.428571428571427</v>
      </c>
    </row>
    <row r="24" spans="1:17" ht="14.4" customHeight="1" x14ac:dyDescent="0.3">
      <c r="A24" s="590" t="s">
        <v>3013</v>
      </c>
      <c r="B24" s="591" t="s">
        <v>3014</v>
      </c>
      <c r="C24" s="591" t="s">
        <v>2295</v>
      </c>
      <c r="D24" s="591" t="s">
        <v>3027</v>
      </c>
      <c r="E24" s="591" t="s">
        <v>3028</v>
      </c>
      <c r="F24" s="594">
        <v>23</v>
      </c>
      <c r="G24" s="594">
        <v>4807</v>
      </c>
      <c r="H24" s="594">
        <v>1</v>
      </c>
      <c r="I24" s="594">
        <v>209</v>
      </c>
      <c r="J24" s="594">
        <v>24</v>
      </c>
      <c r="K24" s="594">
        <v>5016</v>
      </c>
      <c r="L24" s="594">
        <v>1.0434782608695652</v>
      </c>
      <c r="M24" s="594">
        <v>209</v>
      </c>
      <c r="N24" s="594"/>
      <c r="O24" s="594"/>
      <c r="P24" s="616"/>
      <c r="Q24" s="595"/>
    </row>
    <row r="25" spans="1:17" ht="14.4" customHeight="1" x14ac:dyDescent="0.3">
      <c r="A25" s="590" t="s">
        <v>3013</v>
      </c>
      <c r="B25" s="591" t="s">
        <v>3014</v>
      </c>
      <c r="C25" s="591" t="s">
        <v>2295</v>
      </c>
      <c r="D25" s="591" t="s">
        <v>3029</v>
      </c>
      <c r="E25" s="591" t="s">
        <v>3030</v>
      </c>
      <c r="F25" s="594">
        <v>1</v>
      </c>
      <c r="G25" s="594">
        <v>66</v>
      </c>
      <c r="H25" s="594">
        <v>1</v>
      </c>
      <c r="I25" s="594">
        <v>66</v>
      </c>
      <c r="J25" s="594">
        <v>5</v>
      </c>
      <c r="K25" s="594">
        <v>330</v>
      </c>
      <c r="L25" s="594">
        <v>5</v>
      </c>
      <c r="M25" s="594">
        <v>66</v>
      </c>
      <c r="N25" s="594">
        <v>9</v>
      </c>
      <c r="O25" s="594">
        <v>594</v>
      </c>
      <c r="P25" s="616">
        <v>9</v>
      </c>
      <c r="Q25" s="595">
        <v>66</v>
      </c>
    </row>
    <row r="26" spans="1:17" ht="14.4" customHeight="1" x14ac:dyDescent="0.3">
      <c r="A26" s="590" t="s">
        <v>3013</v>
      </c>
      <c r="B26" s="591" t="s">
        <v>3014</v>
      </c>
      <c r="C26" s="591" t="s">
        <v>2295</v>
      </c>
      <c r="D26" s="591" t="s">
        <v>3031</v>
      </c>
      <c r="E26" s="591" t="s">
        <v>3032</v>
      </c>
      <c r="F26" s="594">
        <v>22</v>
      </c>
      <c r="G26" s="594">
        <v>506</v>
      </c>
      <c r="H26" s="594">
        <v>1</v>
      </c>
      <c r="I26" s="594">
        <v>23</v>
      </c>
      <c r="J26" s="594">
        <v>28</v>
      </c>
      <c r="K26" s="594">
        <v>672</v>
      </c>
      <c r="L26" s="594">
        <v>1.3280632411067195</v>
      </c>
      <c r="M26" s="594">
        <v>24</v>
      </c>
      <c r="N26" s="594">
        <v>21</v>
      </c>
      <c r="O26" s="594">
        <v>504</v>
      </c>
      <c r="P26" s="616">
        <v>0.99604743083003955</v>
      </c>
      <c r="Q26" s="595">
        <v>24</v>
      </c>
    </row>
    <row r="27" spans="1:17" ht="14.4" customHeight="1" x14ac:dyDescent="0.3">
      <c r="A27" s="590" t="s">
        <v>3013</v>
      </c>
      <c r="B27" s="591" t="s">
        <v>3014</v>
      </c>
      <c r="C27" s="591" t="s">
        <v>2295</v>
      </c>
      <c r="D27" s="591" t="s">
        <v>3033</v>
      </c>
      <c r="E27" s="591" t="s">
        <v>3034</v>
      </c>
      <c r="F27" s="594">
        <v>56</v>
      </c>
      <c r="G27" s="594">
        <v>10080</v>
      </c>
      <c r="H27" s="594">
        <v>1</v>
      </c>
      <c r="I27" s="594">
        <v>180</v>
      </c>
      <c r="J27" s="594">
        <v>45</v>
      </c>
      <c r="K27" s="594">
        <v>8100</v>
      </c>
      <c r="L27" s="594">
        <v>0.8035714285714286</v>
      </c>
      <c r="M27" s="594">
        <v>180</v>
      </c>
      <c r="N27" s="594">
        <v>72</v>
      </c>
      <c r="O27" s="594">
        <v>12960</v>
      </c>
      <c r="P27" s="616">
        <v>1.2857142857142858</v>
      </c>
      <c r="Q27" s="595">
        <v>180</v>
      </c>
    </row>
    <row r="28" spans="1:17" ht="14.4" customHeight="1" x14ac:dyDescent="0.3">
      <c r="A28" s="590" t="s">
        <v>3013</v>
      </c>
      <c r="B28" s="591" t="s">
        <v>3014</v>
      </c>
      <c r="C28" s="591" t="s">
        <v>2295</v>
      </c>
      <c r="D28" s="591" t="s">
        <v>3035</v>
      </c>
      <c r="E28" s="591" t="s">
        <v>3036</v>
      </c>
      <c r="F28" s="594">
        <v>2</v>
      </c>
      <c r="G28" s="594">
        <v>506</v>
      </c>
      <c r="H28" s="594">
        <v>1</v>
      </c>
      <c r="I28" s="594">
        <v>253</v>
      </c>
      <c r="J28" s="594">
        <v>2</v>
      </c>
      <c r="K28" s="594">
        <v>506</v>
      </c>
      <c r="L28" s="594">
        <v>1</v>
      </c>
      <c r="M28" s="594">
        <v>253</v>
      </c>
      <c r="N28" s="594">
        <v>40</v>
      </c>
      <c r="O28" s="594">
        <v>10120</v>
      </c>
      <c r="P28" s="616">
        <v>20</v>
      </c>
      <c r="Q28" s="595">
        <v>253</v>
      </c>
    </row>
    <row r="29" spans="1:17" ht="14.4" customHeight="1" x14ac:dyDescent="0.3">
      <c r="A29" s="590" t="s">
        <v>3013</v>
      </c>
      <c r="B29" s="591" t="s">
        <v>3014</v>
      </c>
      <c r="C29" s="591" t="s">
        <v>2295</v>
      </c>
      <c r="D29" s="591" t="s">
        <v>3037</v>
      </c>
      <c r="E29" s="591" t="s">
        <v>3038</v>
      </c>
      <c r="F29" s="594"/>
      <c r="G29" s="594"/>
      <c r="H29" s="594"/>
      <c r="I29" s="594"/>
      <c r="J29" s="594">
        <v>1</v>
      </c>
      <c r="K29" s="594">
        <v>189</v>
      </c>
      <c r="L29" s="594"/>
      <c r="M29" s="594">
        <v>189</v>
      </c>
      <c r="N29" s="594"/>
      <c r="O29" s="594"/>
      <c r="P29" s="616"/>
      <c r="Q29" s="595"/>
    </row>
    <row r="30" spans="1:17" ht="14.4" customHeight="1" x14ac:dyDescent="0.3">
      <c r="A30" s="590" t="s">
        <v>3013</v>
      </c>
      <c r="B30" s="591" t="s">
        <v>3014</v>
      </c>
      <c r="C30" s="591" t="s">
        <v>2295</v>
      </c>
      <c r="D30" s="591" t="s">
        <v>3039</v>
      </c>
      <c r="E30" s="591" t="s">
        <v>3040</v>
      </c>
      <c r="F30" s="594">
        <v>88</v>
      </c>
      <c r="G30" s="594">
        <v>19008</v>
      </c>
      <c r="H30" s="594">
        <v>1</v>
      </c>
      <c r="I30" s="594">
        <v>216</v>
      </c>
      <c r="J30" s="594">
        <v>79</v>
      </c>
      <c r="K30" s="594">
        <v>17064</v>
      </c>
      <c r="L30" s="594">
        <v>0.89772727272727271</v>
      </c>
      <c r="M30" s="594">
        <v>216</v>
      </c>
      <c r="N30" s="594">
        <v>126</v>
      </c>
      <c r="O30" s="594">
        <v>27216</v>
      </c>
      <c r="P30" s="616">
        <v>1.4318181818181819</v>
      </c>
      <c r="Q30" s="595">
        <v>216</v>
      </c>
    </row>
    <row r="31" spans="1:17" ht="14.4" customHeight="1" x14ac:dyDescent="0.3">
      <c r="A31" s="590" t="s">
        <v>3013</v>
      </c>
      <c r="B31" s="591" t="s">
        <v>3014</v>
      </c>
      <c r="C31" s="591" t="s">
        <v>2295</v>
      </c>
      <c r="D31" s="591" t="s">
        <v>3041</v>
      </c>
      <c r="E31" s="591" t="s">
        <v>3042</v>
      </c>
      <c r="F31" s="594"/>
      <c r="G31" s="594"/>
      <c r="H31" s="594"/>
      <c r="I31" s="594"/>
      <c r="J31" s="594"/>
      <c r="K31" s="594"/>
      <c r="L31" s="594"/>
      <c r="M31" s="594"/>
      <c r="N31" s="594">
        <v>2</v>
      </c>
      <c r="O31" s="594">
        <v>71</v>
      </c>
      <c r="P31" s="616"/>
      <c r="Q31" s="595">
        <v>35.5</v>
      </c>
    </row>
    <row r="32" spans="1:17" ht="14.4" customHeight="1" x14ac:dyDescent="0.3">
      <c r="A32" s="590" t="s">
        <v>3013</v>
      </c>
      <c r="B32" s="591" t="s">
        <v>3014</v>
      </c>
      <c r="C32" s="591" t="s">
        <v>2295</v>
      </c>
      <c r="D32" s="591" t="s">
        <v>3043</v>
      </c>
      <c r="E32" s="591" t="s">
        <v>3044</v>
      </c>
      <c r="F32" s="594">
        <v>4</v>
      </c>
      <c r="G32" s="594">
        <v>200</v>
      </c>
      <c r="H32" s="594">
        <v>1</v>
      </c>
      <c r="I32" s="594">
        <v>50</v>
      </c>
      <c r="J32" s="594">
        <v>11</v>
      </c>
      <c r="K32" s="594">
        <v>550</v>
      </c>
      <c r="L32" s="594">
        <v>2.75</v>
      </c>
      <c r="M32" s="594">
        <v>50</v>
      </c>
      <c r="N32" s="594">
        <v>14</v>
      </c>
      <c r="O32" s="594">
        <v>700</v>
      </c>
      <c r="P32" s="616">
        <v>3.5</v>
      </c>
      <c r="Q32" s="595">
        <v>50</v>
      </c>
    </row>
    <row r="33" spans="1:17" ht="14.4" customHeight="1" x14ac:dyDescent="0.3">
      <c r="A33" s="590" t="s">
        <v>3013</v>
      </c>
      <c r="B33" s="591" t="s">
        <v>3014</v>
      </c>
      <c r="C33" s="591" t="s">
        <v>2295</v>
      </c>
      <c r="D33" s="591" t="s">
        <v>3045</v>
      </c>
      <c r="E33" s="591" t="s">
        <v>3046</v>
      </c>
      <c r="F33" s="594"/>
      <c r="G33" s="594"/>
      <c r="H33" s="594"/>
      <c r="I33" s="594"/>
      <c r="J33" s="594">
        <v>1</v>
      </c>
      <c r="K33" s="594">
        <v>326</v>
      </c>
      <c r="L33" s="594"/>
      <c r="M33" s="594">
        <v>326</v>
      </c>
      <c r="N33" s="594"/>
      <c r="O33" s="594"/>
      <c r="P33" s="616"/>
      <c r="Q33" s="595"/>
    </row>
    <row r="34" spans="1:17" ht="14.4" customHeight="1" x14ac:dyDescent="0.3">
      <c r="A34" s="590" t="s">
        <v>3047</v>
      </c>
      <c r="B34" s="591" t="s">
        <v>3048</v>
      </c>
      <c r="C34" s="591" t="s">
        <v>2295</v>
      </c>
      <c r="D34" s="591" t="s">
        <v>3049</v>
      </c>
      <c r="E34" s="591" t="s">
        <v>3050</v>
      </c>
      <c r="F34" s="594">
        <v>126</v>
      </c>
      <c r="G34" s="594">
        <v>3402</v>
      </c>
      <c r="H34" s="594">
        <v>1</v>
      </c>
      <c r="I34" s="594">
        <v>27</v>
      </c>
      <c r="J34" s="594">
        <v>121</v>
      </c>
      <c r="K34" s="594">
        <v>3267</v>
      </c>
      <c r="L34" s="594">
        <v>0.96031746031746035</v>
      </c>
      <c r="M34" s="594">
        <v>27</v>
      </c>
      <c r="N34" s="594">
        <v>167</v>
      </c>
      <c r="O34" s="594">
        <v>4509</v>
      </c>
      <c r="P34" s="616">
        <v>1.3253968253968254</v>
      </c>
      <c r="Q34" s="595">
        <v>27</v>
      </c>
    </row>
    <row r="35" spans="1:17" ht="14.4" customHeight="1" x14ac:dyDescent="0.3">
      <c r="A35" s="590" t="s">
        <v>3047</v>
      </c>
      <c r="B35" s="591" t="s">
        <v>3048</v>
      </c>
      <c r="C35" s="591" t="s">
        <v>2295</v>
      </c>
      <c r="D35" s="591" t="s">
        <v>3051</v>
      </c>
      <c r="E35" s="591" t="s">
        <v>3052</v>
      </c>
      <c r="F35" s="594">
        <v>133</v>
      </c>
      <c r="G35" s="594">
        <v>7182</v>
      </c>
      <c r="H35" s="594">
        <v>1</v>
      </c>
      <c r="I35" s="594">
        <v>54</v>
      </c>
      <c r="J35" s="594">
        <v>147</v>
      </c>
      <c r="K35" s="594">
        <v>7938</v>
      </c>
      <c r="L35" s="594">
        <v>1.1052631578947369</v>
      </c>
      <c r="M35" s="594">
        <v>54</v>
      </c>
      <c r="N35" s="594">
        <v>164</v>
      </c>
      <c r="O35" s="594">
        <v>8856</v>
      </c>
      <c r="P35" s="616">
        <v>1.2330827067669172</v>
      </c>
      <c r="Q35" s="595">
        <v>54</v>
      </c>
    </row>
    <row r="36" spans="1:17" ht="14.4" customHeight="1" x14ac:dyDescent="0.3">
      <c r="A36" s="590" t="s">
        <v>3047</v>
      </c>
      <c r="B36" s="591" t="s">
        <v>3048</v>
      </c>
      <c r="C36" s="591" t="s">
        <v>2295</v>
      </c>
      <c r="D36" s="591" t="s">
        <v>3053</v>
      </c>
      <c r="E36" s="591" t="s">
        <v>3054</v>
      </c>
      <c r="F36" s="594">
        <v>533</v>
      </c>
      <c r="G36" s="594">
        <v>12792</v>
      </c>
      <c r="H36" s="594">
        <v>1</v>
      </c>
      <c r="I36" s="594">
        <v>24</v>
      </c>
      <c r="J36" s="594">
        <v>556</v>
      </c>
      <c r="K36" s="594">
        <v>13344</v>
      </c>
      <c r="L36" s="594">
        <v>1.0431519699812384</v>
      </c>
      <c r="M36" s="594">
        <v>24</v>
      </c>
      <c r="N36" s="594">
        <v>571</v>
      </c>
      <c r="O36" s="594">
        <v>13704</v>
      </c>
      <c r="P36" s="616">
        <v>1.0712945590994372</v>
      </c>
      <c r="Q36" s="595">
        <v>24</v>
      </c>
    </row>
    <row r="37" spans="1:17" ht="14.4" customHeight="1" x14ac:dyDescent="0.3">
      <c r="A37" s="590" t="s">
        <v>3047</v>
      </c>
      <c r="B37" s="591" t="s">
        <v>3048</v>
      </c>
      <c r="C37" s="591" t="s">
        <v>2295</v>
      </c>
      <c r="D37" s="591" t="s">
        <v>3055</v>
      </c>
      <c r="E37" s="591" t="s">
        <v>3056</v>
      </c>
      <c r="F37" s="594">
        <v>649</v>
      </c>
      <c r="G37" s="594">
        <v>17523</v>
      </c>
      <c r="H37" s="594">
        <v>1</v>
      </c>
      <c r="I37" s="594">
        <v>27</v>
      </c>
      <c r="J37" s="594">
        <v>783</v>
      </c>
      <c r="K37" s="594">
        <v>21141</v>
      </c>
      <c r="L37" s="594">
        <v>1.2064714946070878</v>
      </c>
      <c r="M37" s="594">
        <v>27</v>
      </c>
      <c r="N37" s="594">
        <v>708</v>
      </c>
      <c r="O37" s="594">
        <v>19116</v>
      </c>
      <c r="P37" s="616">
        <v>1.0909090909090908</v>
      </c>
      <c r="Q37" s="595">
        <v>27</v>
      </c>
    </row>
    <row r="38" spans="1:17" ht="14.4" customHeight="1" x14ac:dyDescent="0.3">
      <c r="A38" s="590" t="s">
        <v>3047</v>
      </c>
      <c r="B38" s="591" t="s">
        <v>3048</v>
      </c>
      <c r="C38" s="591" t="s">
        <v>2295</v>
      </c>
      <c r="D38" s="591" t="s">
        <v>3057</v>
      </c>
      <c r="E38" s="591" t="s">
        <v>3058</v>
      </c>
      <c r="F38" s="594">
        <v>295</v>
      </c>
      <c r="G38" s="594">
        <v>16520</v>
      </c>
      <c r="H38" s="594">
        <v>1</v>
      </c>
      <c r="I38" s="594">
        <v>56</v>
      </c>
      <c r="J38" s="594">
        <v>123</v>
      </c>
      <c r="K38" s="594">
        <v>6888</v>
      </c>
      <c r="L38" s="594">
        <v>0.41694915254237286</v>
      </c>
      <c r="M38" s="594">
        <v>56</v>
      </c>
      <c r="N38" s="594">
        <v>123</v>
      </c>
      <c r="O38" s="594">
        <v>6896</v>
      </c>
      <c r="P38" s="616">
        <v>0.41743341404358353</v>
      </c>
      <c r="Q38" s="595">
        <v>56.065040650406502</v>
      </c>
    </row>
    <row r="39" spans="1:17" ht="14.4" customHeight="1" x14ac:dyDescent="0.3">
      <c r="A39" s="590" t="s">
        <v>3047</v>
      </c>
      <c r="B39" s="591" t="s">
        <v>3048</v>
      </c>
      <c r="C39" s="591" t="s">
        <v>2295</v>
      </c>
      <c r="D39" s="591" t="s">
        <v>3059</v>
      </c>
      <c r="E39" s="591" t="s">
        <v>3060</v>
      </c>
      <c r="F39" s="594">
        <v>107</v>
      </c>
      <c r="G39" s="594">
        <v>2889</v>
      </c>
      <c r="H39" s="594">
        <v>1</v>
      </c>
      <c r="I39" s="594">
        <v>27</v>
      </c>
      <c r="J39" s="594">
        <v>120</v>
      </c>
      <c r="K39" s="594">
        <v>3240</v>
      </c>
      <c r="L39" s="594">
        <v>1.1214953271028036</v>
      </c>
      <c r="M39" s="594">
        <v>27</v>
      </c>
      <c r="N39" s="594">
        <v>155</v>
      </c>
      <c r="O39" s="594">
        <v>4185</v>
      </c>
      <c r="P39" s="616">
        <v>1.4485981308411215</v>
      </c>
      <c r="Q39" s="595">
        <v>27</v>
      </c>
    </row>
    <row r="40" spans="1:17" ht="14.4" customHeight="1" x14ac:dyDescent="0.3">
      <c r="A40" s="590" t="s">
        <v>3047</v>
      </c>
      <c r="B40" s="591" t="s">
        <v>3048</v>
      </c>
      <c r="C40" s="591" t="s">
        <v>2295</v>
      </c>
      <c r="D40" s="591" t="s">
        <v>3061</v>
      </c>
      <c r="E40" s="591" t="s">
        <v>3062</v>
      </c>
      <c r="F40" s="594">
        <v>753</v>
      </c>
      <c r="G40" s="594">
        <v>16566</v>
      </c>
      <c r="H40" s="594">
        <v>1</v>
      </c>
      <c r="I40" s="594">
        <v>22</v>
      </c>
      <c r="J40" s="594">
        <v>883</v>
      </c>
      <c r="K40" s="594">
        <v>19426</v>
      </c>
      <c r="L40" s="594">
        <v>1.1726427622841966</v>
      </c>
      <c r="M40" s="594">
        <v>22</v>
      </c>
      <c r="N40" s="594">
        <v>1101</v>
      </c>
      <c r="O40" s="594">
        <v>24222</v>
      </c>
      <c r="P40" s="616">
        <v>1.4621513944223108</v>
      </c>
      <c r="Q40" s="595">
        <v>22</v>
      </c>
    </row>
    <row r="41" spans="1:17" ht="14.4" customHeight="1" x14ac:dyDescent="0.3">
      <c r="A41" s="590" t="s">
        <v>3047</v>
      </c>
      <c r="B41" s="591" t="s">
        <v>3048</v>
      </c>
      <c r="C41" s="591" t="s">
        <v>2295</v>
      </c>
      <c r="D41" s="591" t="s">
        <v>3063</v>
      </c>
      <c r="E41" s="591" t="s">
        <v>3064</v>
      </c>
      <c r="F41" s="594">
        <v>7</v>
      </c>
      <c r="G41" s="594">
        <v>476</v>
      </c>
      <c r="H41" s="594">
        <v>1</v>
      </c>
      <c r="I41" s="594">
        <v>68</v>
      </c>
      <c r="J41" s="594">
        <v>10</v>
      </c>
      <c r="K41" s="594">
        <v>680</v>
      </c>
      <c r="L41" s="594">
        <v>1.4285714285714286</v>
      </c>
      <c r="M41" s="594">
        <v>68</v>
      </c>
      <c r="N41" s="594">
        <v>6</v>
      </c>
      <c r="O41" s="594">
        <v>408</v>
      </c>
      <c r="P41" s="616">
        <v>0.8571428571428571</v>
      </c>
      <c r="Q41" s="595">
        <v>68</v>
      </c>
    </row>
    <row r="42" spans="1:17" ht="14.4" customHeight="1" x14ac:dyDescent="0.3">
      <c r="A42" s="590" t="s">
        <v>3047</v>
      </c>
      <c r="B42" s="591" t="s">
        <v>3048</v>
      </c>
      <c r="C42" s="591" t="s">
        <v>2295</v>
      </c>
      <c r="D42" s="591" t="s">
        <v>3065</v>
      </c>
      <c r="E42" s="591" t="s">
        <v>3066</v>
      </c>
      <c r="F42" s="594">
        <v>6</v>
      </c>
      <c r="G42" s="594">
        <v>372</v>
      </c>
      <c r="H42" s="594">
        <v>1</v>
      </c>
      <c r="I42" s="594">
        <v>62</v>
      </c>
      <c r="J42" s="594">
        <v>1</v>
      </c>
      <c r="K42" s="594">
        <v>62</v>
      </c>
      <c r="L42" s="594">
        <v>0.16666666666666666</v>
      </c>
      <c r="M42" s="594">
        <v>62</v>
      </c>
      <c r="N42" s="594">
        <v>3</v>
      </c>
      <c r="O42" s="594">
        <v>186</v>
      </c>
      <c r="P42" s="616">
        <v>0.5</v>
      </c>
      <c r="Q42" s="595">
        <v>62</v>
      </c>
    </row>
    <row r="43" spans="1:17" ht="14.4" customHeight="1" x14ac:dyDescent="0.3">
      <c r="A43" s="590" t="s">
        <v>3047</v>
      </c>
      <c r="B43" s="591" t="s">
        <v>3048</v>
      </c>
      <c r="C43" s="591" t="s">
        <v>2295</v>
      </c>
      <c r="D43" s="591" t="s">
        <v>3067</v>
      </c>
      <c r="E43" s="591" t="s">
        <v>3068</v>
      </c>
      <c r="F43" s="594">
        <v>1083</v>
      </c>
      <c r="G43" s="594">
        <v>66063</v>
      </c>
      <c r="H43" s="594">
        <v>1</v>
      </c>
      <c r="I43" s="594">
        <v>61</v>
      </c>
      <c r="J43" s="594">
        <v>1049</v>
      </c>
      <c r="K43" s="594">
        <v>63989</v>
      </c>
      <c r="L43" s="594">
        <v>0.96860572483841179</v>
      </c>
      <c r="M43" s="594">
        <v>61</v>
      </c>
      <c r="N43" s="594">
        <v>1242</v>
      </c>
      <c r="O43" s="594">
        <v>76276</v>
      </c>
      <c r="P43" s="616">
        <v>1.1545948564249278</v>
      </c>
      <c r="Q43" s="595">
        <v>61.413848631239937</v>
      </c>
    </row>
    <row r="44" spans="1:17" ht="14.4" customHeight="1" x14ac:dyDescent="0.3">
      <c r="A44" s="590" t="s">
        <v>3047</v>
      </c>
      <c r="B44" s="591" t="s">
        <v>3048</v>
      </c>
      <c r="C44" s="591" t="s">
        <v>2295</v>
      </c>
      <c r="D44" s="591" t="s">
        <v>3069</v>
      </c>
      <c r="E44" s="591" t="s">
        <v>3070</v>
      </c>
      <c r="F44" s="594"/>
      <c r="G44" s="594"/>
      <c r="H44" s="594"/>
      <c r="I44" s="594"/>
      <c r="J44" s="594"/>
      <c r="K44" s="594"/>
      <c r="L44" s="594"/>
      <c r="M44" s="594"/>
      <c r="N44" s="594">
        <v>14</v>
      </c>
      <c r="O44" s="594">
        <v>1134</v>
      </c>
      <c r="P44" s="616"/>
      <c r="Q44" s="595">
        <v>81</v>
      </c>
    </row>
    <row r="45" spans="1:17" ht="14.4" customHeight="1" x14ac:dyDescent="0.3">
      <c r="A45" s="590" t="s">
        <v>3047</v>
      </c>
      <c r="B45" s="591" t="s">
        <v>3048</v>
      </c>
      <c r="C45" s="591" t="s">
        <v>2295</v>
      </c>
      <c r="D45" s="591" t="s">
        <v>3071</v>
      </c>
      <c r="E45" s="591" t="s">
        <v>3072</v>
      </c>
      <c r="F45" s="594">
        <v>70</v>
      </c>
      <c r="G45" s="594">
        <v>69090</v>
      </c>
      <c r="H45" s="594">
        <v>1</v>
      </c>
      <c r="I45" s="594">
        <v>987</v>
      </c>
      <c r="J45" s="594">
        <v>64</v>
      </c>
      <c r="K45" s="594">
        <v>63168</v>
      </c>
      <c r="L45" s="594">
        <v>0.91428571428571426</v>
      </c>
      <c r="M45" s="594">
        <v>987</v>
      </c>
      <c r="N45" s="594">
        <v>66</v>
      </c>
      <c r="O45" s="594">
        <v>65142</v>
      </c>
      <c r="P45" s="616">
        <v>0.94285714285714284</v>
      </c>
      <c r="Q45" s="595">
        <v>987</v>
      </c>
    </row>
    <row r="46" spans="1:17" ht="14.4" customHeight="1" x14ac:dyDescent="0.3">
      <c r="A46" s="590" t="s">
        <v>3047</v>
      </c>
      <c r="B46" s="591" t="s">
        <v>3048</v>
      </c>
      <c r="C46" s="591" t="s">
        <v>2295</v>
      </c>
      <c r="D46" s="591" t="s">
        <v>3073</v>
      </c>
      <c r="E46" s="591" t="s">
        <v>3074</v>
      </c>
      <c r="F46" s="594">
        <v>1</v>
      </c>
      <c r="G46" s="594">
        <v>82</v>
      </c>
      <c r="H46" s="594">
        <v>1</v>
      </c>
      <c r="I46" s="594">
        <v>82</v>
      </c>
      <c r="J46" s="594">
        <v>2</v>
      </c>
      <c r="K46" s="594">
        <v>164</v>
      </c>
      <c r="L46" s="594">
        <v>2</v>
      </c>
      <c r="M46" s="594">
        <v>82</v>
      </c>
      <c r="N46" s="594">
        <v>17</v>
      </c>
      <c r="O46" s="594">
        <v>1394</v>
      </c>
      <c r="P46" s="616">
        <v>17</v>
      </c>
      <c r="Q46" s="595">
        <v>82</v>
      </c>
    </row>
    <row r="47" spans="1:17" ht="14.4" customHeight="1" x14ac:dyDescent="0.3">
      <c r="A47" s="590" t="s">
        <v>3047</v>
      </c>
      <c r="B47" s="591" t="s">
        <v>3048</v>
      </c>
      <c r="C47" s="591" t="s">
        <v>2295</v>
      </c>
      <c r="D47" s="591" t="s">
        <v>3075</v>
      </c>
      <c r="E47" s="591" t="s">
        <v>3076</v>
      </c>
      <c r="F47" s="594">
        <v>4</v>
      </c>
      <c r="G47" s="594">
        <v>252</v>
      </c>
      <c r="H47" s="594">
        <v>1</v>
      </c>
      <c r="I47" s="594">
        <v>63</v>
      </c>
      <c r="J47" s="594">
        <v>24</v>
      </c>
      <c r="K47" s="594">
        <v>1512</v>
      </c>
      <c r="L47" s="594">
        <v>6</v>
      </c>
      <c r="M47" s="594">
        <v>63</v>
      </c>
      <c r="N47" s="594">
        <v>12</v>
      </c>
      <c r="O47" s="594">
        <v>756</v>
      </c>
      <c r="P47" s="616">
        <v>3</v>
      </c>
      <c r="Q47" s="595">
        <v>63</v>
      </c>
    </row>
    <row r="48" spans="1:17" ht="14.4" customHeight="1" x14ac:dyDescent="0.3">
      <c r="A48" s="590" t="s">
        <v>3047</v>
      </c>
      <c r="B48" s="591" t="s">
        <v>3048</v>
      </c>
      <c r="C48" s="591" t="s">
        <v>2295</v>
      </c>
      <c r="D48" s="591" t="s">
        <v>3077</v>
      </c>
      <c r="E48" s="591" t="s">
        <v>3078</v>
      </c>
      <c r="F48" s="594">
        <v>307</v>
      </c>
      <c r="G48" s="594">
        <v>5219</v>
      </c>
      <c r="H48" s="594">
        <v>1</v>
      </c>
      <c r="I48" s="594">
        <v>17</v>
      </c>
      <c r="J48" s="594">
        <v>327</v>
      </c>
      <c r="K48" s="594">
        <v>5559</v>
      </c>
      <c r="L48" s="594">
        <v>1.0651465798045603</v>
      </c>
      <c r="M48" s="594">
        <v>17</v>
      </c>
      <c r="N48" s="594">
        <v>361</v>
      </c>
      <c r="O48" s="594">
        <v>6137</v>
      </c>
      <c r="P48" s="616">
        <v>1.1758957654723128</v>
      </c>
      <c r="Q48" s="595">
        <v>17</v>
      </c>
    </row>
    <row r="49" spans="1:17" ht="14.4" customHeight="1" x14ac:dyDescent="0.3">
      <c r="A49" s="590" t="s">
        <v>3047</v>
      </c>
      <c r="B49" s="591" t="s">
        <v>3048</v>
      </c>
      <c r="C49" s="591" t="s">
        <v>2295</v>
      </c>
      <c r="D49" s="591" t="s">
        <v>3079</v>
      </c>
      <c r="E49" s="591" t="s">
        <v>3080</v>
      </c>
      <c r="F49" s="594">
        <v>1</v>
      </c>
      <c r="G49" s="594">
        <v>62</v>
      </c>
      <c r="H49" s="594">
        <v>1</v>
      </c>
      <c r="I49" s="594">
        <v>62</v>
      </c>
      <c r="J49" s="594">
        <v>1</v>
      </c>
      <c r="K49" s="594">
        <v>63</v>
      </c>
      <c r="L49" s="594">
        <v>1.0161290322580645</v>
      </c>
      <c r="M49" s="594">
        <v>63</v>
      </c>
      <c r="N49" s="594"/>
      <c r="O49" s="594"/>
      <c r="P49" s="616"/>
      <c r="Q49" s="595"/>
    </row>
    <row r="50" spans="1:17" ht="14.4" customHeight="1" x14ac:dyDescent="0.3">
      <c r="A50" s="590" t="s">
        <v>3047</v>
      </c>
      <c r="B50" s="591" t="s">
        <v>3048</v>
      </c>
      <c r="C50" s="591" t="s">
        <v>2295</v>
      </c>
      <c r="D50" s="591" t="s">
        <v>3081</v>
      </c>
      <c r="E50" s="591" t="s">
        <v>3082</v>
      </c>
      <c r="F50" s="594">
        <v>6</v>
      </c>
      <c r="G50" s="594">
        <v>282</v>
      </c>
      <c r="H50" s="594">
        <v>1</v>
      </c>
      <c r="I50" s="594">
        <v>47</v>
      </c>
      <c r="J50" s="594">
        <v>13</v>
      </c>
      <c r="K50" s="594">
        <v>611</v>
      </c>
      <c r="L50" s="594">
        <v>2.1666666666666665</v>
      </c>
      <c r="M50" s="594">
        <v>47</v>
      </c>
      <c r="N50" s="594">
        <v>2</v>
      </c>
      <c r="O50" s="594">
        <v>94</v>
      </c>
      <c r="P50" s="616">
        <v>0.33333333333333331</v>
      </c>
      <c r="Q50" s="595">
        <v>47</v>
      </c>
    </row>
    <row r="51" spans="1:17" ht="14.4" customHeight="1" x14ac:dyDescent="0.3">
      <c r="A51" s="590" t="s">
        <v>3047</v>
      </c>
      <c r="B51" s="591" t="s">
        <v>3048</v>
      </c>
      <c r="C51" s="591" t="s">
        <v>2295</v>
      </c>
      <c r="D51" s="591" t="s">
        <v>3083</v>
      </c>
      <c r="E51" s="591" t="s">
        <v>3084</v>
      </c>
      <c r="F51" s="594">
        <v>2</v>
      </c>
      <c r="G51" s="594">
        <v>120</v>
      </c>
      <c r="H51" s="594">
        <v>1</v>
      </c>
      <c r="I51" s="594">
        <v>60</v>
      </c>
      <c r="J51" s="594">
        <v>4</v>
      </c>
      <c r="K51" s="594">
        <v>240</v>
      </c>
      <c r="L51" s="594">
        <v>2</v>
      </c>
      <c r="M51" s="594">
        <v>60</v>
      </c>
      <c r="N51" s="594">
        <v>2</v>
      </c>
      <c r="O51" s="594">
        <v>120</v>
      </c>
      <c r="P51" s="616">
        <v>1</v>
      </c>
      <c r="Q51" s="595">
        <v>60</v>
      </c>
    </row>
    <row r="52" spans="1:17" ht="14.4" customHeight="1" x14ac:dyDescent="0.3">
      <c r="A52" s="590" t="s">
        <v>3047</v>
      </c>
      <c r="B52" s="591" t="s">
        <v>3048</v>
      </c>
      <c r="C52" s="591" t="s">
        <v>2295</v>
      </c>
      <c r="D52" s="591" t="s">
        <v>3085</v>
      </c>
      <c r="E52" s="591" t="s">
        <v>3086</v>
      </c>
      <c r="F52" s="594"/>
      <c r="G52" s="594"/>
      <c r="H52" s="594"/>
      <c r="I52" s="594"/>
      <c r="J52" s="594">
        <v>3</v>
      </c>
      <c r="K52" s="594">
        <v>288</v>
      </c>
      <c r="L52" s="594"/>
      <c r="M52" s="594">
        <v>96</v>
      </c>
      <c r="N52" s="594">
        <v>2</v>
      </c>
      <c r="O52" s="594">
        <v>193</v>
      </c>
      <c r="P52" s="616"/>
      <c r="Q52" s="595">
        <v>96.5</v>
      </c>
    </row>
    <row r="53" spans="1:17" ht="14.4" customHeight="1" x14ac:dyDescent="0.3">
      <c r="A53" s="590" t="s">
        <v>3047</v>
      </c>
      <c r="B53" s="591" t="s">
        <v>3048</v>
      </c>
      <c r="C53" s="591" t="s">
        <v>2295</v>
      </c>
      <c r="D53" s="591" t="s">
        <v>3087</v>
      </c>
      <c r="E53" s="591" t="s">
        <v>3088</v>
      </c>
      <c r="F53" s="594"/>
      <c r="G53" s="594"/>
      <c r="H53" s="594"/>
      <c r="I53" s="594"/>
      <c r="J53" s="594">
        <v>3</v>
      </c>
      <c r="K53" s="594">
        <v>180</v>
      </c>
      <c r="L53" s="594"/>
      <c r="M53" s="594">
        <v>60</v>
      </c>
      <c r="N53" s="594">
        <v>2</v>
      </c>
      <c r="O53" s="594">
        <v>120</v>
      </c>
      <c r="P53" s="616"/>
      <c r="Q53" s="595">
        <v>60</v>
      </c>
    </row>
    <row r="54" spans="1:17" ht="14.4" customHeight="1" x14ac:dyDescent="0.3">
      <c r="A54" s="590" t="s">
        <v>3047</v>
      </c>
      <c r="B54" s="591" t="s">
        <v>3048</v>
      </c>
      <c r="C54" s="591" t="s">
        <v>2295</v>
      </c>
      <c r="D54" s="591" t="s">
        <v>3089</v>
      </c>
      <c r="E54" s="591" t="s">
        <v>3090</v>
      </c>
      <c r="F54" s="594">
        <v>12</v>
      </c>
      <c r="G54" s="594">
        <v>10200</v>
      </c>
      <c r="H54" s="594">
        <v>1</v>
      </c>
      <c r="I54" s="594">
        <v>850</v>
      </c>
      <c r="J54" s="594">
        <v>29</v>
      </c>
      <c r="K54" s="594">
        <v>24679</v>
      </c>
      <c r="L54" s="594">
        <v>2.4195098039215686</v>
      </c>
      <c r="M54" s="594">
        <v>851</v>
      </c>
      <c r="N54" s="594">
        <v>29</v>
      </c>
      <c r="O54" s="594">
        <v>24697</v>
      </c>
      <c r="P54" s="616">
        <v>2.4212745098039217</v>
      </c>
      <c r="Q54" s="595">
        <v>851.62068965517244</v>
      </c>
    </row>
    <row r="55" spans="1:17" ht="14.4" customHeight="1" x14ac:dyDescent="0.3">
      <c r="A55" s="590" t="s">
        <v>3047</v>
      </c>
      <c r="B55" s="591" t="s">
        <v>3048</v>
      </c>
      <c r="C55" s="591" t="s">
        <v>2295</v>
      </c>
      <c r="D55" s="591" t="s">
        <v>3091</v>
      </c>
      <c r="E55" s="591" t="s">
        <v>3092</v>
      </c>
      <c r="F55" s="594">
        <v>1</v>
      </c>
      <c r="G55" s="594">
        <v>166</v>
      </c>
      <c r="H55" s="594">
        <v>1</v>
      </c>
      <c r="I55" s="594">
        <v>166</v>
      </c>
      <c r="J55" s="594">
        <v>3</v>
      </c>
      <c r="K55" s="594">
        <v>498</v>
      </c>
      <c r="L55" s="594">
        <v>3</v>
      </c>
      <c r="M55" s="594">
        <v>166</v>
      </c>
      <c r="N55" s="594"/>
      <c r="O55" s="594"/>
      <c r="P55" s="616"/>
      <c r="Q55" s="595"/>
    </row>
    <row r="56" spans="1:17" ht="14.4" customHeight="1" x14ac:dyDescent="0.3">
      <c r="A56" s="590" t="s">
        <v>3047</v>
      </c>
      <c r="B56" s="591" t="s">
        <v>3048</v>
      </c>
      <c r="C56" s="591" t="s">
        <v>2295</v>
      </c>
      <c r="D56" s="591" t="s">
        <v>3093</v>
      </c>
      <c r="E56" s="591" t="s">
        <v>3094</v>
      </c>
      <c r="F56" s="594"/>
      <c r="G56" s="594"/>
      <c r="H56" s="594"/>
      <c r="I56" s="594"/>
      <c r="J56" s="594"/>
      <c r="K56" s="594"/>
      <c r="L56" s="594"/>
      <c r="M56" s="594"/>
      <c r="N56" s="594">
        <v>1</v>
      </c>
      <c r="O56" s="594">
        <v>165</v>
      </c>
      <c r="P56" s="616"/>
      <c r="Q56" s="595">
        <v>165</v>
      </c>
    </row>
    <row r="57" spans="1:17" ht="14.4" customHeight="1" x14ac:dyDescent="0.3">
      <c r="A57" s="590" t="s">
        <v>3047</v>
      </c>
      <c r="B57" s="591" t="s">
        <v>3048</v>
      </c>
      <c r="C57" s="591" t="s">
        <v>2295</v>
      </c>
      <c r="D57" s="591" t="s">
        <v>3095</v>
      </c>
      <c r="E57" s="591" t="s">
        <v>3096</v>
      </c>
      <c r="F57" s="594"/>
      <c r="G57" s="594"/>
      <c r="H57" s="594"/>
      <c r="I57" s="594"/>
      <c r="J57" s="594"/>
      <c r="K57" s="594"/>
      <c r="L57" s="594"/>
      <c r="M57" s="594"/>
      <c r="N57" s="594">
        <v>1</v>
      </c>
      <c r="O57" s="594">
        <v>308</v>
      </c>
      <c r="P57" s="616"/>
      <c r="Q57" s="595">
        <v>308</v>
      </c>
    </row>
    <row r="58" spans="1:17" ht="14.4" customHeight="1" x14ac:dyDescent="0.3">
      <c r="A58" s="590" t="s">
        <v>3047</v>
      </c>
      <c r="B58" s="591" t="s">
        <v>3048</v>
      </c>
      <c r="C58" s="591" t="s">
        <v>2295</v>
      </c>
      <c r="D58" s="591" t="s">
        <v>3097</v>
      </c>
      <c r="E58" s="591" t="s">
        <v>3098</v>
      </c>
      <c r="F58" s="594"/>
      <c r="G58" s="594"/>
      <c r="H58" s="594"/>
      <c r="I58" s="594"/>
      <c r="J58" s="594"/>
      <c r="K58" s="594"/>
      <c r="L58" s="594"/>
      <c r="M58" s="594"/>
      <c r="N58" s="594">
        <v>1</v>
      </c>
      <c r="O58" s="594">
        <v>1210</v>
      </c>
      <c r="P58" s="616"/>
      <c r="Q58" s="595">
        <v>1210</v>
      </c>
    </row>
    <row r="59" spans="1:17" ht="14.4" customHeight="1" x14ac:dyDescent="0.3">
      <c r="A59" s="590" t="s">
        <v>3047</v>
      </c>
      <c r="B59" s="591" t="s">
        <v>3048</v>
      </c>
      <c r="C59" s="591" t="s">
        <v>2295</v>
      </c>
      <c r="D59" s="591" t="s">
        <v>3099</v>
      </c>
      <c r="E59" s="591" t="s">
        <v>3100</v>
      </c>
      <c r="F59" s="594">
        <v>18</v>
      </c>
      <c r="G59" s="594">
        <v>14076</v>
      </c>
      <c r="H59" s="594">
        <v>1</v>
      </c>
      <c r="I59" s="594">
        <v>782</v>
      </c>
      <c r="J59" s="594">
        <v>94</v>
      </c>
      <c r="K59" s="594">
        <v>73602</v>
      </c>
      <c r="L59" s="594">
        <v>5.2289002557544757</v>
      </c>
      <c r="M59" s="594">
        <v>783</v>
      </c>
      <c r="N59" s="594">
        <v>115</v>
      </c>
      <c r="O59" s="594">
        <v>90173</v>
      </c>
      <c r="P59" s="616">
        <v>6.4061523159988631</v>
      </c>
      <c r="Q59" s="595">
        <v>784.11304347826092</v>
      </c>
    </row>
    <row r="60" spans="1:17" ht="14.4" customHeight="1" x14ac:dyDescent="0.3">
      <c r="A60" s="590" t="s">
        <v>3047</v>
      </c>
      <c r="B60" s="591" t="s">
        <v>3048</v>
      </c>
      <c r="C60" s="591" t="s">
        <v>2295</v>
      </c>
      <c r="D60" s="591" t="s">
        <v>3101</v>
      </c>
      <c r="E60" s="591" t="s">
        <v>3102</v>
      </c>
      <c r="F60" s="594"/>
      <c r="G60" s="594"/>
      <c r="H60" s="594"/>
      <c r="I60" s="594"/>
      <c r="J60" s="594"/>
      <c r="K60" s="594"/>
      <c r="L60" s="594"/>
      <c r="M60" s="594"/>
      <c r="N60" s="594">
        <v>1</v>
      </c>
      <c r="O60" s="594">
        <v>362</v>
      </c>
      <c r="P60" s="616"/>
      <c r="Q60" s="595">
        <v>362</v>
      </c>
    </row>
    <row r="61" spans="1:17" ht="14.4" customHeight="1" x14ac:dyDescent="0.3">
      <c r="A61" s="590" t="s">
        <v>3047</v>
      </c>
      <c r="B61" s="591" t="s">
        <v>3048</v>
      </c>
      <c r="C61" s="591" t="s">
        <v>2295</v>
      </c>
      <c r="D61" s="591" t="s">
        <v>3103</v>
      </c>
      <c r="E61" s="591" t="s">
        <v>3104</v>
      </c>
      <c r="F61" s="594"/>
      <c r="G61" s="594"/>
      <c r="H61" s="594"/>
      <c r="I61" s="594"/>
      <c r="J61" s="594">
        <v>1</v>
      </c>
      <c r="K61" s="594">
        <v>131</v>
      </c>
      <c r="L61" s="594"/>
      <c r="M61" s="594">
        <v>131</v>
      </c>
      <c r="N61" s="594">
        <v>1</v>
      </c>
      <c r="O61" s="594">
        <v>132</v>
      </c>
      <c r="P61" s="616"/>
      <c r="Q61" s="595">
        <v>132</v>
      </c>
    </row>
    <row r="62" spans="1:17" ht="14.4" customHeight="1" x14ac:dyDescent="0.3">
      <c r="A62" s="590" t="s">
        <v>3047</v>
      </c>
      <c r="B62" s="591" t="s">
        <v>3048</v>
      </c>
      <c r="C62" s="591" t="s">
        <v>2295</v>
      </c>
      <c r="D62" s="591" t="s">
        <v>3105</v>
      </c>
      <c r="E62" s="591" t="s">
        <v>3106</v>
      </c>
      <c r="F62" s="594">
        <v>1</v>
      </c>
      <c r="G62" s="594">
        <v>411</v>
      </c>
      <c r="H62" s="594">
        <v>1</v>
      </c>
      <c r="I62" s="594">
        <v>411</v>
      </c>
      <c r="J62" s="594"/>
      <c r="K62" s="594"/>
      <c r="L62" s="594"/>
      <c r="M62" s="594"/>
      <c r="N62" s="594"/>
      <c r="O62" s="594"/>
      <c r="P62" s="616"/>
      <c r="Q62" s="595"/>
    </row>
    <row r="63" spans="1:17" ht="14.4" customHeight="1" x14ac:dyDescent="0.3">
      <c r="A63" s="590" t="s">
        <v>3047</v>
      </c>
      <c r="B63" s="591" t="s">
        <v>3048</v>
      </c>
      <c r="C63" s="591" t="s">
        <v>2295</v>
      </c>
      <c r="D63" s="591" t="s">
        <v>3107</v>
      </c>
      <c r="E63" s="591" t="s">
        <v>3108</v>
      </c>
      <c r="F63" s="594">
        <v>2</v>
      </c>
      <c r="G63" s="594">
        <v>176</v>
      </c>
      <c r="H63" s="594">
        <v>1</v>
      </c>
      <c r="I63" s="594">
        <v>88</v>
      </c>
      <c r="J63" s="594">
        <v>3</v>
      </c>
      <c r="K63" s="594">
        <v>264</v>
      </c>
      <c r="L63" s="594">
        <v>1.5</v>
      </c>
      <c r="M63" s="594">
        <v>88</v>
      </c>
      <c r="N63" s="594">
        <v>15</v>
      </c>
      <c r="O63" s="594">
        <v>1327</v>
      </c>
      <c r="P63" s="616">
        <v>7.5397727272727275</v>
      </c>
      <c r="Q63" s="595">
        <v>88.466666666666669</v>
      </c>
    </row>
    <row r="64" spans="1:17" ht="14.4" customHeight="1" x14ac:dyDescent="0.3">
      <c r="A64" s="590" t="s">
        <v>3047</v>
      </c>
      <c r="B64" s="591" t="s">
        <v>3048</v>
      </c>
      <c r="C64" s="591" t="s">
        <v>2295</v>
      </c>
      <c r="D64" s="591" t="s">
        <v>3109</v>
      </c>
      <c r="E64" s="591" t="s">
        <v>3110</v>
      </c>
      <c r="F64" s="594">
        <v>1016</v>
      </c>
      <c r="G64" s="594">
        <v>29464</v>
      </c>
      <c r="H64" s="594">
        <v>1</v>
      </c>
      <c r="I64" s="594">
        <v>29</v>
      </c>
      <c r="J64" s="594">
        <v>1013</v>
      </c>
      <c r="K64" s="594">
        <v>29377</v>
      </c>
      <c r="L64" s="594">
        <v>0.99704724409448819</v>
      </c>
      <c r="M64" s="594">
        <v>29</v>
      </c>
      <c r="N64" s="594">
        <v>1188</v>
      </c>
      <c r="O64" s="594">
        <v>35037</v>
      </c>
      <c r="P64" s="616">
        <v>1.1891460765680153</v>
      </c>
      <c r="Q64" s="595">
        <v>29.492424242424242</v>
      </c>
    </row>
    <row r="65" spans="1:17" ht="14.4" customHeight="1" x14ac:dyDescent="0.3">
      <c r="A65" s="590" t="s">
        <v>3047</v>
      </c>
      <c r="B65" s="591" t="s">
        <v>3048</v>
      </c>
      <c r="C65" s="591" t="s">
        <v>2295</v>
      </c>
      <c r="D65" s="591" t="s">
        <v>3111</v>
      </c>
      <c r="E65" s="591" t="s">
        <v>3112</v>
      </c>
      <c r="F65" s="594">
        <v>2</v>
      </c>
      <c r="G65" s="594">
        <v>100</v>
      </c>
      <c r="H65" s="594">
        <v>1</v>
      </c>
      <c r="I65" s="594">
        <v>50</v>
      </c>
      <c r="J65" s="594">
        <v>5</v>
      </c>
      <c r="K65" s="594">
        <v>250</v>
      </c>
      <c r="L65" s="594">
        <v>2.5</v>
      </c>
      <c r="M65" s="594">
        <v>50</v>
      </c>
      <c r="N65" s="594">
        <v>3</v>
      </c>
      <c r="O65" s="594">
        <v>150</v>
      </c>
      <c r="P65" s="616">
        <v>1.5</v>
      </c>
      <c r="Q65" s="595">
        <v>50</v>
      </c>
    </row>
    <row r="66" spans="1:17" ht="14.4" customHeight="1" x14ac:dyDescent="0.3">
      <c r="A66" s="590" t="s">
        <v>3047</v>
      </c>
      <c r="B66" s="591" t="s">
        <v>3048</v>
      </c>
      <c r="C66" s="591" t="s">
        <v>2295</v>
      </c>
      <c r="D66" s="591" t="s">
        <v>3113</v>
      </c>
      <c r="E66" s="591" t="s">
        <v>3114</v>
      </c>
      <c r="F66" s="594">
        <v>200</v>
      </c>
      <c r="G66" s="594">
        <v>2400</v>
      </c>
      <c r="H66" s="594">
        <v>1</v>
      </c>
      <c r="I66" s="594">
        <v>12</v>
      </c>
      <c r="J66" s="594">
        <v>162</v>
      </c>
      <c r="K66" s="594">
        <v>1944</v>
      </c>
      <c r="L66" s="594">
        <v>0.81</v>
      </c>
      <c r="M66" s="594">
        <v>12</v>
      </c>
      <c r="N66" s="594">
        <v>196</v>
      </c>
      <c r="O66" s="594">
        <v>2352</v>
      </c>
      <c r="P66" s="616">
        <v>0.98</v>
      </c>
      <c r="Q66" s="595">
        <v>12</v>
      </c>
    </row>
    <row r="67" spans="1:17" ht="14.4" customHeight="1" x14ac:dyDescent="0.3">
      <c r="A67" s="590" t="s">
        <v>3047</v>
      </c>
      <c r="B67" s="591" t="s">
        <v>3048</v>
      </c>
      <c r="C67" s="591" t="s">
        <v>2295</v>
      </c>
      <c r="D67" s="591" t="s">
        <v>3115</v>
      </c>
      <c r="E67" s="591" t="s">
        <v>3116</v>
      </c>
      <c r="F67" s="594">
        <v>2</v>
      </c>
      <c r="G67" s="594">
        <v>360</v>
      </c>
      <c r="H67" s="594">
        <v>1</v>
      </c>
      <c r="I67" s="594">
        <v>180</v>
      </c>
      <c r="J67" s="594">
        <v>5</v>
      </c>
      <c r="K67" s="594">
        <v>905</v>
      </c>
      <c r="L67" s="594">
        <v>2.5138888888888888</v>
      </c>
      <c r="M67" s="594">
        <v>181</v>
      </c>
      <c r="N67" s="594">
        <v>2</v>
      </c>
      <c r="O67" s="594">
        <v>363</v>
      </c>
      <c r="P67" s="616">
        <v>1.0083333333333333</v>
      </c>
      <c r="Q67" s="595">
        <v>181.5</v>
      </c>
    </row>
    <row r="68" spans="1:17" ht="14.4" customHeight="1" x14ac:dyDescent="0.3">
      <c r="A68" s="590" t="s">
        <v>3047</v>
      </c>
      <c r="B68" s="591" t="s">
        <v>3048</v>
      </c>
      <c r="C68" s="591" t="s">
        <v>2295</v>
      </c>
      <c r="D68" s="591" t="s">
        <v>3117</v>
      </c>
      <c r="E68" s="591" t="s">
        <v>3118</v>
      </c>
      <c r="F68" s="594">
        <v>1213</v>
      </c>
      <c r="G68" s="594">
        <v>86123</v>
      </c>
      <c r="H68" s="594">
        <v>1</v>
      </c>
      <c r="I68" s="594">
        <v>71</v>
      </c>
      <c r="J68" s="594">
        <v>1731</v>
      </c>
      <c r="K68" s="594">
        <v>122901</v>
      </c>
      <c r="L68" s="594">
        <v>1.4270403957131079</v>
      </c>
      <c r="M68" s="594">
        <v>71</v>
      </c>
      <c r="N68" s="594">
        <v>825</v>
      </c>
      <c r="O68" s="594">
        <v>58591</v>
      </c>
      <c r="P68" s="616">
        <v>0.68031768517120861</v>
      </c>
      <c r="Q68" s="595">
        <v>71.019393939393936</v>
      </c>
    </row>
    <row r="69" spans="1:17" ht="14.4" customHeight="1" x14ac:dyDescent="0.3">
      <c r="A69" s="590" t="s">
        <v>3047</v>
      </c>
      <c r="B69" s="591" t="s">
        <v>3048</v>
      </c>
      <c r="C69" s="591" t="s">
        <v>2295</v>
      </c>
      <c r="D69" s="591" t="s">
        <v>3119</v>
      </c>
      <c r="E69" s="591" t="s">
        <v>3120</v>
      </c>
      <c r="F69" s="594"/>
      <c r="G69" s="594"/>
      <c r="H69" s="594"/>
      <c r="I69" s="594"/>
      <c r="J69" s="594">
        <v>2</v>
      </c>
      <c r="K69" s="594">
        <v>364</v>
      </c>
      <c r="L69" s="594"/>
      <c r="M69" s="594">
        <v>182</v>
      </c>
      <c r="N69" s="594"/>
      <c r="O69" s="594"/>
      <c r="P69" s="616"/>
      <c r="Q69" s="595"/>
    </row>
    <row r="70" spans="1:17" ht="14.4" customHeight="1" x14ac:dyDescent="0.3">
      <c r="A70" s="590" t="s">
        <v>3047</v>
      </c>
      <c r="B70" s="591" t="s">
        <v>3048</v>
      </c>
      <c r="C70" s="591" t="s">
        <v>2295</v>
      </c>
      <c r="D70" s="591" t="s">
        <v>3121</v>
      </c>
      <c r="E70" s="591" t="s">
        <v>3122</v>
      </c>
      <c r="F70" s="594">
        <v>619</v>
      </c>
      <c r="G70" s="594">
        <v>90993</v>
      </c>
      <c r="H70" s="594">
        <v>1</v>
      </c>
      <c r="I70" s="594">
        <v>147</v>
      </c>
      <c r="J70" s="594">
        <v>791</v>
      </c>
      <c r="K70" s="594">
        <v>116277</v>
      </c>
      <c r="L70" s="594">
        <v>1.2778675282714056</v>
      </c>
      <c r="M70" s="594">
        <v>147</v>
      </c>
      <c r="N70" s="594">
        <v>847</v>
      </c>
      <c r="O70" s="594">
        <v>124923</v>
      </c>
      <c r="P70" s="616">
        <v>1.3728858263822492</v>
      </c>
      <c r="Q70" s="595">
        <v>147.48878394332939</v>
      </c>
    </row>
    <row r="71" spans="1:17" ht="14.4" customHeight="1" x14ac:dyDescent="0.3">
      <c r="A71" s="590" t="s">
        <v>3047</v>
      </c>
      <c r="B71" s="591" t="s">
        <v>3048</v>
      </c>
      <c r="C71" s="591" t="s">
        <v>2295</v>
      </c>
      <c r="D71" s="591" t="s">
        <v>3123</v>
      </c>
      <c r="E71" s="591" t="s">
        <v>3124</v>
      </c>
      <c r="F71" s="594">
        <v>1897</v>
      </c>
      <c r="G71" s="594">
        <v>55013</v>
      </c>
      <c r="H71" s="594">
        <v>1</v>
      </c>
      <c r="I71" s="594">
        <v>29</v>
      </c>
      <c r="J71" s="594">
        <v>2211</v>
      </c>
      <c r="K71" s="594">
        <v>64119</v>
      </c>
      <c r="L71" s="594">
        <v>1.1655245123879809</v>
      </c>
      <c r="M71" s="594">
        <v>29</v>
      </c>
      <c r="N71" s="594">
        <v>2124</v>
      </c>
      <c r="O71" s="594">
        <v>62573</v>
      </c>
      <c r="P71" s="616">
        <v>1.1374220638758112</v>
      </c>
      <c r="Q71" s="595">
        <v>29.459981167608287</v>
      </c>
    </row>
    <row r="72" spans="1:17" ht="14.4" customHeight="1" x14ac:dyDescent="0.3">
      <c r="A72" s="590" t="s">
        <v>3047</v>
      </c>
      <c r="B72" s="591" t="s">
        <v>3048</v>
      </c>
      <c r="C72" s="591" t="s">
        <v>2295</v>
      </c>
      <c r="D72" s="591" t="s">
        <v>3125</v>
      </c>
      <c r="E72" s="591" t="s">
        <v>3126</v>
      </c>
      <c r="F72" s="594">
        <v>105</v>
      </c>
      <c r="G72" s="594">
        <v>3255</v>
      </c>
      <c r="H72" s="594">
        <v>1</v>
      </c>
      <c r="I72" s="594">
        <v>31</v>
      </c>
      <c r="J72" s="594">
        <v>129</v>
      </c>
      <c r="K72" s="594">
        <v>3999</v>
      </c>
      <c r="L72" s="594">
        <v>1.2285714285714286</v>
      </c>
      <c r="M72" s="594">
        <v>31</v>
      </c>
      <c r="N72" s="594">
        <v>134</v>
      </c>
      <c r="O72" s="594">
        <v>4154</v>
      </c>
      <c r="P72" s="616">
        <v>1.2761904761904761</v>
      </c>
      <c r="Q72" s="595">
        <v>31</v>
      </c>
    </row>
    <row r="73" spans="1:17" ht="14.4" customHeight="1" x14ac:dyDescent="0.3">
      <c r="A73" s="590" t="s">
        <v>3047</v>
      </c>
      <c r="B73" s="591" t="s">
        <v>3048</v>
      </c>
      <c r="C73" s="591" t="s">
        <v>2295</v>
      </c>
      <c r="D73" s="591" t="s">
        <v>3127</v>
      </c>
      <c r="E73" s="591" t="s">
        <v>3128</v>
      </c>
      <c r="F73" s="594">
        <v>111</v>
      </c>
      <c r="G73" s="594">
        <v>2997</v>
      </c>
      <c r="H73" s="594">
        <v>1</v>
      </c>
      <c r="I73" s="594">
        <v>27</v>
      </c>
      <c r="J73" s="594">
        <v>113</v>
      </c>
      <c r="K73" s="594">
        <v>3051</v>
      </c>
      <c r="L73" s="594">
        <v>1.0180180180180181</v>
      </c>
      <c r="M73" s="594">
        <v>27</v>
      </c>
      <c r="N73" s="594">
        <v>159</v>
      </c>
      <c r="O73" s="594">
        <v>4293</v>
      </c>
      <c r="P73" s="616">
        <v>1.4324324324324325</v>
      </c>
      <c r="Q73" s="595">
        <v>27</v>
      </c>
    </row>
    <row r="74" spans="1:17" ht="14.4" customHeight="1" x14ac:dyDescent="0.3">
      <c r="A74" s="590" t="s">
        <v>3047</v>
      </c>
      <c r="B74" s="591" t="s">
        <v>3048</v>
      </c>
      <c r="C74" s="591" t="s">
        <v>2295</v>
      </c>
      <c r="D74" s="591" t="s">
        <v>3129</v>
      </c>
      <c r="E74" s="591" t="s">
        <v>3130</v>
      </c>
      <c r="F74" s="594"/>
      <c r="G74" s="594"/>
      <c r="H74" s="594"/>
      <c r="I74" s="594"/>
      <c r="J74" s="594"/>
      <c r="K74" s="594"/>
      <c r="L74" s="594"/>
      <c r="M74" s="594"/>
      <c r="N74" s="594">
        <v>1</v>
      </c>
      <c r="O74" s="594">
        <v>255</v>
      </c>
      <c r="P74" s="616"/>
      <c r="Q74" s="595">
        <v>255</v>
      </c>
    </row>
    <row r="75" spans="1:17" ht="14.4" customHeight="1" x14ac:dyDescent="0.3">
      <c r="A75" s="590" t="s">
        <v>3047</v>
      </c>
      <c r="B75" s="591" t="s">
        <v>3048</v>
      </c>
      <c r="C75" s="591" t="s">
        <v>2295</v>
      </c>
      <c r="D75" s="591" t="s">
        <v>3131</v>
      </c>
      <c r="E75" s="591" t="s">
        <v>3132</v>
      </c>
      <c r="F75" s="594">
        <v>3</v>
      </c>
      <c r="G75" s="594">
        <v>66</v>
      </c>
      <c r="H75" s="594">
        <v>1</v>
      </c>
      <c r="I75" s="594">
        <v>22</v>
      </c>
      <c r="J75" s="594">
        <v>3</v>
      </c>
      <c r="K75" s="594">
        <v>66</v>
      </c>
      <c r="L75" s="594">
        <v>1</v>
      </c>
      <c r="M75" s="594">
        <v>22</v>
      </c>
      <c r="N75" s="594">
        <v>1</v>
      </c>
      <c r="O75" s="594">
        <v>22</v>
      </c>
      <c r="P75" s="616">
        <v>0.33333333333333331</v>
      </c>
      <c r="Q75" s="595">
        <v>22</v>
      </c>
    </row>
    <row r="76" spans="1:17" ht="14.4" customHeight="1" x14ac:dyDescent="0.3">
      <c r="A76" s="590" t="s">
        <v>3047</v>
      </c>
      <c r="B76" s="591" t="s">
        <v>3048</v>
      </c>
      <c r="C76" s="591" t="s">
        <v>2295</v>
      </c>
      <c r="D76" s="591" t="s">
        <v>3133</v>
      </c>
      <c r="E76" s="591" t="s">
        <v>3134</v>
      </c>
      <c r="F76" s="594">
        <v>660</v>
      </c>
      <c r="G76" s="594">
        <v>16500</v>
      </c>
      <c r="H76" s="594">
        <v>1</v>
      </c>
      <c r="I76" s="594">
        <v>25</v>
      </c>
      <c r="J76" s="594">
        <v>788</v>
      </c>
      <c r="K76" s="594">
        <v>19700</v>
      </c>
      <c r="L76" s="594">
        <v>1.1939393939393939</v>
      </c>
      <c r="M76" s="594">
        <v>25</v>
      </c>
      <c r="N76" s="594">
        <v>718</v>
      </c>
      <c r="O76" s="594">
        <v>17950</v>
      </c>
      <c r="P76" s="616">
        <v>1.0878787878787879</v>
      </c>
      <c r="Q76" s="595">
        <v>25</v>
      </c>
    </row>
    <row r="77" spans="1:17" ht="14.4" customHeight="1" x14ac:dyDescent="0.3">
      <c r="A77" s="590" t="s">
        <v>3047</v>
      </c>
      <c r="B77" s="591" t="s">
        <v>3048</v>
      </c>
      <c r="C77" s="591" t="s">
        <v>2295</v>
      </c>
      <c r="D77" s="591" t="s">
        <v>3135</v>
      </c>
      <c r="E77" s="591" t="s">
        <v>3136</v>
      </c>
      <c r="F77" s="594">
        <v>5</v>
      </c>
      <c r="G77" s="594">
        <v>165</v>
      </c>
      <c r="H77" s="594">
        <v>1</v>
      </c>
      <c r="I77" s="594">
        <v>33</v>
      </c>
      <c r="J77" s="594">
        <v>5</v>
      </c>
      <c r="K77" s="594">
        <v>165</v>
      </c>
      <c r="L77" s="594">
        <v>1</v>
      </c>
      <c r="M77" s="594">
        <v>33</v>
      </c>
      <c r="N77" s="594">
        <v>11</v>
      </c>
      <c r="O77" s="594">
        <v>363</v>
      </c>
      <c r="P77" s="616">
        <v>2.2000000000000002</v>
      </c>
      <c r="Q77" s="595">
        <v>33</v>
      </c>
    </row>
    <row r="78" spans="1:17" ht="14.4" customHeight="1" x14ac:dyDescent="0.3">
      <c r="A78" s="590" t="s">
        <v>3047</v>
      </c>
      <c r="B78" s="591" t="s">
        <v>3048</v>
      </c>
      <c r="C78" s="591" t="s">
        <v>2295</v>
      </c>
      <c r="D78" s="591" t="s">
        <v>3137</v>
      </c>
      <c r="E78" s="591" t="s">
        <v>3138</v>
      </c>
      <c r="F78" s="594"/>
      <c r="G78" s="594"/>
      <c r="H78" s="594"/>
      <c r="I78" s="594"/>
      <c r="J78" s="594">
        <v>2</v>
      </c>
      <c r="K78" s="594">
        <v>60</v>
      </c>
      <c r="L78" s="594"/>
      <c r="M78" s="594">
        <v>30</v>
      </c>
      <c r="N78" s="594">
        <v>1</v>
      </c>
      <c r="O78" s="594">
        <v>30</v>
      </c>
      <c r="P78" s="616"/>
      <c r="Q78" s="595">
        <v>30</v>
      </c>
    </row>
    <row r="79" spans="1:17" ht="14.4" customHeight="1" x14ac:dyDescent="0.3">
      <c r="A79" s="590" t="s">
        <v>3047</v>
      </c>
      <c r="B79" s="591" t="s">
        <v>3048</v>
      </c>
      <c r="C79" s="591" t="s">
        <v>2295</v>
      </c>
      <c r="D79" s="591" t="s">
        <v>3139</v>
      </c>
      <c r="E79" s="591" t="s">
        <v>3140</v>
      </c>
      <c r="F79" s="594">
        <v>211</v>
      </c>
      <c r="G79" s="594">
        <v>5486</v>
      </c>
      <c r="H79" s="594">
        <v>1</v>
      </c>
      <c r="I79" s="594">
        <v>26</v>
      </c>
      <c r="J79" s="594">
        <v>215</v>
      </c>
      <c r="K79" s="594">
        <v>5590</v>
      </c>
      <c r="L79" s="594">
        <v>1.018957345971564</v>
      </c>
      <c r="M79" s="594">
        <v>26</v>
      </c>
      <c r="N79" s="594">
        <v>219</v>
      </c>
      <c r="O79" s="594">
        <v>5694</v>
      </c>
      <c r="P79" s="616">
        <v>1.0379146919431279</v>
      </c>
      <c r="Q79" s="595">
        <v>26</v>
      </c>
    </row>
    <row r="80" spans="1:17" ht="14.4" customHeight="1" x14ac:dyDescent="0.3">
      <c r="A80" s="590" t="s">
        <v>3047</v>
      </c>
      <c r="B80" s="591" t="s">
        <v>3048</v>
      </c>
      <c r="C80" s="591" t="s">
        <v>2295</v>
      </c>
      <c r="D80" s="591" t="s">
        <v>3141</v>
      </c>
      <c r="E80" s="591" t="s">
        <v>3142</v>
      </c>
      <c r="F80" s="594">
        <v>69</v>
      </c>
      <c r="G80" s="594">
        <v>5796</v>
      </c>
      <c r="H80" s="594">
        <v>1</v>
      </c>
      <c r="I80" s="594">
        <v>84</v>
      </c>
      <c r="J80" s="594">
        <v>51</v>
      </c>
      <c r="K80" s="594">
        <v>4284</v>
      </c>
      <c r="L80" s="594">
        <v>0.73913043478260865</v>
      </c>
      <c r="M80" s="594">
        <v>84</v>
      </c>
      <c r="N80" s="594">
        <v>53</v>
      </c>
      <c r="O80" s="594">
        <v>4452</v>
      </c>
      <c r="P80" s="616">
        <v>0.76811594202898548</v>
      </c>
      <c r="Q80" s="595">
        <v>84</v>
      </c>
    </row>
    <row r="81" spans="1:17" ht="14.4" customHeight="1" x14ac:dyDescent="0.3">
      <c r="A81" s="590" t="s">
        <v>3047</v>
      </c>
      <c r="B81" s="591" t="s">
        <v>3048</v>
      </c>
      <c r="C81" s="591" t="s">
        <v>2295</v>
      </c>
      <c r="D81" s="591" t="s">
        <v>3143</v>
      </c>
      <c r="E81" s="591" t="s">
        <v>3144</v>
      </c>
      <c r="F81" s="594">
        <v>3</v>
      </c>
      <c r="G81" s="594">
        <v>519</v>
      </c>
      <c r="H81" s="594">
        <v>1</v>
      </c>
      <c r="I81" s="594">
        <v>173</v>
      </c>
      <c r="J81" s="594">
        <v>6</v>
      </c>
      <c r="K81" s="594">
        <v>1044</v>
      </c>
      <c r="L81" s="594">
        <v>2.0115606936416186</v>
      </c>
      <c r="M81" s="594">
        <v>174</v>
      </c>
      <c r="N81" s="594">
        <v>2</v>
      </c>
      <c r="O81" s="594">
        <v>349</v>
      </c>
      <c r="P81" s="616">
        <v>0.67244701348747593</v>
      </c>
      <c r="Q81" s="595">
        <v>174.5</v>
      </c>
    </row>
    <row r="82" spans="1:17" ht="14.4" customHeight="1" x14ac:dyDescent="0.3">
      <c r="A82" s="590" t="s">
        <v>3047</v>
      </c>
      <c r="B82" s="591" t="s">
        <v>3048</v>
      </c>
      <c r="C82" s="591" t="s">
        <v>2295</v>
      </c>
      <c r="D82" s="591" t="s">
        <v>3145</v>
      </c>
      <c r="E82" s="591" t="s">
        <v>3146</v>
      </c>
      <c r="F82" s="594">
        <v>97</v>
      </c>
      <c r="G82" s="594">
        <v>1455</v>
      </c>
      <c r="H82" s="594">
        <v>1</v>
      </c>
      <c r="I82" s="594">
        <v>15</v>
      </c>
      <c r="J82" s="594">
        <v>66</v>
      </c>
      <c r="K82" s="594">
        <v>990</v>
      </c>
      <c r="L82" s="594">
        <v>0.68041237113402064</v>
      </c>
      <c r="M82" s="594">
        <v>15</v>
      </c>
      <c r="N82" s="594">
        <v>91</v>
      </c>
      <c r="O82" s="594">
        <v>1365</v>
      </c>
      <c r="P82" s="616">
        <v>0.93814432989690721</v>
      </c>
      <c r="Q82" s="595">
        <v>15</v>
      </c>
    </row>
    <row r="83" spans="1:17" ht="14.4" customHeight="1" x14ac:dyDescent="0.3">
      <c r="A83" s="590" t="s">
        <v>3047</v>
      </c>
      <c r="B83" s="591" t="s">
        <v>3048</v>
      </c>
      <c r="C83" s="591" t="s">
        <v>2295</v>
      </c>
      <c r="D83" s="591" t="s">
        <v>3147</v>
      </c>
      <c r="E83" s="591" t="s">
        <v>3148</v>
      </c>
      <c r="F83" s="594">
        <v>57</v>
      </c>
      <c r="G83" s="594">
        <v>1311</v>
      </c>
      <c r="H83" s="594">
        <v>1</v>
      </c>
      <c r="I83" s="594">
        <v>23</v>
      </c>
      <c r="J83" s="594">
        <v>44</v>
      </c>
      <c r="K83" s="594">
        <v>1012</v>
      </c>
      <c r="L83" s="594">
        <v>0.77192982456140347</v>
      </c>
      <c r="M83" s="594">
        <v>23</v>
      </c>
      <c r="N83" s="594">
        <v>50</v>
      </c>
      <c r="O83" s="594">
        <v>1150</v>
      </c>
      <c r="P83" s="616">
        <v>0.8771929824561403</v>
      </c>
      <c r="Q83" s="595">
        <v>23</v>
      </c>
    </row>
    <row r="84" spans="1:17" ht="14.4" customHeight="1" x14ac:dyDescent="0.3">
      <c r="A84" s="590" t="s">
        <v>3047</v>
      </c>
      <c r="B84" s="591" t="s">
        <v>3048</v>
      </c>
      <c r="C84" s="591" t="s">
        <v>2295</v>
      </c>
      <c r="D84" s="591" t="s">
        <v>3149</v>
      </c>
      <c r="E84" s="591" t="s">
        <v>3150</v>
      </c>
      <c r="F84" s="594">
        <v>147</v>
      </c>
      <c r="G84" s="594">
        <v>5439</v>
      </c>
      <c r="H84" s="594">
        <v>1</v>
      </c>
      <c r="I84" s="594">
        <v>37</v>
      </c>
      <c r="J84" s="594">
        <v>214</v>
      </c>
      <c r="K84" s="594">
        <v>7918</v>
      </c>
      <c r="L84" s="594">
        <v>1.4557823129251701</v>
      </c>
      <c r="M84" s="594">
        <v>37</v>
      </c>
      <c r="N84" s="594">
        <v>183</v>
      </c>
      <c r="O84" s="594">
        <v>6771</v>
      </c>
      <c r="P84" s="616">
        <v>1.2448979591836735</v>
      </c>
      <c r="Q84" s="595">
        <v>37</v>
      </c>
    </row>
    <row r="85" spans="1:17" ht="14.4" customHeight="1" x14ac:dyDescent="0.3">
      <c r="A85" s="590" t="s">
        <v>3047</v>
      </c>
      <c r="B85" s="591" t="s">
        <v>3048</v>
      </c>
      <c r="C85" s="591" t="s">
        <v>2295</v>
      </c>
      <c r="D85" s="591" t="s">
        <v>3151</v>
      </c>
      <c r="E85" s="591" t="s">
        <v>3152</v>
      </c>
      <c r="F85" s="594">
        <v>313</v>
      </c>
      <c r="G85" s="594">
        <v>7199</v>
      </c>
      <c r="H85" s="594">
        <v>1</v>
      </c>
      <c r="I85" s="594">
        <v>23</v>
      </c>
      <c r="J85" s="594">
        <v>348</v>
      </c>
      <c r="K85" s="594">
        <v>8004</v>
      </c>
      <c r="L85" s="594">
        <v>1.1118210862619808</v>
      </c>
      <c r="M85" s="594">
        <v>23</v>
      </c>
      <c r="N85" s="594">
        <v>1136</v>
      </c>
      <c r="O85" s="594">
        <v>26128</v>
      </c>
      <c r="P85" s="616">
        <v>3.6293929712460065</v>
      </c>
      <c r="Q85" s="595">
        <v>23</v>
      </c>
    </row>
    <row r="86" spans="1:17" ht="14.4" customHeight="1" x14ac:dyDescent="0.3">
      <c r="A86" s="590" t="s">
        <v>3047</v>
      </c>
      <c r="B86" s="591" t="s">
        <v>3048</v>
      </c>
      <c r="C86" s="591" t="s">
        <v>2295</v>
      </c>
      <c r="D86" s="591" t="s">
        <v>3153</v>
      </c>
      <c r="E86" s="591" t="s">
        <v>3154</v>
      </c>
      <c r="F86" s="594">
        <v>1</v>
      </c>
      <c r="G86" s="594">
        <v>169</v>
      </c>
      <c r="H86" s="594">
        <v>1</v>
      </c>
      <c r="I86" s="594">
        <v>169</v>
      </c>
      <c r="J86" s="594">
        <v>3</v>
      </c>
      <c r="K86" s="594">
        <v>507</v>
      </c>
      <c r="L86" s="594">
        <v>3</v>
      </c>
      <c r="M86" s="594">
        <v>169</v>
      </c>
      <c r="N86" s="594"/>
      <c r="O86" s="594"/>
      <c r="P86" s="616"/>
      <c r="Q86" s="595"/>
    </row>
    <row r="87" spans="1:17" ht="14.4" customHeight="1" x14ac:dyDescent="0.3">
      <c r="A87" s="590" t="s">
        <v>3047</v>
      </c>
      <c r="B87" s="591" t="s">
        <v>3048</v>
      </c>
      <c r="C87" s="591" t="s">
        <v>2295</v>
      </c>
      <c r="D87" s="591" t="s">
        <v>3155</v>
      </c>
      <c r="E87" s="591" t="s">
        <v>3156</v>
      </c>
      <c r="F87" s="594">
        <v>2</v>
      </c>
      <c r="G87" s="594">
        <v>662</v>
      </c>
      <c r="H87" s="594">
        <v>1</v>
      </c>
      <c r="I87" s="594">
        <v>331</v>
      </c>
      <c r="J87" s="594"/>
      <c r="K87" s="594"/>
      <c r="L87" s="594"/>
      <c r="M87" s="594"/>
      <c r="N87" s="594"/>
      <c r="O87" s="594"/>
      <c r="P87" s="616"/>
      <c r="Q87" s="595"/>
    </row>
    <row r="88" spans="1:17" ht="14.4" customHeight="1" x14ac:dyDescent="0.3">
      <c r="A88" s="590" t="s">
        <v>3047</v>
      </c>
      <c r="B88" s="591" t="s">
        <v>3048</v>
      </c>
      <c r="C88" s="591" t="s">
        <v>2295</v>
      </c>
      <c r="D88" s="591" t="s">
        <v>3157</v>
      </c>
      <c r="E88" s="591" t="s">
        <v>3158</v>
      </c>
      <c r="F88" s="594">
        <v>115</v>
      </c>
      <c r="G88" s="594">
        <v>3335</v>
      </c>
      <c r="H88" s="594">
        <v>1</v>
      </c>
      <c r="I88" s="594">
        <v>29</v>
      </c>
      <c r="J88" s="594">
        <v>125</v>
      </c>
      <c r="K88" s="594">
        <v>3625</v>
      </c>
      <c r="L88" s="594">
        <v>1.0869565217391304</v>
      </c>
      <c r="M88" s="594">
        <v>29</v>
      </c>
      <c r="N88" s="594">
        <v>87</v>
      </c>
      <c r="O88" s="594">
        <v>2523</v>
      </c>
      <c r="P88" s="616">
        <v>0.75652173913043474</v>
      </c>
      <c r="Q88" s="595">
        <v>29</v>
      </c>
    </row>
    <row r="89" spans="1:17" ht="14.4" customHeight="1" x14ac:dyDescent="0.3">
      <c r="A89" s="590" t="s">
        <v>3047</v>
      </c>
      <c r="B89" s="591" t="s">
        <v>3048</v>
      </c>
      <c r="C89" s="591" t="s">
        <v>2295</v>
      </c>
      <c r="D89" s="591" t="s">
        <v>3159</v>
      </c>
      <c r="E89" s="591" t="s">
        <v>3160</v>
      </c>
      <c r="F89" s="594">
        <v>23</v>
      </c>
      <c r="G89" s="594">
        <v>4048</v>
      </c>
      <c r="H89" s="594">
        <v>1</v>
      </c>
      <c r="I89" s="594">
        <v>176</v>
      </c>
      <c r="J89" s="594">
        <v>161</v>
      </c>
      <c r="K89" s="594">
        <v>28336</v>
      </c>
      <c r="L89" s="594">
        <v>7</v>
      </c>
      <c r="M89" s="594">
        <v>176</v>
      </c>
      <c r="N89" s="594">
        <v>332</v>
      </c>
      <c r="O89" s="594">
        <v>58588</v>
      </c>
      <c r="P89" s="616">
        <v>14.473320158102768</v>
      </c>
      <c r="Q89" s="595">
        <v>176.46987951807228</v>
      </c>
    </row>
    <row r="90" spans="1:17" ht="14.4" customHeight="1" x14ac:dyDescent="0.3">
      <c r="A90" s="590" t="s">
        <v>3047</v>
      </c>
      <c r="B90" s="591" t="s">
        <v>3048</v>
      </c>
      <c r="C90" s="591" t="s">
        <v>2295</v>
      </c>
      <c r="D90" s="591" t="s">
        <v>3161</v>
      </c>
      <c r="E90" s="591" t="s">
        <v>3162</v>
      </c>
      <c r="F90" s="594">
        <v>2</v>
      </c>
      <c r="G90" s="594">
        <v>30</v>
      </c>
      <c r="H90" s="594">
        <v>1</v>
      </c>
      <c r="I90" s="594">
        <v>15</v>
      </c>
      <c r="J90" s="594">
        <v>1</v>
      </c>
      <c r="K90" s="594">
        <v>15</v>
      </c>
      <c r="L90" s="594">
        <v>0.5</v>
      </c>
      <c r="M90" s="594">
        <v>15</v>
      </c>
      <c r="N90" s="594">
        <v>2</v>
      </c>
      <c r="O90" s="594">
        <v>30</v>
      </c>
      <c r="P90" s="616">
        <v>1</v>
      </c>
      <c r="Q90" s="595">
        <v>15</v>
      </c>
    </row>
    <row r="91" spans="1:17" ht="14.4" customHeight="1" x14ac:dyDescent="0.3">
      <c r="A91" s="590" t="s">
        <v>3047</v>
      </c>
      <c r="B91" s="591" t="s">
        <v>3048</v>
      </c>
      <c r="C91" s="591" t="s">
        <v>2295</v>
      </c>
      <c r="D91" s="591" t="s">
        <v>3163</v>
      </c>
      <c r="E91" s="591" t="s">
        <v>3164</v>
      </c>
      <c r="F91" s="594">
        <v>188</v>
      </c>
      <c r="G91" s="594">
        <v>3572</v>
      </c>
      <c r="H91" s="594">
        <v>1</v>
      </c>
      <c r="I91" s="594">
        <v>19</v>
      </c>
      <c r="J91" s="594">
        <v>190</v>
      </c>
      <c r="K91" s="594">
        <v>3610</v>
      </c>
      <c r="L91" s="594">
        <v>1.0106382978723405</v>
      </c>
      <c r="M91" s="594">
        <v>19</v>
      </c>
      <c r="N91" s="594">
        <v>197</v>
      </c>
      <c r="O91" s="594">
        <v>3743</v>
      </c>
      <c r="P91" s="616">
        <v>1.0478723404255319</v>
      </c>
      <c r="Q91" s="595">
        <v>19</v>
      </c>
    </row>
    <row r="92" spans="1:17" ht="14.4" customHeight="1" x14ac:dyDescent="0.3">
      <c r="A92" s="590" t="s">
        <v>3047</v>
      </c>
      <c r="B92" s="591" t="s">
        <v>3048</v>
      </c>
      <c r="C92" s="591" t="s">
        <v>2295</v>
      </c>
      <c r="D92" s="591" t="s">
        <v>3165</v>
      </c>
      <c r="E92" s="591" t="s">
        <v>3166</v>
      </c>
      <c r="F92" s="594">
        <v>509</v>
      </c>
      <c r="G92" s="594">
        <v>10180</v>
      </c>
      <c r="H92" s="594">
        <v>1</v>
      </c>
      <c r="I92" s="594">
        <v>20</v>
      </c>
      <c r="J92" s="594">
        <v>554</v>
      </c>
      <c r="K92" s="594">
        <v>11080</v>
      </c>
      <c r="L92" s="594">
        <v>1.0884086444007859</v>
      </c>
      <c r="M92" s="594">
        <v>20</v>
      </c>
      <c r="N92" s="594">
        <v>461</v>
      </c>
      <c r="O92" s="594">
        <v>9220</v>
      </c>
      <c r="P92" s="616">
        <v>0.90569744597249513</v>
      </c>
      <c r="Q92" s="595">
        <v>20</v>
      </c>
    </row>
    <row r="93" spans="1:17" ht="14.4" customHeight="1" x14ac:dyDescent="0.3">
      <c r="A93" s="590" t="s">
        <v>3047</v>
      </c>
      <c r="B93" s="591" t="s">
        <v>3048</v>
      </c>
      <c r="C93" s="591" t="s">
        <v>2295</v>
      </c>
      <c r="D93" s="591" t="s">
        <v>3167</v>
      </c>
      <c r="E93" s="591" t="s">
        <v>3168</v>
      </c>
      <c r="F93" s="594">
        <v>1</v>
      </c>
      <c r="G93" s="594">
        <v>160</v>
      </c>
      <c r="H93" s="594">
        <v>1</v>
      </c>
      <c r="I93" s="594">
        <v>160</v>
      </c>
      <c r="J93" s="594"/>
      <c r="K93" s="594"/>
      <c r="L93" s="594"/>
      <c r="M93" s="594"/>
      <c r="N93" s="594"/>
      <c r="O93" s="594"/>
      <c r="P93" s="616"/>
      <c r="Q93" s="595"/>
    </row>
    <row r="94" spans="1:17" ht="14.4" customHeight="1" x14ac:dyDescent="0.3">
      <c r="A94" s="590" t="s">
        <v>3047</v>
      </c>
      <c r="B94" s="591" t="s">
        <v>3048</v>
      </c>
      <c r="C94" s="591" t="s">
        <v>2295</v>
      </c>
      <c r="D94" s="591" t="s">
        <v>3169</v>
      </c>
      <c r="E94" s="591" t="s">
        <v>3170</v>
      </c>
      <c r="F94" s="594">
        <v>1</v>
      </c>
      <c r="G94" s="594">
        <v>172</v>
      </c>
      <c r="H94" s="594">
        <v>1</v>
      </c>
      <c r="I94" s="594">
        <v>172</v>
      </c>
      <c r="J94" s="594">
        <v>3</v>
      </c>
      <c r="K94" s="594">
        <v>516</v>
      </c>
      <c r="L94" s="594">
        <v>3</v>
      </c>
      <c r="M94" s="594">
        <v>172</v>
      </c>
      <c r="N94" s="594"/>
      <c r="O94" s="594"/>
      <c r="P94" s="616"/>
      <c r="Q94" s="595"/>
    </row>
    <row r="95" spans="1:17" ht="14.4" customHeight="1" x14ac:dyDescent="0.3">
      <c r="A95" s="590" t="s">
        <v>3047</v>
      </c>
      <c r="B95" s="591" t="s">
        <v>3048</v>
      </c>
      <c r="C95" s="591" t="s">
        <v>2295</v>
      </c>
      <c r="D95" s="591" t="s">
        <v>3171</v>
      </c>
      <c r="E95" s="591" t="s">
        <v>3172</v>
      </c>
      <c r="F95" s="594">
        <v>96</v>
      </c>
      <c r="G95" s="594">
        <v>8064</v>
      </c>
      <c r="H95" s="594">
        <v>1</v>
      </c>
      <c r="I95" s="594">
        <v>84</v>
      </c>
      <c r="J95" s="594">
        <v>67</v>
      </c>
      <c r="K95" s="594">
        <v>5628</v>
      </c>
      <c r="L95" s="594">
        <v>0.69791666666666663</v>
      </c>
      <c r="M95" s="594">
        <v>84</v>
      </c>
      <c r="N95" s="594">
        <v>62</v>
      </c>
      <c r="O95" s="594">
        <v>5208</v>
      </c>
      <c r="P95" s="616">
        <v>0.64583333333333337</v>
      </c>
      <c r="Q95" s="595">
        <v>84</v>
      </c>
    </row>
    <row r="96" spans="1:17" ht="14.4" customHeight="1" x14ac:dyDescent="0.3">
      <c r="A96" s="590" t="s">
        <v>3047</v>
      </c>
      <c r="B96" s="591" t="s">
        <v>3048</v>
      </c>
      <c r="C96" s="591" t="s">
        <v>2295</v>
      </c>
      <c r="D96" s="591" t="s">
        <v>3173</v>
      </c>
      <c r="E96" s="591" t="s">
        <v>3174</v>
      </c>
      <c r="F96" s="594"/>
      <c r="G96" s="594"/>
      <c r="H96" s="594"/>
      <c r="I96" s="594"/>
      <c r="J96" s="594">
        <v>2</v>
      </c>
      <c r="K96" s="594">
        <v>596</v>
      </c>
      <c r="L96" s="594"/>
      <c r="M96" s="594">
        <v>298</v>
      </c>
      <c r="N96" s="594">
        <v>1</v>
      </c>
      <c r="O96" s="594">
        <v>300</v>
      </c>
      <c r="P96" s="616"/>
      <c r="Q96" s="595">
        <v>300</v>
      </c>
    </row>
    <row r="97" spans="1:17" ht="14.4" customHeight="1" x14ac:dyDescent="0.3">
      <c r="A97" s="590" t="s">
        <v>3047</v>
      </c>
      <c r="B97" s="591" t="s">
        <v>3048</v>
      </c>
      <c r="C97" s="591" t="s">
        <v>2295</v>
      </c>
      <c r="D97" s="591" t="s">
        <v>3175</v>
      </c>
      <c r="E97" s="591" t="s">
        <v>3176</v>
      </c>
      <c r="F97" s="594">
        <v>56</v>
      </c>
      <c r="G97" s="594">
        <v>1232</v>
      </c>
      <c r="H97" s="594">
        <v>1</v>
      </c>
      <c r="I97" s="594">
        <v>22</v>
      </c>
      <c r="J97" s="594">
        <v>38</v>
      </c>
      <c r="K97" s="594">
        <v>836</v>
      </c>
      <c r="L97" s="594">
        <v>0.6785714285714286</v>
      </c>
      <c r="M97" s="594">
        <v>22</v>
      </c>
      <c r="N97" s="594">
        <v>47</v>
      </c>
      <c r="O97" s="594">
        <v>1034</v>
      </c>
      <c r="P97" s="616">
        <v>0.8392857142857143</v>
      </c>
      <c r="Q97" s="595">
        <v>22</v>
      </c>
    </row>
    <row r="98" spans="1:17" ht="14.4" customHeight="1" x14ac:dyDescent="0.3">
      <c r="A98" s="590" t="s">
        <v>3047</v>
      </c>
      <c r="B98" s="591" t="s">
        <v>3048</v>
      </c>
      <c r="C98" s="591" t="s">
        <v>2295</v>
      </c>
      <c r="D98" s="591" t="s">
        <v>3177</v>
      </c>
      <c r="E98" s="591" t="s">
        <v>3178</v>
      </c>
      <c r="F98" s="594">
        <v>6</v>
      </c>
      <c r="G98" s="594">
        <v>2970</v>
      </c>
      <c r="H98" s="594">
        <v>1</v>
      </c>
      <c r="I98" s="594">
        <v>495</v>
      </c>
      <c r="J98" s="594"/>
      <c r="K98" s="594"/>
      <c r="L98" s="594"/>
      <c r="M98" s="594"/>
      <c r="N98" s="594"/>
      <c r="O98" s="594"/>
      <c r="P98" s="616"/>
      <c r="Q98" s="595"/>
    </row>
    <row r="99" spans="1:17" ht="14.4" customHeight="1" x14ac:dyDescent="0.3">
      <c r="A99" s="590" t="s">
        <v>3047</v>
      </c>
      <c r="B99" s="591" t="s">
        <v>3048</v>
      </c>
      <c r="C99" s="591" t="s">
        <v>2295</v>
      </c>
      <c r="D99" s="591" t="s">
        <v>3179</v>
      </c>
      <c r="E99" s="591" t="s">
        <v>3180</v>
      </c>
      <c r="F99" s="594"/>
      <c r="G99" s="594"/>
      <c r="H99" s="594"/>
      <c r="I99" s="594"/>
      <c r="J99" s="594">
        <v>1</v>
      </c>
      <c r="K99" s="594">
        <v>564</v>
      </c>
      <c r="L99" s="594"/>
      <c r="M99" s="594">
        <v>564</v>
      </c>
      <c r="N99" s="594"/>
      <c r="O99" s="594"/>
      <c r="P99" s="616"/>
      <c r="Q99" s="595"/>
    </row>
    <row r="100" spans="1:17" ht="14.4" customHeight="1" x14ac:dyDescent="0.3">
      <c r="A100" s="590" t="s">
        <v>3047</v>
      </c>
      <c r="B100" s="591" t="s">
        <v>3048</v>
      </c>
      <c r="C100" s="591" t="s">
        <v>2295</v>
      </c>
      <c r="D100" s="591" t="s">
        <v>3181</v>
      </c>
      <c r="E100" s="591" t="s">
        <v>3182</v>
      </c>
      <c r="F100" s="594"/>
      <c r="G100" s="594"/>
      <c r="H100" s="594"/>
      <c r="I100" s="594"/>
      <c r="J100" s="594">
        <v>1</v>
      </c>
      <c r="K100" s="594">
        <v>1002</v>
      </c>
      <c r="L100" s="594"/>
      <c r="M100" s="594">
        <v>1002</v>
      </c>
      <c r="N100" s="594"/>
      <c r="O100" s="594"/>
      <c r="P100" s="616"/>
      <c r="Q100" s="595"/>
    </row>
    <row r="101" spans="1:17" ht="14.4" customHeight="1" x14ac:dyDescent="0.3">
      <c r="A101" s="590" t="s">
        <v>3047</v>
      </c>
      <c r="B101" s="591" t="s">
        <v>3048</v>
      </c>
      <c r="C101" s="591" t="s">
        <v>2295</v>
      </c>
      <c r="D101" s="591" t="s">
        <v>3183</v>
      </c>
      <c r="E101" s="591" t="s">
        <v>3184</v>
      </c>
      <c r="F101" s="594">
        <v>3</v>
      </c>
      <c r="G101" s="594">
        <v>498</v>
      </c>
      <c r="H101" s="594">
        <v>1</v>
      </c>
      <c r="I101" s="594">
        <v>166</v>
      </c>
      <c r="J101" s="594">
        <v>1</v>
      </c>
      <c r="K101" s="594">
        <v>166</v>
      </c>
      <c r="L101" s="594">
        <v>0.33333333333333331</v>
      </c>
      <c r="M101" s="594">
        <v>166</v>
      </c>
      <c r="N101" s="594"/>
      <c r="O101" s="594"/>
      <c r="P101" s="616"/>
      <c r="Q101" s="595"/>
    </row>
    <row r="102" spans="1:17" ht="14.4" customHeight="1" x14ac:dyDescent="0.3">
      <c r="A102" s="590" t="s">
        <v>3047</v>
      </c>
      <c r="B102" s="591" t="s">
        <v>3048</v>
      </c>
      <c r="C102" s="591" t="s">
        <v>2295</v>
      </c>
      <c r="D102" s="591" t="s">
        <v>3185</v>
      </c>
      <c r="E102" s="591" t="s">
        <v>3186</v>
      </c>
      <c r="F102" s="594"/>
      <c r="G102" s="594"/>
      <c r="H102" s="594"/>
      <c r="I102" s="594"/>
      <c r="J102" s="594"/>
      <c r="K102" s="594"/>
      <c r="L102" s="594"/>
      <c r="M102" s="594"/>
      <c r="N102" s="594">
        <v>2</v>
      </c>
      <c r="O102" s="594">
        <v>620</v>
      </c>
      <c r="P102" s="616"/>
      <c r="Q102" s="595">
        <v>310</v>
      </c>
    </row>
    <row r="103" spans="1:17" ht="14.4" customHeight="1" x14ac:dyDescent="0.3">
      <c r="A103" s="590" t="s">
        <v>3047</v>
      </c>
      <c r="B103" s="591" t="s">
        <v>3048</v>
      </c>
      <c r="C103" s="591" t="s">
        <v>2295</v>
      </c>
      <c r="D103" s="591" t="s">
        <v>3187</v>
      </c>
      <c r="E103" s="591" t="s">
        <v>3188</v>
      </c>
      <c r="F103" s="594">
        <v>1</v>
      </c>
      <c r="G103" s="594">
        <v>23</v>
      </c>
      <c r="H103" s="594">
        <v>1</v>
      </c>
      <c r="I103" s="594">
        <v>23</v>
      </c>
      <c r="J103" s="594">
        <v>3</v>
      </c>
      <c r="K103" s="594">
        <v>69</v>
      </c>
      <c r="L103" s="594">
        <v>3</v>
      </c>
      <c r="M103" s="594">
        <v>23</v>
      </c>
      <c r="N103" s="594">
        <v>4</v>
      </c>
      <c r="O103" s="594">
        <v>92</v>
      </c>
      <c r="P103" s="616">
        <v>4</v>
      </c>
      <c r="Q103" s="595">
        <v>23</v>
      </c>
    </row>
    <row r="104" spans="1:17" ht="14.4" customHeight="1" x14ac:dyDescent="0.3">
      <c r="A104" s="590" t="s">
        <v>3047</v>
      </c>
      <c r="B104" s="591" t="s">
        <v>3048</v>
      </c>
      <c r="C104" s="591" t="s">
        <v>2295</v>
      </c>
      <c r="D104" s="591" t="s">
        <v>3189</v>
      </c>
      <c r="E104" s="591" t="s">
        <v>3190</v>
      </c>
      <c r="F104" s="594"/>
      <c r="G104" s="594"/>
      <c r="H104" s="594"/>
      <c r="I104" s="594"/>
      <c r="J104" s="594">
        <v>1</v>
      </c>
      <c r="K104" s="594">
        <v>131</v>
      </c>
      <c r="L104" s="594"/>
      <c r="M104" s="594">
        <v>131</v>
      </c>
      <c r="N104" s="594"/>
      <c r="O104" s="594"/>
      <c r="P104" s="616"/>
      <c r="Q104" s="595"/>
    </row>
    <row r="105" spans="1:17" ht="14.4" customHeight="1" x14ac:dyDescent="0.3">
      <c r="A105" s="590" t="s">
        <v>3047</v>
      </c>
      <c r="B105" s="591" t="s">
        <v>3048</v>
      </c>
      <c r="C105" s="591" t="s">
        <v>2295</v>
      </c>
      <c r="D105" s="591" t="s">
        <v>3191</v>
      </c>
      <c r="E105" s="591" t="s">
        <v>3192</v>
      </c>
      <c r="F105" s="594">
        <v>27</v>
      </c>
      <c r="G105" s="594">
        <v>7857</v>
      </c>
      <c r="H105" s="594">
        <v>1</v>
      </c>
      <c r="I105" s="594">
        <v>291</v>
      </c>
      <c r="J105" s="594">
        <v>47</v>
      </c>
      <c r="K105" s="594">
        <v>13677</v>
      </c>
      <c r="L105" s="594">
        <v>1.7407407407407407</v>
      </c>
      <c r="M105" s="594">
        <v>291</v>
      </c>
      <c r="N105" s="594">
        <v>43</v>
      </c>
      <c r="O105" s="594">
        <v>12533</v>
      </c>
      <c r="P105" s="616">
        <v>1.5951380934198804</v>
      </c>
      <c r="Q105" s="595">
        <v>291.46511627906978</v>
      </c>
    </row>
    <row r="106" spans="1:17" ht="14.4" customHeight="1" x14ac:dyDescent="0.3">
      <c r="A106" s="590" t="s">
        <v>3047</v>
      </c>
      <c r="B106" s="591" t="s">
        <v>3048</v>
      </c>
      <c r="C106" s="591" t="s">
        <v>2295</v>
      </c>
      <c r="D106" s="591" t="s">
        <v>3193</v>
      </c>
      <c r="E106" s="591" t="s">
        <v>3194</v>
      </c>
      <c r="F106" s="594">
        <v>1</v>
      </c>
      <c r="G106" s="594">
        <v>45</v>
      </c>
      <c r="H106" s="594">
        <v>1</v>
      </c>
      <c r="I106" s="594">
        <v>45</v>
      </c>
      <c r="J106" s="594">
        <v>2</v>
      </c>
      <c r="K106" s="594">
        <v>90</v>
      </c>
      <c r="L106" s="594">
        <v>2</v>
      </c>
      <c r="M106" s="594">
        <v>45</v>
      </c>
      <c r="N106" s="594">
        <v>4</v>
      </c>
      <c r="O106" s="594">
        <v>180</v>
      </c>
      <c r="P106" s="616">
        <v>4</v>
      </c>
      <c r="Q106" s="595">
        <v>45</v>
      </c>
    </row>
    <row r="107" spans="1:17" ht="14.4" customHeight="1" x14ac:dyDescent="0.3">
      <c r="A107" s="590" t="s">
        <v>3047</v>
      </c>
      <c r="B107" s="591" t="s">
        <v>3048</v>
      </c>
      <c r="C107" s="591" t="s">
        <v>2295</v>
      </c>
      <c r="D107" s="591" t="s">
        <v>3195</v>
      </c>
      <c r="E107" s="591" t="s">
        <v>3196</v>
      </c>
      <c r="F107" s="594"/>
      <c r="G107" s="594"/>
      <c r="H107" s="594"/>
      <c r="I107" s="594"/>
      <c r="J107" s="594"/>
      <c r="K107" s="594"/>
      <c r="L107" s="594"/>
      <c r="M107" s="594"/>
      <c r="N107" s="594">
        <v>14</v>
      </c>
      <c r="O107" s="594">
        <v>644</v>
      </c>
      <c r="P107" s="616"/>
      <c r="Q107" s="595">
        <v>46</v>
      </c>
    </row>
    <row r="108" spans="1:17" ht="14.4" customHeight="1" x14ac:dyDescent="0.3">
      <c r="A108" s="590" t="s">
        <v>3047</v>
      </c>
      <c r="B108" s="591" t="s">
        <v>3048</v>
      </c>
      <c r="C108" s="591" t="s">
        <v>2295</v>
      </c>
      <c r="D108" s="591" t="s">
        <v>3197</v>
      </c>
      <c r="E108" s="591" t="s">
        <v>3198</v>
      </c>
      <c r="F108" s="594"/>
      <c r="G108" s="594"/>
      <c r="H108" s="594"/>
      <c r="I108" s="594"/>
      <c r="J108" s="594"/>
      <c r="K108" s="594"/>
      <c r="L108" s="594"/>
      <c r="M108" s="594"/>
      <c r="N108" s="594">
        <v>1</v>
      </c>
      <c r="O108" s="594">
        <v>308</v>
      </c>
      <c r="P108" s="616"/>
      <c r="Q108" s="595">
        <v>308</v>
      </c>
    </row>
    <row r="109" spans="1:17" ht="14.4" customHeight="1" x14ac:dyDescent="0.3">
      <c r="A109" s="590" t="s">
        <v>3047</v>
      </c>
      <c r="B109" s="591" t="s">
        <v>3048</v>
      </c>
      <c r="C109" s="591" t="s">
        <v>2295</v>
      </c>
      <c r="D109" s="591" t="s">
        <v>3199</v>
      </c>
      <c r="E109" s="591" t="s">
        <v>3200</v>
      </c>
      <c r="F109" s="594"/>
      <c r="G109" s="594"/>
      <c r="H109" s="594"/>
      <c r="I109" s="594"/>
      <c r="J109" s="594">
        <v>1</v>
      </c>
      <c r="K109" s="594">
        <v>26</v>
      </c>
      <c r="L109" s="594"/>
      <c r="M109" s="594">
        <v>26</v>
      </c>
      <c r="N109" s="594">
        <v>1</v>
      </c>
      <c r="O109" s="594">
        <v>26</v>
      </c>
      <c r="P109" s="616"/>
      <c r="Q109" s="595">
        <v>26</v>
      </c>
    </row>
    <row r="110" spans="1:17" ht="14.4" customHeight="1" x14ac:dyDescent="0.3">
      <c r="A110" s="590" t="s">
        <v>3047</v>
      </c>
      <c r="B110" s="591" t="s">
        <v>3201</v>
      </c>
      <c r="C110" s="591" t="s">
        <v>2295</v>
      </c>
      <c r="D110" s="591" t="s">
        <v>3202</v>
      </c>
      <c r="E110" s="591" t="s">
        <v>3203</v>
      </c>
      <c r="F110" s="594"/>
      <c r="G110" s="594"/>
      <c r="H110" s="594"/>
      <c r="I110" s="594"/>
      <c r="J110" s="594">
        <v>3</v>
      </c>
      <c r="K110" s="594">
        <v>3105</v>
      </c>
      <c r="L110" s="594"/>
      <c r="M110" s="594">
        <v>1035</v>
      </c>
      <c r="N110" s="594">
        <v>1</v>
      </c>
      <c r="O110" s="594">
        <v>1035</v>
      </c>
      <c r="P110" s="616"/>
      <c r="Q110" s="595">
        <v>1035</v>
      </c>
    </row>
    <row r="111" spans="1:17" ht="14.4" customHeight="1" x14ac:dyDescent="0.3">
      <c r="A111" s="590" t="s">
        <v>3047</v>
      </c>
      <c r="B111" s="591" t="s">
        <v>3201</v>
      </c>
      <c r="C111" s="591" t="s">
        <v>2295</v>
      </c>
      <c r="D111" s="591" t="s">
        <v>3204</v>
      </c>
      <c r="E111" s="591" t="s">
        <v>3205</v>
      </c>
      <c r="F111" s="594"/>
      <c r="G111" s="594"/>
      <c r="H111" s="594"/>
      <c r="I111" s="594"/>
      <c r="J111" s="594">
        <v>1</v>
      </c>
      <c r="K111" s="594">
        <v>1245</v>
      </c>
      <c r="L111" s="594"/>
      <c r="M111" s="594">
        <v>1245</v>
      </c>
      <c r="N111" s="594"/>
      <c r="O111" s="594"/>
      <c r="P111" s="616"/>
      <c r="Q111" s="595"/>
    </row>
    <row r="112" spans="1:17" ht="14.4" customHeight="1" x14ac:dyDescent="0.3">
      <c r="A112" s="590" t="s">
        <v>3206</v>
      </c>
      <c r="B112" s="591" t="s">
        <v>2873</v>
      </c>
      <c r="C112" s="591" t="s">
        <v>2530</v>
      </c>
      <c r="D112" s="591" t="s">
        <v>3207</v>
      </c>
      <c r="E112" s="591" t="s">
        <v>3208</v>
      </c>
      <c r="F112" s="594"/>
      <c r="G112" s="594"/>
      <c r="H112" s="594"/>
      <c r="I112" s="594"/>
      <c r="J112" s="594">
        <v>2.34</v>
      </c>
      <c r="K112" s="594">
        <v>6220.08</v>
      </c>
      <c r="L112" s="594"/>
      <c r="M112" s="594">
        <v>2658.1538461538462</v>
      </c>
      <c r="N112" s="594">
        <v>0.66</v>
      </c>
      <c r="O112" s="594">
        <v>1763.16</v>
      </c>
      <c r="P112" s="616"/>
      <c r="Q112" s="595">
        <v>2671.4545454545455</v>
      </c>
    </row>
    <row r="113" spans="1:17" ht="14.4" customHeight="1" x14ac:dyDescent="0.3">
      <c r="A113" s="590" t="s">
        <v>3206</v>
      </c>
      <c r="B113" s="591" t="s">
        <v>2873</v>
      </c>
      <c r="C113" s="591" t="s">
        <v>2530</v>
      </c>
      <c r="D113" s="591" t="s">
        <v>3209</v>
      </c>
      <c r="E113" s="591" t="s">
        <v>3208</v>
      </c>
      <c r="F113" s="594"/>
      <c r="G113" s="594"/>
      <c r="H113" s="594"/>
      <c r="I113" s="594"/>
      <c r="J113" s="594">
        <v>0.2</v>
      </c>
      <c r="K113" s="594">
        <v>1335.72</v>
      </c>
      <c r="L113" s="594"/>
      <c r="M113" s="594">
        <v>6678.5999999999995</v>
      </c>
      <c r="N113" s="594"/>
      <c r="O113" s="594"/>
      <c r="P113" s="616"/>
      <c r="Q113" s="595"/>
    </row>
    <row r="114" spans="1:17" ht="14.4" customHeight="1" x14ac:dyDescent="0.3">
      <c r="A114" s="590" t="s">
        <v>3206</v>
      </c>
      <c r="B114" s="591" t="s">
        <v>2873</v>
      </c>
      <c r="C114" s="591" t="s">
        <v>2530</v>
      </c>
      <c r="D114" s="591" t="s">
        <v>3210</v>
      </c>
      <c r="E114" s="591" t="s">
        <v>3211</v>
      </c>
      <c r="F114" s="594">
        <v>6</v>
      </c>
      <c r="G114" s="594">
        <v>7932.4</v>
      </c>
      <c r="H114" s="594">
        <v>1</v>
      </c>
      <c r="I114" s="594">
        <v>1322.0666666666666</v>
      </c>
      <c r="J114" s="594">
        <v>13</v>
      </c>
      <c r="K114" s="594">
        <v>12782.539999999999</v>
      </c>
      <c r="L114" s="594">
        <v>1.6114341182996319</v>
      </c>
      <c r="M114" s="594">
        <v>983.27230769230766</v>
      </c>
      <c r="N114" s="594">
        <v>12.399999999999999</v>
      </c>
      <c r="O114" s="594">
        <v>12263.939999999999</v>
      </c>
      <c r="P114" s="616">
        <v>1.5460566789370178</v>
      </c>
      <c r="Q114" s="595">
        <v>989.02741935483868</v>
      </c>
    </row>
    <row r="115" spans="1:17" ht="14.4" customHeight="1" x14ac:dyDescent="0.3">
      <c r="A115" s="590" t="s">
        <v>3206</v>
      </c>
      <c r="B115" s="591" t="s">
        <v>2873</v>
      </c>
      <c r="C115" s="591" t="s">
        <v>2530</v>
      </c>
      <c r="D115" s="591" t="s">
        <v>3212</v>
      </c>
      <c r="E115" s="591" t="s">
        <v>3213</v>
      </c>
      <c r="F115" s="594">
        <v>1.69</v>
      </c>
      <c r="G115" s="594">
        <v>21800.76</v>
      </c>
      <c r="H115" s="594">
        <v>1</v>
      </c>
      <c r="I115" s="594">
        <v>12899.857988165681</v>
      </c>
      <c r="J115" s="594">
        <v>2.25</v>
      </c>
      <c r="K115" s="594">
        <v>23463.66</v>
      </c>
      <c r="L115" s="594">
        <v>1.0762771573101122</v>
      </c>
      <c r="M115" s="594">
        <v>10428.293333333333</v>
      </c>
      <c r="N115" s="594">
        <v>3.45</v>
      </c>
      <c r="O115" s="594">
        <v>35612.29</v>
      </c>
      <c r="P115" s="616">
        <v>1.6335343355002305</v>
      </c>
      <c r="Q115" s="595">
        <v>10322.402898550725</v>
      </c>
    </row>
    <row r="116" spans="1:17" ht="14.4" customHeight="1" x14ac:dyDescent="0.3">
      <c r="A116" s="590" t="s">
        <v>3206</v>
      </c>
      <c r="B116" s="591" t="s">
        <v>2873</v>
      </c>
      <c r="C116" s="591" t="s">
        <v>2530</v>
      </c>
      <c r="D116" s="591" t="s">
        <v>3214</v>
      </c>
      <c r="E116" s="591" t="s">
        <v>3213</v>
      </c>
      <c r="F116" s="594">
        <v>0.3</v>
      </c>
      <c r="G116" s="594">
        <v>1934.98</v>
      </c>
      <c r="H116" s="594">
        <v>1</v>
      </c>
      <c r="I116" s="594">
        <v>6449.9333333333334</v>
      </c>
      <c r="J116" s="594">
        <v>0.06</v>
      </c>
      <c r="K116" s="594">
        <v>390.39</v>
      </c>
      <c r="L116" s="594">
        <v>0.20175402329739842</v>
      </c>
      <c r="M116" s="594">
        <v>6506.5</v>
      </c>
      <c r="N116" s="594">
        <v>0.30000000000000004</v>
      </c>
      <c r="O116" s="594">
        <v>1951.9499999999998</v>
      </c>
      <c r="P116" s="616">
        <v>1.008770116486992</v>
      </c>
      <c r="Q116" s="595">
        <v>6506.4999999999982</v>
      </c>
    </row>
    <row r="117" spans="1:17" ht="14.4" customHeight="1" x14ac:dyDescent="0.3">
      <c r="A117" s="590" t="s">
        <v>3206</v>
      </c>
      <c r="B117" s="591" t="s">
        <v>2873</v>
      </c>
      <c r="C117" s="591" t="s">
        <v>2530</v>
      </c>
      <c r="D117" s="591" t="s">
        <v>3215</v>
      </c>
      <c r="E117" s="591" t="s">
        <v>3216</v>
      </c>
      <c r="F117" s="594"/>
      <c r="G117" s="594"/>
      <c r="H117" s="594"/>
      <c r="I117" s="594"/>
      <c r="J117" s="594"/>
      <c r="K117" s="594"/>
      <c r="L117" s="594"/>
      <c r="M117" s="594"/>
      <c r="N117" s="594">
        <v>1</v>
      </c>
      <c r="O117" s="594">
        <v>416.3</v>
      </c>
      <c r="P117" s="616"/>
      <c r="Q117" s="595">
        <v>416.3</v>
      </c>
    </row>
    <row r="118" spans="1:17" ht="14.4" customHeight="1" x14ac:dyDescent="0.3">
      <c r="A118" s="590" t="s">
        <v>3206</v>
      </c>
      <c r="B118" s="591" t="s">
        <v>2873</v>
      </c>
      <c r="C118" s="591" t="s">
        <v>2530</v>
      </c>
      <c r="D118" s="591" t="s">
        <v>2794</v>
      </c>
      <c r="E118" s="591" t="s">
        <v>2795</v>
      </c>
      <c r="F118" s="594">
        <v>1.4500000000000002</v>
      </c>
      <c r="G118" s="594">
        <v>7849.28</v>
      </c>
      <c r="H118" s="594">
        <v>1</v>
      </c>
      <c r="I118" s="594">
        <v>5413.2965517241373</v>
      </c>
      <c r="J118" s="594">
        <v>1.94</v>
      </c>
      <c r="K118" s="594">
        <v>10544.539999999999</v>
      </c>
      <c r="L118" s="594">
        <v>1.3433767173549676</v>
      </c>
      <c r="M118" s="594">
        <v>5435.3298969072166</v>
      </c>
      <c r="N118" s="594">
        <v>1.1599999999999999</v>
      </c>
      <c r="O118" s="594">
        <v>6334.52</v>
      </c>
      <c r="P118" s="616">
        <v>0.80701924252925117</v>
      </c>
      <c r="Q118" s="595">
        <v>5460.7931034482763</v>
      </c>
    </row>
    <row r="119" spans="1:17" ht="14.4" customHeight="1" x14ac:dyDescent="0.3">
      <c r="A119" s="590" t="s">
        <v>3206</v>
      </c>
      <c r="B119" s="591" t="s">
        <v>2873</v>
      </c>
      <c r="C119" s="591" t="s">
        <v>2530</v>
      </c>
      <c r="D119" s="591" t="s">
        <v>3217</v>
      </c>
      <c r="E119" s="591" t="s">
        <v>2795</v>
      </c>
      <c r="F119" s="594">
        <v>2.02</v>
      </c>
      <c r="G119" s="594">
        <v>21808.7</v>
      </c>
      <c r="H119" s="594">
        <v>1</v>
      </c>
      <c r="I119" s="594">
        <v>10796.386138613861</v>
      </c>
      <c r="J119" s="594">
        <v>2.8400000000000003</v>
      </c>
      <c r="K119" s="594">
        <v>30843.859999999997</v>
      </c>
      <c r="L119" s="594">
        <v>1.4142915442002502</v>
      </c>
      <c r="M119" s="594">
        <v>10860.51408450704</v>
      </c>
      <c r="N119" s="594">
        <v>1.53</v>
      </c>
      <c r="O119" s="594">
        <v>16709.989999999998</v>
      </c>
      <c r="P119" s="616">
        <v>0.76620752268590042</v>
      </c>
      <c r="Q119" s="595">
        <v>10921.562091503267</v>
      </c>
    </row>
    <row r="120" spans="1:17" ht="14.4" customHeight="1" x14ac:dyDescent="0.3">
      <c r="A120" s="590" t="s">
        <v>3206</v>
      </c>
      <c r="B120" s="591" t="s">
        <v>2873</v>
      </c>
      <c r="C120" s="591" t="s">
        <v>2530</v>
      </c>
      <c r="D120" s="591" t="s">
        <v>3218</v>
      </c>
      <c r="E120" s="591" t="s">
        <v>3219</v>
      </c>
      <c r="F120" s="594">
        <v>2.2000000000000002</v>
      </c>
      <c r="G120" s="594">
        <v>4266.03</v>
      </c>
      <c r="H120" s="594">
        <v>1</v>
      </c>
      <c r="I120" s="594">
        <v>1939.1045454545451</v>
      </c>
      <c r="J120" s="594">
        <v>1.2</v>
      </c>
      <c r="K120" s="594">
        <v>2337.12</v>
      </c>
      <c r="L120" s="594">
        <v>0.54784424863397585</v>
      </c>
      <c r="M120" s="594">
        <v>1947.6</v>
      </c>
      <c r="N120" s="594">
        <v>1.5999999999999999</v>
      </c>
      <c r="O120" s="594">
        <v>3129.76</v>
      </c>
      <c r="P120" s="616">
        <v>0.73364697388438438</v>
      </c>
      <c r="Q120" s="595">
        <v>1956.1000000000004</v>
      </c>
    </row>
    <row r="121" spans="1:17" ht="14.4" customHeight="1" x14ac:dyDescent="0.3">
      <c r="A121" s="590" t="s">
        <v>3206</v>
      </c>
      <c r="B121" s="591" t="s">
        <v>2873</v>
      </c>
      <c r="C121" s="591" t="s">
        <v>2530</v>
      </c>
      <c r="D121" s="591" t="s">
        <v>3000</v>
      </c>
      <c r="E121" s="591" t="s">
        <v>2795</v>
      </c>
      <c r="F121" s="594"/>
      <c r="G121" s="594"/>
      <c r="H121" s="594"/>
      <c r="I121" s="594"/>
      <c r="J121" s="594"/>
      <c r="K121" s="594"/>
      <c r="L121" s="594"/>
      <c r="M121" s="594"/>
      <c r="N121" s="594">
        <v>4.5299999999999994</v>
      </c>
      <c r="O121" s="594">
        <v>9894.92</v>
      </c>
      <c r="P121" s="616"/>
      <c r="Q121" s="595">
        <v>2184.3090507726274</v>
      </c>
    </row>
    <row r="122" spans="1:17" ht="14.4" customHeight="1" x14ac:dyDescent="0.3">
      <c r="A122" s="590" t="s">
        <v>3206</v>
      </c>
      <c r="B122" s="591" t="s">
        <v>2873</v>
      </c>
      <c r="C122" s="591" t="s">
        <v>2530</v>
      </c>
      <c r="D122" s="591" t="s">
        <v>3220</v>
      </c>
      <c r="E122" s="591" t="s">
        <v>3221</v>
      </c>
      <c r="F122" s="594">
        <v>0.5</v>
      </c>
      <c r="G122" s="594">
        <v>188.01000000000002</v>
      </c>
      <c r="H122" s="594">
        <v>1</v>
      </c>
      <c r="I122" s="594">
        <v>376.02000000000004</v>
      </c>
      <c r="J122" s="594">
        <v>0.45</v>
      </c>
      <c r="K122" s="594">
        <v>170.19</v>
      </c>
      <c r="L122" s="594">
        <v>0.9052178075634274</v>
      </c>
      <c r="M122" s="594">
        <v>378.2</v>
      </c>
      <c r="N122" s="594">
        <v>0.3</v>
      </c>
      <c r="O122" s="594">
        <v>113.8</v>
      </c>
      <c r="P122" s="616">
        <v>0.60528695282165834</v>
      </c>
      <c r="Q122" s="595">
        <v>379.33333333333331</v>
      </c>
    </row>
    <row r="123" spans="1:17" ht="14.4" customHeight="1" x14ac:dyDescent="0.3">
      <c r="A123" s="590" t="s">
        <v>3206</v>
      </c>
      <c r="B123" s="591" t="s">
        <v>2873</v>
      </c>
      <c r="C123" s="591" t="s">
        <v>2530</v>
      </c>
      <c r="D123" s="591" t="s">
        <v>3222</v>
      </c>
      <c r="E123" s="591" t="s">
        <v>3223</v>
      </c>
      <c r="F123" s="594">
        <v>0.08</v>
      </c>
      <c r="G123" s="594">
        <v>74.92</v>
      </c>
      <c r="H123" s="594">
        <v>1</v>
      </c>
      <c r="I123" s="594">
        <v>936.5</v>
      </c>
      <c r="J123" s="594"/>
      <c r="K123" s="594"/>
      <c r="L123" s="594"/>
      <c r="M123" s="594"/>
      <c r="N123" s="594">
        <v>0.1</v>
      </c>
      <c r="O123" s="594">
        <v>94.48</v>
      </c>
      <c r="P123" s="616">
        <v>1.2610784837159636</v>
      </c>
      <c r="Q123" s="595">
        <v>944.8</v>
      </c>
    </row>
    <row r="124" spans="1:17" ht="14.4" customHeight="1" x14ac:dyDescent="0.3">
      <c r="A124" s="590" t="s">
        <v>3206</v>
      </c>
      <c r="B124" s="591" t="s">
        <v>2873</v>
      </c>
      <c r="C124" s="591" t="s">
        <v>2597</v>
      </c>
      <c r="D124" s="591" t="s">
        <v>3224</v>
      </c>
      <c r="E124" s="591" t="s">
        <v>3225</v>
      </c>
      <c r="F124" s="594">
        <v>1</v>
      </c>
      <c r="G124" s="594">
        <v>568.9</v>
      </c>
      <c r="H124" s="594">
        <v>1</v>
      </c>
      <c r="I124" s="594">
        <v>568.9</v>
      </c>
      <c r="J124" s="594">
        <v>1</v>
      </c>
      <c r="K124" s="594">
        <v>589.59</v>
      </c>
      <c r="L124" s="594">
        <v>1.0363684303040956</v>
      </c>
      <c r="M124" s="594">
        <v>589.59</v>
      </c>
      <c r="N124" s="594">
        <v>3</v>
      </c>
      <c r="O124" s="594">
        <v>1768.77</v>
      </c>
      <c r="P124" s="616">
        <v>3.1091052909122872</v>
      </c>
      <c r="Q124" s="595">
        <v>589.59</v>
      </c>
    </row>
    <row r="125" spans="1:17" ht="14.4" customHeight="1" x14ac:dyDescent="0.3">
      <c r="A125" s="590" t="s">
        <v>3206</v>
      </c>
      <c r="B125" s="591" t="s">
        <v>2873</v>
      </c>
      <c r="C125" s="591" t="s">
        <v>2597</v>
      </c>
      <c r="D125" s="591" t="s">
        <v>3226</v>
      </c>
      <c r="E125" s="591" t="s">
        <v>3227</v>
      </c>
      <c r="F125" s="594">
        <v>1</v>
      </c>
      <c r="G125" s="594">
        <v>1447.28</v>
      </c>
      <c r="H125" s="594">
        <v>1</v>
      </c>
      <c r="I125" s="594">
        <v>1447.28</v>
      </c>
      <c r="J125" s="594"/>
      <c r="K125" s="594"/>
      <c r="L125" s="594"/>
      <c r="M125" s="594"/>
      <c r="N125" s="594"/>
      <c r="O125" s="594"/>
      <c r="P125" s="616"/>
      <c r="Q125" s="595"/>
    </row>
    <row r="126" spans="1:17" ht="14.4" customHeight="1" x14ac:dyDescent="0.3">
      <c r="A126" s="590" t="s">
        <v>3206</v>
      </c>
      <c r="B126" s="591" t="s">
        <v>2873</v>
      </c>
      <c r="C126" s="591" t="s">
        <v>2597</v>
      </c>
      <c r="D126" s="591" t="s">
        <v>3228</v>
      </c>
      <c r="E126" s="591" t="s">
        <v>3229</v>
      </c>
      <c r="F126" s="594">
        <v>2</v>
      </c>
      <c r="G126" s="594">
        <v>1944.64</v>
      </c>
      <c r="H126" s="594">
        <v>1</v>
      </c>
      <c r="I126" s="594">
        <v>972.32</v>
      </c>
      <c r="J126" s="594">
        <v>1</v>
      </c>
      <c r="K126" s="594">
        <v>972.32</v>
      </c>
      <c r="L126" s="594">
        <v>0.5</v>
      </c>
      <c r="M126" s="594">
        <v>972.32</v>
      </c>
      <c r="N126" s="594">
        <v>2</v>
      </c>
      <c r="O126" s="594">
        <v>1944.64</v>
      </c>
      <c r="P126" s="616">
        <v>1</v>
      </c>
      <c r="Q126" s="595">
        <v>972.32</v>
      </c>
    </row>
    <row r="127" spans="1:17" ht="14.4" customHeight="1" x14ac:dyDescent="0.3">
      <c r="A127" s="590" t="s">
        <v>3206</v>
      </c>
      <c r="B127" s="591" t="s">
        <v>2873</v>
      </c>
      <c r="C127" s="591" t="s">
        <v>2597</v>
      </c>
      <c r="D127" s="591" t="s">
        <v>3230</v>
      </c>
      <c r="E127" s="591" t="s">
        <v>3229</v>
      </c>
      <c r="F127" s="594">
        <v>4</v>
      </c>
      <c r="G127" s="594">
        <v>6649.51</v>
      </c>
      <c r="H127" s="594">
        <v>1</v>
      </c>
      <c r="I127" s="594">
        <v>1662.3775000000001</v>
      </c>
      <c r="J127" s="594">
        <v>8</v>
      </c>
      <c r="K127" s="594">
        <v>13658.479999999998</v>
      </c>
      <c r="L127" s="594">
        <v>2.0540581185681348</v>
      </c>
      <c r="M127" s="594">
        <v>1707.3099999999997</v>
      </c>
      <c r="N127" s="594">
        <v>16</v>
      </c>
      <c r="O127" s="594">
        <v>27316.959999999999</v>
      </c>
      <c r="P127" s="616">
        <v>4.1081162371362696</v>
      </c>
      <c r="Q127" s="595">
        <v>1707.31</v>
      </c>
    </row>
    <row r="128" spans="1:17" ht="14.4" customHeight="1" x14ac:dyDescent="0.3">
      <c r="A128" s="590" t="s">
        <v>3206</v>
      </c>
      <c r="B128" s="591" t="s">
        <v>2873</v>
      </c>
      <c r="C128" s="591" t="s">
        <v>2597</v>
      </c>
      <c r="D128" s="591" t="s">
        <v>3231</v>
      </c>
      <c r="E128" s="591" t="s">
        <v>3229</v>
      </c>
      <c r="F128" s="594">
        <v>4</v>
      </c>
      <c r="G128" s="594">
        <v>8120.2</v>
      </c>
      <c r="H128" s="594">
        <v>1</v>
      </c>
      <c r="I128" s="594">
        <v>2030.05</v>
      </c>
      <c r="J128" s="594">
        <v>4</v>
      </c>
      <c r="K128" s="594">
        <v>8265.2000000000007</v>
      </c>
      <c r="L128" s="594">
        <v>1.017856703036871</v>
      </c>
      <c r="M128" s="594">
        <v>2066.3000000000002</v>
      </c>
      <c r="N128" s="594">
        <v>3</v>
      </c>
      <c r="O128" s="594">
        <v>6198.9</v>
      </c>
      <c r="P128" s="616">
        <v>0.76339252727765328</v>
      </c>
      <c r="Q128" s="595">
        <v>2066.2999999999997</v>
      </c>
    </row>
    <row r="129" spans="1:17" ht="14.4" customHeight="1" x14ac:dyDescent="0.3">
      <c r="A129" s="590" t="s">
        <v>3206</v>
      </c>
      <c r="B129" s="591" t="s">
        <v>2873</v>
      </c>
      <c r="C129" s="591" t="s">
        <v>2597</v>
      </c>
      <c r="D129" s="591" t="s">
        <v>3232</v>
      </c>
      <c r="E129" s="591" t="s">
        <v>3233</v>
      </c>
      <c r="F129" s="594">
        <v>4</v>
      </c>
      <c r="G129" s="594">
        <v>7524.99</v>
      </c>
      <c r="H129" s="594">
        <v>1</v>
      </c>
      <c r="I129" s="594">
        <v>1881.2474999999999</v>
      </c>
      <c r="J129" s="594"/>
      <c r="K129" s="594"/>
      <c r="L129" s="594"/>
      <c r="M129" s="594"/>
      <c r="N129" s="594"/>
      <c r="O129" s="594"/>
      <c r="P129" s="616"/>
      <c r="Q129" s="595"/>
    </row>
    <row r="130" spans="1:17" ht="14.4" customHeight="1" x14ac:dyDescent="0.3">
      <c r="A130" s="590" t="s">
        <v>3206</v>
      </c>
      <c r="B130" s="591" t="s">
        <v>2873</v>
      </c>
      <c r="C130" s="591" t="s">
        <v>2597</v>
      </c>
      <c r="D130" s="591" t="s">
        <v>3234</v>
      </c>
      <c r="E130" s="591" t="s">
        <v>3235</v>
      </c>
      <c r="F130" s="594">
        <v>6</v>
      </c>
      <c r="G130" s="594">
        <v>5986.26</v>
      </c>
      <c r="H130" s="594">
        <v>1</v>
      </c>
      <c r="I130" s="594">
        <v>997.71</v>
      </c>
      <c r="J130" s="594">
        <v>3</v>
      </c>
      <c r="K130" s="594">
        <v>3083.2799999999997</v>
      </c>
      <c r="L130" s="594">
        <v>0.51505948622345166</v>
      </c>
      <c r="M130" s="594">
        <v>1027.76</v>
      </c>
      <c r="N130" s="594">
        <v>13</v>
      </c>
      <c r="O130" s="594">
        <v>13360.880000000001</v>
      </c>
      <c r="P130" s="616">
        <v>2.2319244403016243</v>
      </c>
      <c r="Q130" s="595">
        <v>1027.76</v>
      </c>
    </row>
    <row r="131" spans="1:17" ht="14.4" customHeight="1" x14ac:dyDescent="0.3">
      <c r="A131" s="590" t="s">
        <v>3206</v>
      </c>
      <c r="B131" s="591" t="s">
        <v>2873</v>
      </c>
      <c r="C131" s="591" t="s">
        <v>2597</v>
      </c>
      <c r="D131" s="591" t="s">
        <v>3236</v>
      </c>
      <c r="E131" s="591" t="s">
        <v>3235</v>
      </c>
      <c r="F131" s="594">
        <v>3</v>
      </c>
      <c r="G131" s="594">
        <v>6350.4</v>
      </c>
      <c r="H131" s="594">
        <v>1</v>
      </c>
      <c r="I131" s="594">
        <v>2116.7999999999997</v>
      </c>
      <c r="J131" s="594">
        <v>5</v>
      </c>
      <c r="K131" s="594">
        <v>10709.25</v>
      </c>
      <c r="L131" s="594">
        <v>1.6863898337112624</v>
      </c>
      <c r="M131" s="594">
        <v>2141.85</v>
      </c>
      <c r="N131" s="594">
        <v>3</v>
      </c>
      <c r="O131" s="594">
        <v>6425.5499999999993</v>
      </c>
      <c r="P131" s="616">
        <v>1.0118339002267573</v>
      </c>
      <c r="Q131" s="595">
        <v>2141.85</v>
      </c>
    </row>
    <row r="132" spans="1:17" ht="14.4" customHeight="1" x14ac:dyDescent="0.3">
      <c r="A132" s="590" t="s">
        <v>3206</v>
      </c>
      <c r="B132" s="591" t="s">
        <v>2873</v>
      </c>
      <c r="C132" s="591" t="s">
        <v>2597</v>
      </c>
      <c r="D132" s="591" t="s">
        <v>3237</v>
      </c>
      <c r="E132" s="591" t="s">
        <v>3238</v>
      </c>
      <c r="F132" s="594">
        <v>1</v>
      </c>
      <c r="G132" s="594">
        <v>20587</v>
      </c>
      <c r="H132" s="594">
        <v>1</v>
      </c>
      <c r="I132" s="594">
        <v>20587</v>
      </c>
      <c r="J132" s="594"/>
      <c r="K132" s="594"/>
      <c r="L132" s="594"/>
      <c r="M132" s="594"/>
      <c r="N132" s="594"/>
      <c r="O132" s="594"/>
      <c r="P132" s="616"/>
      <c r="Q132" s="595"/>
    </row>
    <row r="133" spans="1:17" ht="14.4" customHeight="1" x14ac:dyDescent="0.3">
      <c r="A133" s="590" t="s">
        <v>3206</v>
      </c>
      <c r="B133" s="591" t="s">
        <v>2873</v>
      </c>
      <c r="C133" s="591" t="s">
        <v>2597</v>
      </c>
      <c r="D133" s="591" t="s">
        <v>3239</v>
      </c>
      <c r="E133" s="591" t="s">
        <v>3240</v>
      </c>
      <c r="F133" s="594"/>
      <c r="G133" s="594"/>
      <c r="H133" s="594"/>
      <c r="I133" s="594"/>
      <c r="J133" s="594">
        <v>1</v>
      </c>
      <c r="K133" s="594">
        <v>55397.2</v>
      </c>
      <c r="L133" s="594"/>
      <c r="M133" s="594">
        <v>55397.2</v>
      </c>
      <c r="N133" s="594"/>
      <c r="O133" s="594"/>
      <c r="P133" s="616"/>
      <c r="Q133" s="595"/>
    </row>
    <row r="134" spans="1:17" ht="14.4" customHeight="1" x14ac:dyDescent="0.3">
      <c r="A134" s="590" t="s">
        <v>3206</v>
      </c>
      <c r="B134" s="591" t="s">
        <v>2873</v>
      </c>
      <c r="C134" s="591" t="s">
        <v>2597</v>
      </c>
      <c r="D134" s="591" t="s">
        <v>3241</v>
      </c>
      <c r="E134" s="591" t="s">
        <v>3242</v>
      </c>
      <c r="F134" s="594">
        <v>1</v>
      </c>
      <c r="G134" s="594">
        <v>2583</v>
      </c>
      <c r="H134" s="594">
        <v>1</v>
      </c>
      <c r="I134" s="594">
        <v>2583</v>
      </c>
      <c r="J134" s="594"/>
      <c r="K134" s="594"/>
      <c r="L134" s="594"/>
      <c r="M134" s="594"/>
      <c r="N134" s="594"/>
      <c r="O134" s="594"/>
      <c r="P134" s="616"/>
      <c r="Q134" s="595"/>
    </row>
    <row r="135" spans="1:17" ht="14.4" customHeight="1" x14ac:dyDescent="0.3">
      <c r="A135" s="590" t="s">
        <v>3206</v>
      </c>
      <c r="B135" s="591" t="s">
        <v>2873</v>
      </c>
      <c r="C135" s="591" t="s">
        <v>2597</v>
      </c>
      <c r="D135" s="591" t="s">
        <v>3243</v>
      </c>
      <c r="E135" s="591" t="s">
        <v>3244</v>
      </c>
      <c r="F135" s="594">
        <v>1</v>
      </c>
      <c r="G135" s="594">
        <v>2898</v>
      </c>
      <c r="H135" s="594">
        <v>1</v>
      </c>
      <c r="I135" s="594">
        <v>2898</v>
      </c>
      <c r="J135" s="594">
        <v>1</v>
      </c>
      <c r="K135" s="594">
        <v>3003.38</v>
      </c>
      <c r="L135" s="594">
        <v>1.0363630089717046</v>
      </c>
      <c r="M135" s="594">
        <v>3003.38</v>
      </c>
      <c r="N135" s="594">
        <v>4</v>
      </c>
      <c r="O135" s="594">
        <v>12013.52</v>
      </c>
      <c r="P135" s="616">
        <v>4.1454520358868185</v>
      </c>
      <c r="Q135" s="595">
        <v>3003.38</v>
      </c>
    </row>
    <row r="136" spans="1:17" ht="14.4" customHeight="1" x14ac:dyDescent="0.3">
      <c r="A136" s="590" t="s">
        <v>3206</v>
      </c>
      <c r="B136" s="591" t="s">
        <v>2873</v>
      </c>
      <c r="C136" s="591" t="s">
        <v>2597</v>
      </c>
      <c r="D136" s="591" t="s">
        <v>3245</v>
      </c>
      <c r="E136" s="591" t="s">
        <v>3246</v>
      </c>
      <c r="F136" s="594"/>
      <c r="G136" s="594"/>
      <c r="H136" s="594"/>
      <c r="I136" s="594"/>
      <c r="J136" s="594"/>
      <c r="K136" s="594"/>
      <c r="L136" s="594"/>
      <c r="M136" s="594"/>
      <c r="N136" s="594">
        <v>1</v>
      </c>
      <c r="O136" s="594">
        <v>2236.5</v>
      </c>
      <c r="P136" s="616"/>
      <c r="Q136" s="595">
        <v>2236.5</v>
      </c>
    </row>
    <row r="137" spans="1:17" ht="14.4" customHeight="1" x14ac:dyDescent="0.3">
      <c r="A137" s="590" t="s">
        <v>3206</v>
      </c>
      <c r="B137" s="591" t="s">
        <v>2873</v>
      </c>
      <c r="C137" s="591" t="s">
        <v>2597</v>
      </c>
      <c r="D137" s="591" t="s">
        <v>3247</v>
      </c>
      <c r="E137" s="591" t="s">
        <v>3248</v>
      </c>
      <c r="F137" s="594">
        <v>1</v>
      </c>
      <c r="G137" s="594">
        <v>28526.95</v>
      </c>
      <c r="H137" s="594">
        <v>1</v>
      </c>
      <c r="I137" s="594">
        <v>28526.95</v>
      </c>
      <c r="J137" s="594"/>
      <c r="K137" s="594"/>
      <c r="L137" s="594"/>
      <c r="M137" s="594"/>
      <c r="N137" s="594"/>
      <c r="O137" s="594"/>
      <c r="P137" s="616"/>
      <c r="Q137" s="595"/>
    </row>
    <row r="138" spans="1:17" ht="14.4" customHeight="1" x14ac:dyDescent="0.3">
      <c r="A138" s="590" t="s">
        <v>3206</v>
      </c>
      <c r="B138" s="591" t="s">
        <v>2873</v>
      </c>
      <c r="C138" s="591" t="s">
        <v>2597</v>
      </c>
      <c r="D138" s="591" t="s">
        <v>3249</v>
      </c>
      <c r="E138" s="591" t="s">
        <v>3250</v>
      </c>
      <c r="F138" s="594">
        <v>1</v>
      </c>
      <c r="G138" s="594">
        <v>6890.78</v>
      </c>
      <c r="H138" s="594">
        <v>1</v>
      </c>
      <c r="I138" s="594">
        <v>6890.78</v>
      </c>
      <c r="J138" s="594">
        <v>8</v>
      </c>
      <c r="K138" s="594">
        <v>55126.239999999998</v>
      </c>
      <c r="L138" s="594">
        <v>8</v>
      </c>
      <c r="M138" s="594">
        <v>6890.78</v>
      </c>
      <c r="N138" s="594">
        <v>12</v>
      </c>
      <c r="O138" s="594">
        <v>82689.36</v>
      </c>
      <c r="P138" s="616">
        <v>12</v>
      </c>
      <c r="Q138" s="595">
        <v>6890.78</v>
      </c>
    </row>
    <row r="139" spans="1:17" ht="14.4" customHeight="1" x14ac:dyDescent="0.3">
      <c r="A139" s="590" t="s">
        <v>3206</v>
      </c>
      <c r="B139" s="591" t="s">
        <v>2873</v>
      </c>
      <c r="C139" s="591" t="s">
        <v>2597</v>
      </c>
      <c r="D139" s="591" t="s">
        <v>3251</v>
      </c>
      <c r="E139" s="591" t="s">
        <v>3252</v>
      </c>
      <c r="F139" s="594">
        <v>2</v>
      </c>
      <c r="G139" s="594">
        <v>8130.59</v>
      </c>
      <c r="H139" s="594">
        <v>1</v>
      </c>
      <c r="I139" s="594">
        <v>4065.2950000000001</v>
      </c>
      <c r="J139" s="594">
        <v>1</v>
      </c>
      <c r="K139" s="594">
        <v>4137.8900000000003</v>
      </c>
      <c r="L139" s="594">
        <v>0.50892862633585023</v>
      </c>
      <c r="M139" s="594">
        <v>4137.8900000000003</v>
      </c>
      <c r="N139" s="594">
        <v>4</v>
      </c>
      <c r="O139" s="594">
        <v>16551.560000000001</v>
      </c>
      <c r="P139" s="616">
        <v>2.0357145053434009</v>
      </c>
      <c r="Q139" s="595">
        <v>4137.8900000000003</v>
      </c>
    </row>
    <row r="140" spans="1:17" ht="14.4" customHeight="1" x14ac:dyDescent="0.3">
      <c r="A140" s="590" t="s">
        <v>3206</v>
      </c>
      <c r="B140" s="591" t="s">
        <v>2873</v>
      </c>
      <c r="C140" s="591" t="s">
        <v>2597</v>
      </c>
      <c r="D140" s="591" t="s">
        <v>3253</v>
      </c>
      <c r="E140" s="591" t="s">
        <v>3254</v>
      </c>
      <c r="F140" s="594"/>
      <c r="G140" s="594"/>
      <c r="H140" s="594"/>
      <c r="I140" s="594"/>
      <c r="J140" s="594"/>
      <c r="K140" s="594"/>
      <c r="L140" s="594"/>
      <c r="M140" s="594"/>
      <c r="N140" s="594">
        <v>1</v>
      </c>
      <c r="O140" s="594">
        <v>1123.73</v>
      </c>
      <c r="P140" s="616"/>
      <c r="Q140" s="595">
        <v>1123.73</v>
      </c>
    </row>
    <row r="141" spans="1:17" ht="14.4" customHeight="1" x14ac:dyDescent="0.3">
      <c r="A141" s="590" t="s">
        <v>3206</v>
      </c>
      <c r="B141" s="591" t="s">
        <v>2873</v>
      </c>
      <c r="C141" s="591" t="s">
        <v>2597</v>
      </c>
      <c r="D141" s="591" t="s">
        <v>3255</v>
      </c>
      <c r="E141" s="591" t="s">
        <v>3256</v>
      </c>
      <c r="F141" s="594">
        <v>1</v>
      </c>
      <c r="G141" s="594">
        <v>16474</v>
      </c>
      <c r="H141" s="594">
        <v>1</v>
      </c>
      <c r="I141" s="594">
        <v>16474</v>
      </c>
      <c r="J141" s="594"/>
      <c r="K141" s="594"/>
      <c r="L141" s="594"/>
      <c r="M141" s="594"/>
      <c r="N141" s="594">
        <v>2</v>
      </c>
      <c r="O141" s="594">
        <v>34146.1</v>
      </c>
      <c r="P141" s="616">
        <v>2.0727267208935292</v>
      </c>
      <c r="Q141" s="595">
        <v>17073.05</v>
      </c>
    </row>
    <row r="142" spans="1:17" ht="14.4" customHeight="1" x14ac:dyDescent="0.3">
      <c r="A142" s="590" t="s">
        <v>3206</v>
      </c>
      <c r="B142" s="591" t="s">
        <v>2873</v>
      </c>
      <c r="C142" s="591" t="s">
        <v>2597</v>
      </c>
      <c r="D142" s="591" t="s">
        <v>3257</v>
      </c>
      <c r="E142" s="591" t="s">
        <v>3258</v>
      </c>
      <c r="F142" s="594">
        <v>1</v>
      </c>
      <c r="G142" s="594">
        <v>11561.67</v>
      </c>
      <c r="H142" s="594">
        <v>1</v>
      </c>
      <c r="I142" s="594">
        <v>11561.67</v>
      </c>
      <c r="J142" s="594"/>
      <c r="K142" s="594"/>
      <c r="L142" s="594"/>
      <c r="M142" s="594"/>
      <c r="N142" s="594"/>
      <c r="O142" s="594"/>
      <c r="P142" s="616"/>
      <c r="Q142" s="595"/>
    </row>
    <row r="143" spans="1:17" ht="14.4" customHeight="1" x14ac:dyDescent="0.3">
      <c r="A143" s="590" t="s">
        <v>3206</v>
      </c>
      <c r="B143" s="591" t="s">
        <v>2873</v>
      </c>
      <c r="C143" s="591" t="s">
        <v>2597</v>
      </c>
      <c r="D143" s="591" t="s">
        <v>3259</v>
      </c>
      <c r="E143" s="591" t="s">
        <v>3260</v>
      </c>
      <c r="F143" s="594">
        <v>4</v>
      </c>
      <c r="G143" s="594">
        <v>4011.2</v>
      </c>
      <c r="H143" s="594">
        <v>1</v>
      </c>
      <c r="I143" s="594">
        <v>1002.8</v>
      </c>
      <c r="J143" s="594">
        <v>2</v>
      </c>
      <c r="K143" s="594">
        <v>2005.6</v>
      </c>
      <c r="L143" s="594">
        <v>0.5</v>
      </c>
      <c r="M143" s="594">
        <v>1002.8</v>
      </c>
      <c r="N143" s="594">
        <v>2</v>
      </c>
      <c r="O143" s="594">
        <v>2005.6</v>
      </c>
      <c r="P143" s="616">
        <v>0.5</v>
      </c>
      <c r="Q143" s="595">
        <v>1002.8</v>
      </c>
    </row>
    <row r="144" spans="1:17" ht="14.4" customHeight="1" x14ac:dyDescent="0.3">
      <c r="A144" s="590" t="s">
        <v>3206</v>
      </c>
      <c r="B144" s="591" t="s">
        <v>2873</v>
      </c>
      <c r="C144" s="591" t="s">
        <v>2597</v>
      </c>
      <c r="D144" s="591" t="s">
        <v>3261</v>
      </c>
      <c r="E144" s="591" t="s">
        <v>3262</v>
      </c>
      <c r="F144" s="594"/>
      <c r="G144" s="594"/>
      <c r="H144" s="594"/>
      <c r="I144" s="594"/>
      <c r="J144" s="594">
        <v>4</v>
      </c>
      <c r="K144" s="594">
        <v>30600</v>
      </c>
      <c r="L144" s="594"/>
      <c r="M144" s="594">
        <v>7650</v>
      </c>
      <c r="N144" s="594">
        <v>6</v>
      </c>
      <c r="O144" s="594">
        <v>45900</v>
      </c>
      <c r="P144" s="616"/>
      <c r="Q144" s="595">
        <v>7650</v>
      </c>
    </row>
    <row r="145" spans="1:17" ht="14.4" customHeight="1" x14ac:dyDescent="0.3">
      <c r="A145" s="590" t="s">
        <v>3206</v>
      </c>
      <c r="B145" s="591" t="s">
        <v>2873</v>
      </c>
      <c r="C145" s="591" t="s">
        <v>2597</v>
      </c>
      <c r="D145" s="591" t="s">
        <v>3263</v>
      </c>
      <c r="E145" s="591" t="s">
        <v>3264</v>
      </c>
      <c r="F145" s="594">
        <v>1</v>
      </c>
      <c r="G145" s="594">
        <v>9370.39</v>
      </c>
      <c r="H145" s="594">
        <v>1</v>
      </c>
      <c r="I145" s="594">
        <v>9370.39</v>
      </c>
      <c r="J145" s="594"/>
      <c r="K145" s="594"/>
      <c r="L145" s="594"/>
      <c r="M145" s="594"/>
      <c r="N145" s="594"/>
      <c r="O145" s="594"/>
      <c r="P145" s="616"/>
      <c r="Q145" s="595"/>
    </row>
    <row r="146" spans="1:17" ht="14.4" customHeight="1" x14ac:dyDescent="0.3">
      <c r="A146" s="590" t="s">
        <v>3206</v>
      </c>
      <c r="B146" s="591" t="s">
        <v>2873</v>
      </c>
      <c r="C146" s="591" t="s">
        <v>2597</v>
      </c>
      <c r="D146" s="591" t="s">
        <v>3265</v>
      </c>
      <c r="E146" s="591" t="s">
        <v>3266</v>
      </c>
      <c r="F146" s="594"/>
      <c r="G146" s="594"/>
      <c r="H146" s="594"/>
      <c r="I146" s="594"/>
      <c r="J146" s="594"/>
      <c r="K146" s="594"/>
      <c r="L146" s="594"/>
      <c r="M146" s="594"/>
      <c r="N146" s="594">
        <v>2</v>
      </c>
      <c r="O146" s="594">
        <v>26569.040000000001</v>
      </c>
      <c r="P146" s="616"/>
      <c r="Q146" s="595">
        <v>13284.52</v>
      </c>
    </row>
    <row r="147" spans="1:17" ht="14.4" customHeight="1" x14ac:dyDescent="0.3">
      <c r="A147" s="590" t="s">
        <v>3206</v>
      </c>
      <c r="B147" s="591" t="s">
        <v>2873</v>
      </c>
      <c r="C147" s="591" t="s">
        <v>2597</v>
      </c>
      <c r="D147" s="591" t="s">
        <v>3267</v>
      </c>
      <c r="E147" s="591" t="s">
        <v>3268</v>
      </c>
      <c r="F147" s="594">
        <v>1</v>
      </c>
      <c r="G147" s="594">
        <v>2094.8000000000002</v>
      </c>
      <c r="H147" s="594">
        <v>1</v>
      </c>
      <c r="I147" s="594">
        <v>2094.8000000000002</v>
      </c>
      <c r="J147" s="594"/>
      <c r="K147" s="594"/>
      <c r="L147" s="594"/>
      <c r="M147" s="594"/>
      <c r="N147" s="594">
        <v>4</v>
      </c>
      <c r="O147" s="594">
        <v>8683.8799999999992</v>
      </c>
      <c r="P147" s="616">
        <v>4.1454458659537892</v>
      </c>
      <c r="Q147" s="595">
        <v>2170.9699999999998</v>
      </c>
    </row>
    <row r="148" spans="1:17" ht="14.4" customHeight="1" x14ac:dyDescent="0.3">
      <c r="A148" s="590" t="s">
        <v>3206</v>
      </c>
      <c r="B148" s="591" t="s">
        <v>2873</v>
      </c>
      <c r="C148" s="591" t="s">
        <v>2597</v>
      </c>
      <c r="D148" s="591" t="s">
        <v>3269</v>
      </c>
      <c r="E148" s="591" t="s">
        <v>3270</v>
      </c>
      <c r="F148" s="594"/>
      <c r="G148" s="594"/>
      <c r="H148" s="594"/>
      <c r="I148" s="594"/>
      <c r="J148" s="594">
        <v>1</v>
      </c>
      <c r="K148" s="594">
        <v>797</v>
      </c>
      <c r="L148" s="594"/>
      <c r="M148" s="594">
        <v>797</v>
      </c>
      <c r="N148" s="594">
        <v>2</v>
      </c>
      <c r="O148" s="594">
        <v>1594</v>
      </c>
      <c r="P148" s="616"/>
      <c r="Q148" s="595">
        <v>797</v>
      </c>
    </row>
    <row r="149" spans="1:17" ht="14.4" customHeight="1" x14ac:dyDescent="0.3">
      <c r="A149" s="590" t="s">
        <v>3206</v>
      </c>
      <c r="B149" s="591" t="s">
        <v>2873</v>
      </c>
      <c r="C149" s="591" t="s">
        <v>2597</v>
      </c>
      <c r="D149" s="591" t="s">
        <v>3271</v>
      </c>
      <c r="E149" s="591" t="s">
        <v>3272</v>
      </c>
      <c r="F149" s="594"/>
      <c r="G149" s="594"/>
      <c r="H149" s="594"/>
      <c r="I149" s="594"/>
      <c r="J149" s="594"/>
      <c r="K149" s="594"/>
      <c r="L149" s="594"/>
      <c r="M149" s="594"/>
      <c r="N149" s="594">
        <v>1</v>
      </c>
      <c r="O149" s="594">
        <v>10072.94</v>
      </c>
      <c r="P149" s="616"/>
      <c r="Q149" s="595">
        <v>10072.94</v>
      </c>
    </row>
    <row r="150" spans="1:17" ht="14.4" customHeight="1" x14ac:dyDescent="0.3">
      <c r="A150" s="590" t="s">
        <v>3206</v>
      </c>
      <c r="B150" s="591" t="s">
        <v>2873</v>
      </c>
      <c r="C150" s="591" t="s">
        <v>2597</v>
      </c>
      <c r="D150" s="591" t="s">
        <v>3273</v>
      </c>
      <c r="E150" s="591" t="s">
        <v>3274</v>
      </c>
      <c r="F150" s="594"/>
      <c r="G150" s="594"/>
      <c r="H150" s="594"/>
      <c r="I150" s="594"/>
      <c r="J150" s="594"/>
      <c r="K150" s="594"/>
      <c r="L150" s="594"/>
      <c r="M150" s="594"/>
      <c r="N150" s="594">
        <v>2</v>
      </c>
      <c r="O150" s="594">
        <v>5948.72</v>
      </c>
      <c r="P150" s="616"/>
      <c r="Q150" s="595">
        <v>2974.36</v>
      </c>
    </row>
    <row r="151" spans="1:17" ht="14.4" customHeight="1" x14ac:dyDescent="0.3">
      <c r="A151" s="590" t="s">
        <v>3206</v>
      </c>
      <c r="B151" s="591" t="s">
        <v>2873</v>
      </c>
      <c r="C151" s="591" t="s">
        <v>2597</v>
      </c>
      <c r="D151" s="591" t="s">
        <v>3275</v>
      </c>
      <c r="E151" s="591" t="s">
        <v>3276</v>
      </c>
      <c r="F151" s="594">
        <v>2</v>
      </c>
      <c r="G151" s="594">
        <v>10518.46</v>
      </c>
      <c r="H151" s="594">
        <v>1</v>
      </c>
      <c r="I151" s="594">
        <v>5259.23</v>
      </c>
      <c r="J151" s="594">
        <v>1</v>
      </c>
      <c r="K151" s="594">
        <v>5259.23</v>
      </c>
      <c r="L151" s="594">
        <v>0.5</v>
      </c>
      <c r="M151" s="594">
        <v>5259.23</v>
      </c>
      <c r="N151" s="594">
        <v>2</v>
      </c>
      <c r="O151" s="594">
        <v>10518.46</v>
      </c>
      <c r="P151" s="616">
        <v>1</v>
      </c>
      <c r="Q151" s="595">
        <v>5259.23</v>
      </c>
    </row>
    <row r="152" spans="1:17" ht="14.4" customHeight="1" x14ac:dyDescent="0.3">
      <c r="A152" s="590" t="s">
        <v>3206</v>
      </c>
      <c r="B152" s="591" t="s">
        <v>2873</v>
      </c>
      <c r="C152" s="591" t="s">
        <v>2597</v>
      </c>
      <c r="D152" s="591" t="s">
        <v>3277</v>
      </c>
      <c r="E152" s="591" t="s">
        <v>3278</v>
      </c>
      <c r="F152" s="594">
        <v>1</v>
      </c>
      <c r="G152" s="594">
        <v>584.4</v>
      </c>
      <c r="H152" s="594">
        <v>1</v>
      </c>
      <c r="I152" s="594">
        <v>584.4</v>
      </c>
      <c r="J152" s="594">
        <v>1</v>
      </c>
      <c r="K152" s="594">
        <v>605.65</v>
      </c>
      <c r="L152" s="594">
        <v>1.0363620807665983</v>
      </c>
      <c r="M152" s="594">
        <v>605.65</v>
      </c>
      <c r="N152" s="594">
        <v>1</v>
      </c>
      <c r="O152" s="594">
        <v>605.65</v>
      </c>
      <c r="P152" s="616">
        <v>1.0363620807665983</v>
      </c>
      <c r="Q152" s="595">
        <v>605.65</v>
      </c>
    </row>
    <row r="153" spans="1:17" ht="14.4" customHeight="1" x14ac:dyDescent="0.3">
      <c r="A153" s="590" t="s">
        <v>3206</v>
      </c>
      <c r="B153" s="591" t="s">
        <v>2873</v>
      </c>
      <c r="C153" s="591" t="s">
        <v>2597</v>
      </c>
      <c r="D153" s="591" t="s">
        <v>3279</v>
      </c>
      <c r="E153" s="591" t="s">
        <v>3280</v>
      </c>
      <c r="F153" s="594"/>
      <c r="G153" s="594"/>
      <c r="H153" s="594"/>
      <c r="I153" s="594"/>
      <c r="J153" s="594"/>
      <c r="K153" s="594"/>
      <c r="L153" s="594"/>
      <c r="M153" s="594"/>
      <c r="N153" s="594">
        <v>2</v>
      </c>
      <c r="O153" s="594">
        <v>34763.980000000003</v>
      </c>
      <c r="P153" s="616"/>
      <c r="Q153" s="595">
        <v>17381.990000000002</v>
      </c>
    </row>
    <row r="154" spans="1:17" ht="14.4" customHeight="1" x14ac:dyDescent="0.3">
      <c r="A154" s="590" t="s">
        <v>3206</v>
      </c>
      <c r="B154" s="591" t="s">
        <v>2873</v>
      </c>
      <c r="C154" s="591" t="s">
        <v>2597</v>
      </c>
      <c r="D154" s="591" t="s">
        <v>3281</v>
      </c>
      <c r="E154" s="591" t="s">
        <v>3282</v>
      </c>
      <c r="F154" s="594">
        <v>2</v>
      </c>
      <c r="G154" s="594">
        <v>1633.16</v>
      </c>
      <c r="H154" s="594">
        <v>1</v>
      </c>
      <c r="I154" s="594">
        <v>816.58</v>
      </c>
      <c r="J154" s="594">
        <v>1</v>
      </c>
      <c r="K154" s="594">
        <v>831.16</v>
      </c>
      <c r="L154" s="594">
        <v>0.50892747801807536</v>
      </c>
      <c r="M154" s="594">
        <v>831.16</v>
      </c>
      <c r="N154" s="594">
        <v>2</v>
      </c>
      <c r="O154" s="594">
        <v>1662.32</v>
      </c>
      <c r="P154" s="616">
        <v>1.0178549560361507</v>
      </c>
      <c r="Q154" s="595">
        <v>831.16</v>
      </c>
    </row>
    <row r="155" spans="1:17" ht="14.4" customHeight="1" x14ac:dyDescent="0.3">
      <c r="A155" s="590" t="s">
        <v>3206</v>
      </c>
      <c r="B155" s="591" t="s">
        <v>2873</v>
      </c>
      <c r="C155" s="591" t="s">
        <v>2597</v>
      </c>
      <c r="D155" s="591" t="s">
        <v>3283</v>
      </c>
      <c r="E155" s="591" t="s">
        <v>3282</v>
      </c>
      <c r="F155" s="594">
        <v>3</v>
      </c>
      <c r="G155" s="594">
        <v>2664.18</v>
      </c>
      <c r="H155" s="594">
        <v>1</v>
      </c>
      <c r="I155" s="594">
        <v>888.06</v>
      </c>
      <c r="J155" s="594">
        <v>2</v>
      </c>
      <c r="K155" s="594">
        <v>1776.12</v>
      </c>
      <c r="L155" s="594">
        <v>0.66666666666666663</v>
      </c>
      <c r="M155" s="594">
        <v>888.06</v>
      </c>
      <c r="N155" s="594">
        <v>6</v>
      </c>
      <c r="O155" s="594">
        <v>5328.3600000000006</v>
      </c>
      <c r="P155" s="616">
        <v>2.0000000000000004</v>
      </c>
      <c r="Q155" s="595">
        <v>888.06000000000006</v>
      </c>
    </row>
    <row r="156" spans="1:17" ht="14.4" customHeight="1" x14ac:dyDescent="0.3">
      <c r="A156" s="590" t="s">
        <v>3206</v>
      </c>
      <c r="B156" s="591" t="s">
        <v>2873</v>
      </c>
      <c r="C156" s="591" t="s">
        <v>2597</v>
      </c>
      <c r="D156" s="591" t="s">
        <v>3284</v>
      </c>
      <c r="E156" s="591" t="s">
        <v>3285</v>
      </c>
      <c r="F156" s="594"/>
      <c r="G156" s="594"/>
      <c r="H156" s="594"/>
      <c r="I156" s="594"/>
      <c r="J156" s="594"/>
      <c r="K156" s="594"/>
      <c r="L156" s="594"/>
      <c r="M156" s="594"/>
      <c r="N156" s="594">
        <v>3</v>
      </c>
      <c r="O156" s="594">
        <v>2664.18</v>
      </c>
      <c r="P156" s="616"/>
      <c r="Q156" s="595">
        <v>888.06</v>
      </c>
    </row>
    <row r="157" spans="1:17" ht="14.4" customHeight="1" x14ac:dyDescent="0.3">
      <c r="A157" s="590" t="s">
        <v>3206</v>
      </c>
      <c r="B157" s="591" t="s">
        <v>2873</v>
      </c>
      <c r="C157" s="591" t="s">
        <v>2597</v>
      </c>
      <c r="D157" s="591" t="s">
        <v>3286</v>
      </c>
      <c r="E157" s="591" t="s">
        <v>3287</v>
      </c>
      <c r="F157" s="594"/>
      <c r="G157" s="594"/>
      <c r="H157" s="594"/>
      <c r="I157" s="594"/>
      <c r="J157" s="594"/>
      <c r="K157" s="594"/>
      <c r="L157" s="594"/>
      <c r="M157" s="594"/>
      <c r="N157" s="594">
        <v>2</v>
      </c>
      <c r="O157" s="594">
        <v>1662.32</v>
      </c>
      <c r="P157" s="616"/>
      <c r="Q157" s="595">
        <v>831.16</v>
      </c>
    </row>
    <row r="158" spans="1:17" ht="14.4" customHeight="1" x14ac:dyDescent="0.3">
      <c r="A158" s="590" t="s">
        <v>3206</v>
      </c>
      <c r="B158" s="591" t="s">
        <v>2873</v>
      </c>
      <c r="C158" s="591" t="s">
        <v>2597</v>
      </c>
      <c r="D158" s="591" t="s">
        <v>3288</v>
      </c>
      <c r="E158" s="591" t="s">
        <v>3289</v>
      </c>
      <c r="F158" s="594">
        <v>18</v>
      </c>
      <c r="G158" s="594">
        <v>70178.399999999994</v>
      </c>
      <c r="H158" s="594">
        <v>1</v>
      </c>
      <c r="I158" s="594">
        <v>3898.7999999999997</v>
      </c>
      <c r="J158" s="594">
        <v>2</v>
      </c>
      <c r="K158" s="594">
        <v>7797.6</v>
      </c>
      <c r="L158" s="594">
        <v>0.11111111111111112</v>
      </c>
      <c r="M158" s="594">
        <v>3898.8</v>
      </c>
      <c r="N158" s="594">
        <v>6</v>
      </c>
      <c r="O158" s="594">
        <v>23392.799999999999</v>
      </c>
      <c r="P158" s="616">
        <v>0.33333333333333337</v>
      </c>
      <c r="Q158" s="595">
        <v>3898.7999999999997</v>
      </c>
    </row>
    <row r="159" spans="1:17" ht="14.4" customHeight="1" x14ac:dyDescent="0.3">
      <c r="A159" s="590" t="s">
        <v>3206</v>
      </c>
      <c r="B159" s="591" t="s">
        <v>2873</v>
      </c>
      <c r="C159" s="591" t="s">
        <v>2597</v>
      </c>
      <c r="D159" s="591" t="s">
        <v>3290</v>
      </c>
      <c r="E159" s="591" t="s">
        <v>3291</v>
      </c>
      <c r="F159" s="594">
        <v>3</v>
      </c>
      <c r="G159" s="594">
        <v>4263.6000000000004</v>
      </c>
      <c r="H159" s="594">
        <v>1</v>
      </c>
      <c r="I159" s="594">
        <v>1421.2</v>
      </c>
      <c r="J159" s="594">
        <v>1</v>
      </c>
      <c r="K159" s="594">
        <v>1472.88</v>
      </c>
      <c r="L159" s="594">
        <v>0.34545454545454546</v>
      </c>
      <c r="M159" s="594">
        <v>1472.88</v>
      </c>
      <c r="N159" s="594">
        <v>4</v>
      </c>
      <c r="O159" s="594">
        <v>5891.52</v>
      </c>
      <c r="P159" s="616">
        <v>1.3818181818181818</v>
      </c>
      <c r="Q159" s="595">
        <v>1472.88</v>
      </c>
    </row>
    <row r="160" spans="1:17" ht="14.4" customHeight="1" x14ac:dyDescent="0.3">
      <c r="A160" s="590" t="s">
        <v>3206</v>
      </c>
      <c r="B160" s="591" t="s">
        <v>2873</v>
      </c>
      <c r="C160" s="591" t="s">
        <v>2597</v>
      </c>
      <c r="D160" s="591" t="s">
        <v>3292</v>
      </c>
      <c r="E160" s="591" t="s">
        <v>3293</v>
      </c>
      <c r="F160" s="594">
        <v>3</v>
      </c>
      <c r="G160" s="594">
        <v>215400</v>
      </c>
      <c r="H160" s="594">
        <v>1</v>
      </c>
      <c r="I160" s="594">
        <v>71800</v>
      </c>
      <c r="J160" s="594"/>
      <c r="K160" s="594"/>
      <c r="L160" s="594"/>
      <c r="M160" s="594"/>
      <c r="N160" s="594"/>
      <c r="O160" s="594"/>
      <c r="P160" s="616"/>
      <c r="Q160" s="595"/>
    </row>
    <row r="161" spans="1:17" ht="14.4" customHeight="1" x14ac:dyDescent="0.3">
      <c r="A161" s="590" t="s">
        <v>3206</v>
      </c>
      <c r="B161" s="591" t="s">
        <v>2873</v>
      </c>
      <c r="C161" s="591" t="s">
        <v>2597</v>
      </c>
      <c r="D161" s="591" t="s">
        <v>3294</v>
      </c>
      <c r="E161" s="591" t="s">
        <v>3295</v>
      </c>
      <c r="F161" s="594"/>
      <c r="G161" s="594"/>
      <c r="H161" s="594"/>
      <c r="I161" s="594"/>
      <c r="J161" s="594"/>
      <c r="K161" s="594"/>
      <c r="L161" s="594"/>
      <c r="M161" s="594"/>
      <c r="N161" s="594">
        <v>11</v>
      </c>
      <c r="O161" s="594">
        <v>40090.379999999997</v>
      </c>
      <c r="P161" s="616"/>
      <c r="Q161" s="595">
        <v>3644.58</v>
      </c>
    </row>
    <row r="162" spans="1:17" ht="14.4" customHeight="1" x14ac:dyDescent="0.3">
      <c r="A162" s="590" t="s">
        <v>3206</v>
      </c>
      <c r="B162" s="591" t="s">
        <v>2873</v>
      </c>
      <c r="C162" s="591" t="s">
        <v>2597</v>
      </c>
      <c r="D162" s="591" t="s">
        <v>3296</v>
      </c>
      <c r="E162" s="591" t="s">
        <v>3297</v>
      </c>
      <c r="F162" s="594">
        <v>1</v>
      </c>
      <c r="G162" s="594">
        <v>9719.6</v>
      </c>
      <c r="H162" s="594">
        <v>1</v>
      </c>
      <c r="I162" s="594">
        <v>9719.6</v>
      </c>
      <c r="J162" s="594"/>
      <c r="K162" s="594"/>
      <c r="L162" s="594"/>
      <c r="M162" s="594"/>
      <c r="N162" s="594"/>
      <c r="O162" s="594"/>
      <c r="P162" s="616"/>
      <c r="Q162" s="595"/>
    </row>
    <row r="163" spans="1:17" ht="14.4" customHeight="1" x14ac:dyDescent="0.3">
      <c r="A163" s="590" t="s">
        <v>3206</v>
      </c>
      <c r="B163" s="591" t="s">
        <v>2873</v>
      </c>
      <c r="C163" s="591" t="s">
        <v>2597</v>
      </c>
      <c r="D163" s="591" t="s">
        <v>3298</v>
      </c>
      <c r="E163" s="591" t="s">
        <v>3299</v>
      </c>
      <c r="F163" s="594">
        <v>4</v>
      </c>
      <c r="G163" s="594">
        <v>5223.28</v>
      </c>
      <c r="H163" s="594">
        <v>1</v>
      </c>
      <c r="I163" s="594">
        <v>1305.82</v>
      </c>
      <c r="J163" s="594">
        <v>8</v>
      </c>
      <c r="K163" s="594">
        <v>10446.56</v>
      </c>
      <c r="L163" s="594">
        <v>2</v>
      </c>
      <c r="M163" s="594">
        <v>1305.82</v>
      </c>
      <c r="N163" s="594">
        <v>13</v>
      </c>
      <c r="O163" s="594">
        <v>16975.66</v>
      </c>
      <c r="P163" s="616">
        <v>3.25</v>
      </c>
      <c r="Q163" s="595">
        <v>1305.82</v>
      </c>
    </row>
    <row r="164" spans="1:17" ht="14.4" customHeight="1" x14ac:dyDescent="0.3">
      <c r="A164" s="590" t="s">
        <v>3206</v>
      </c>
      <c r="B164" s="591" t="s">
        <v>2873</v>
      </c>
      <c r="C164" s="591" t="s">
        <v>2597</v>
      </c>
      <c r="D164" s="591" t="s">
        <v>3300</v>
      </c>
      <c r="E164" s="591" t="s">
        <v>3301</v>
      </c>
      <c r="F164" s="594"/>
      <c r="G164" s="594"/>
      <c r="H164" s="594"/>
      <c r="I164" s="594"/>
      <c r="J164" s="594"/>
      <c r="K164" s="594"/>
      <c r="L164" s="594"/>
      <c r="M164" s="594"/>
      <c r="N164" s="594">
        <v>2</v>
      </c>
      <c r="O164" s="594">
        <v>160000</v>
      </c>
      <c r="P164" s="616"/>
      <c r="Q164" s="595">
        <v>80000</v>
      </c>
    </row>
    <row r="165" spans="1:17" ht="14.4" customHeight="1" x14ac:dyDescent="0.3">
      <c r="A165" s="590" t="s">
        <v>3206</v>
      </c>
      <c r="B165" s="591" t="s">
        <v>2873</v>
      </c>
      <c r="C165" s="591" t="s">
        <v>2597</v>
      </c>
      <c r="D165" s="591" t="s">
        <v>3302</v>
      </c>
      <c r="E165" s="591" t="s">
        <v>3303</v>
      </c>
      <c r="F165" s="594">
        <v>4</v>
      </c>
      <c r="G165" s="594">
        <v>1436.4</v>
      </c>
      <c r="H165" s="594">
        <v>1</v>
      </c>
      <c r="I165" s="594">
        <v>359.1</v>
      </c>
      <c r="J165" s="594">
        <v>5</v>
      </c>
      <c r="K165" s="594">
        <v>1795.5000000000002</v>
      </c>
      <c r="L165" s="594">
        <v>1.25</v>
      </c>
      <c r="M165" s="594">
        <v>359.1</v>
      </c>
      <c r="N165" s="594">
        <v>7</v>
      </c>
      <c r="O165" s="594">
        <v>2513.6999999999998</v>
      </c>
      <c r="P165" s="616">
        <v>1.7499999999999998</v>
      </c>
      <c r="Q165" s="595">
        <v>359.09999999999997</v>
      </c>
    </row>
    <row r="166" spans="1:17" ht="14.4" customHeight="1" x14ac:dyDescent="0.3">
      <c r="A166" s="590" t="s">
        <v>3206</v>
      </c>
      <c r="B166" s="591" t="s">
        <v>2873</v>
      </c>
      <c r="C166" s="591" t="s">
        <v>2597</v>
      </c>
      <c r="D166" s="591" t="s">
        <v>3304</v>
      </c>
      <c r="E166" s="591" t="s">
        <v>3305</v>
      </c>
      <c r="F166" s="594">
        <v>1</v>
      </c>
      <c r="G166" s="594">
        <v>13078</v>
      </c>
      <c r="H166" s="594">
        <v>1</v>
      </c>
      <c r="I166" s="594">
        <v>13078</v>
      </c>
      <c r="J166" s="594"/>
      <c r="K166" s="594"/>
      <c r="L166" s="594"/>
      <c r="M166" s="594"/>
      <c r="N166" s="594"/>
      <c r="O166" s="594"/>
      <c r="P166" s="616"/>
      <c r="Q166" s="595"/>
    </row>
    <row r="167" spans="1:17" ht="14.4" customHeight="1" x14ac:dyDescent="0.3">
      <c r="A167" s="590" t="s">
        <v>3206</v>
      </c>
      <c r="B167" s="591" t="s">
        <v>2873</v>
      </c>
      <c r="C167" s="591" t="s">
        <v>2597</v>
      </c>
      <c r="D167" s="591" t="s">
        <v>3306</v>
      </c>
      <c r="E167" s="591" t="s">
        <v>3307</v>
      </c>
      <c r="F167" s="594">
        <v>1</v>
      </c>
      <c r="G167" s="594">
        <v>34960</v>
      </c>
      <c r="H167" s="594">
        <v>1</v>
      </c>
      <c r="I167" s="594">
        <v>34960</v>
      </c>
      <c r="J167" s="594"/>
      <c r="K167" s="594"/>
      <c r="L167" s="594"/>
      <c r="M167" s="594"/>
      <c r="N167" s="594"/>
      <c r="O167" s="594"/>
      <c r="P167" s="616"/>
      <c r="Q167" s="595"/>
    </row>
    <row r="168" spans="1:17" ht="14.4" customHeight="1" x14ac:dyDescent="0.3">
      <c r="A168" s="590" t="s">
        <v>3206</v>
      </c>
      <c r="B168" s="591" t="s">
        <v>2873</v>
      </c>
      <c r="C168" s="591" t="s">
        <v>2597</v>
      </c>
      <c r="D168" s="591" t="s">
        <v>3308</v>
      </c>
      <c r="E168" s="591" t="s">
        <v>3309</v>
      </c>
      <c r="F168" s="594">
        <v>2</v>
      </c>
      <c r="G168" s="594">
        <v>33663.379999999997</v>
      </c>
      <c r="H168" s="594">
        <v>1</v>
      </c>
      <c r="I168" s="594">
        <v>16831.689999999999</v>
      </c>
      <c r="J168" s="594">
        <v>1</v>
      </c>
      <c r="K168" s="594">
        <v>16831.689999999999</v>
      </c>
      <c r="L168" s="594">
        <v>0.5</v>
      </c>
      <c r="M168" s="594">
        <v>16831.689999999999</v>
      </c>
      <c r="N168" s="594">
        <v>1</v>
      </c>
      <c r="O168" s="594">
        <v>16831.689999999999</v>
      </c>
      <c r="P168" s="616">
        <v>0.5</v>
      </c>
      <c r="Q168" s="595">
        <v>16831.689999999999</v>
      </c>
    </row>
    <row r="169" spans="1:17" ht="14.4" customHeight="1" x14ac:dyDescent="0.3">
      <c r="A169" s="590" t="s">
        <v>3206</v>
      </c>
      <c r="B169" s="591" t="s">
        <v>2873</v>
      </c>
      <c r="C169" s="591" t="s">
        <v>2597</v>
      </c>
      <c r="D169" s="591" t="s">
        <v>3310</v>
      </c>
      <c r="E169" s="591" t="s">
        <v>3311</v>
      </c>
      <c r="F169" s="594">
        <v>1</v>
      </c>
      <c r="G169" s="594">
        <v>10645.01</v>
      </c>
      <c r="H169" s="594">
        <v>1</v>
      </c>
      <c r="I169" s="594">
        <v>10645.01</v>
      </c>
      <c r="J169" s="594"/>
      <c r="K169" s="594"/>
      <c r="L169" s="594"/>
      <c r="M169" s="594"/>
      <c r="N169" s="594"/>
      <c r="O169" s="594"/>
      <c r="P169" s="616"/>
      <c r="Q169" s="595"/>
    </row>
    <row r="170" spans="1:17" ht="14.4" customHeight="1" x14ac:dyDescent="0.3">
      <c r="A170" s="590" t="s">
        <v>3206</v>
      </c>
      <c r="B170" s="591" t="s">
        <v>2873</v>
      </c>
      <c r="C170" s="591" t="s">
        <v>2597</v>
      </c>
      <c r="D170" s="591" t="s">
        <v>3312</v>
      </c>
      <c r="E170" s="591" t="s">
        <v>3313</v>
      </c>
      <c r="F170" s="594"/>
      <c r="G170" s="594"/>
      <c r="H170" s="594"/>
      <c r="I170" s="594"/>
      <c r="J170" s="594"/>
      <c r="K170" s="594"/>
      <c r="L170" s="594"/>
      <c r="M170" s="594"/>
      <c r="N170" s="594">
        <v>2</v>
      </c>
      <c r="O170" s="594">
        <v>64358.18</v>
      </c>
      <c r="P170" s="616"/>
      <c r="Q170" s="595">
        <v>32179.09</v>
      </c>
    </row>
    <row r="171" spans="1:17" ht="14.4" customHeight="1" x14ac:dyDescent="0.3">
      <c r="A171" s="590" t="s">
        <v>3206</v>
      </c>
      <c r="B171" s="591" t="s">
        <v>2873</v>
      </c>
      <c r="C171" s="591" t="s">
        <v>2597</v>
      </c>
      <c r="D171" s="591" t="s">
        <v>3314</v>
      </c>
      <c r="E171" s="591" t="s">
        <v>3315</v>
      </c>
      <c r="F171" s="594">
        <v>2</v>
      </c>
      <c r="G171" s="594">
        <v>13174.26</v>
      </c>
      <c r="H171" s="594">
        <v>1</v>
      </c>
      <c r="I171" s="594">
        <v>6587.13</v>
      </c>
      <c r="J171" s="594"/>
      <c r="K171" s="594"/>
      <c r="L171" s="594"/>
      <c r="M171" s="594"/>
      <c r="N171" s="594">
        <v>4</v>
      </c>
      <c r="O171" s="594">
        <v>26348.52</v>
      </c>
      <c r="P171" s="616">
        <v>2</v>
      </c>
      <c r="Q171" s="595">
        <v>6587.13</v>
      </c>
    </row>
    <row r="172" spans="1:17" ht="14.4" customHeight="1" x14ac:dyDescent="0.3">
      <c r="A172" s="590" t="s">
        <v>3206</v>
      </c>
      <c r="B172" s="591" t="s">
        <v>2873</v>
      </c>
      <c r="C172" s="591" t="s">
        <v>2597</v>
      </c>
      <c r="D172" s="591" t="s">
        <v>3316</v>
      </c>
      <c r="E172" s="591" t="s">
        <v>3317</v>
      </c>
      <c r="F172" s="594">
        <v>1</v>
      </c>
      <c r="G172" s="594">
        <v>1841.62</v>
      </c>
      <c r="H172" s="594">
        <v>1</v>
      </c>
      <c r="I172" s="594">
        <v>1841.62</v>
      </c>
      <c r="J172" s="594">
        <v>1</v>
      </c>
      <c r="K172" s="594">
        <v>1841.62</v>
      </c>
      <c r="L172" s="594">
        <v>1</v>
      </c>
      <c r="M172" s="594">
        <v>1841.62</v>
      </c>
      <c r="N172" s="594">
        <v>1</v>
      </c>
      <c r="O172" s="594">
        <v>1841.62</v>
      </c>
      <c r="P172" s="616">
        <v>1</v>
      </c>
      <c r="Q172" s="595">
        <v>1841.62</v>
      </c>
    </row>
    <row r="173" spans="1:17" ht="14.4" customHeight="1" x14ac:dyDescent="0.3">
      <c r="A173" s="590" t="s">
        <v>3206</v>
      </c>
      <c r="B173" s="591" t="s">
        <v>2873</v>
      </c>
      <c r="C173" s="591" t="s">
        <v>2597</v>
      </c>
      <c r="D173" s="591" t="s">
        <v>3318</v>
      </c>
      <c r="E173" s="591" t="s">
        <v>3319</v>
      </c>
      <c r="F173" s="594"/>
      <c r="G173" s="594"/>
      <c r="H173" s="594"/>
      <c r="I173" s="594"/>
      <c r="J173" s="594">
        <v>1</v>
      </c>
      <c r="K173" s="594">
        <v>32601.31</v>
      </c>
      <c r="L173" s="594"/>
      <c r="M173" s="594">
        <v>32601.31</v>
      </c>
      <c r="N173" s="594"/>
      <c r="O173" s="594"/>
      <c r="P173" s="616"/>
      <c r="Q173" s="595"/>
    </row>
    <row r="174" spans="1:17" ht="14.4" customHeight="1" x14ac:dyDescent="0.3">
      <c r="A174" s="590" t="s">
        <v>3206</v>
      </c>
      <c r="B174" s="591" t="s">
        <v>2873</v>
      </c>
      <c r="C174" s="591" t="s">
        <v>2597</v>
      </c>
      <c r="D174" s="591" t="s">
        <v>3320</v>
      </c>
      <c r="E174" s="591" t="s">
        <v>3321</v>
      </c>
      <c r="F174" s="594"/>
      <c r="G174" s="594"/>
      <c r="H174" s="594"/>
      <c r="I174" s="594"/>
      <c r="J174" s="594"/>
      <c r="K174" s="594"/>
      <c r="L174" s="594"/>
      <c r="M174" s="594"/>
      <c r="N174" s="594">
        <v>1</v>
      </c>
      <c r="O174" s="594">
        <v>31629.82</v>
      </c>
      <c r="P174" s="616"/>
      <c r="Q174" s="595">
        <v>31629.82</v>
      </c>
    </row>
    <row r="175" spans="1:17" ht="14.4" customHeight="1" x14ac:dyDescent="0.3">
      <c r="A175" s="590" t="s">
        <v>3206</v>
      </c>
      <c r="B175" s="591" t="s">
        <v>2873</v>
      </c>
      <c r="C175" s="591" t="s">
        <v>2597</v>
      </c>
      <c r="D175" s="591" t="s">
        <v>3322</v>
      </c>
      <c r="E175" s="591" t="s">
        <v>3323</v>
      </c>
      <c r="F175" s="594"/>
      <c r="G175" s="594"/>
      <c r="H175" s="594"/>
      <c r="I175" s="594"/>
      <c r="J175" s="594">
        <v>2</v>
      </c>
      <c r="K175" s="594">
        <v>52999.64</v>
      </c>
      <c r="L175" s="594"/>
      <c r="M175" s="594">
        <v>26499.82</v>
      </c>
      <c r="N175" s="594">
        <v>2</v>
      </c>
      <c r="O175" s="594">
        <v>52999.64</v>
      </c>
      <c r="P175" s="616"/>
      <c r="Q175" s="595">
        <v>26499.82</v>
      </c>
    </row>
    <row r="176" spans="1:17" ht="14.4" customHeight="1" x14ac:dyDescent="0.3">
      <c r="A176" s="590" t="s">
        <v>3206</v>
      </c>
      <c r="B176" s="591" t="s">
        <v>2873</v>
      </c>
      <c r="C176" s="591" t="s">
        <v>2597</v>
      </c>
      <c r="D176" s="591" t="s">
        <v>3324</v>
      </c>
      <c r="E176" s="591" t="s">
        <v>3325</v>
      </c>
      <c r="F176" s="594"/>
      <c r="G176" s="594"/>
      <c r="H176" s="594"/>
      <c r="I176" s="594"/>
      <c r="J176" s="594"/>
      <c r="K176" s="594"/>
      <c r="L176" s="594"/>
      <c r="M176" s="594"/>
      <c r="N176" s="594">
        <v>1</v>
      </c>
      <c r="O176" s="594">
        <v>4360</v>
      </c>
      <c r="P176" s="616"/>
      <c r="Q176" s="595">
        <v>4360</v>
      </c>
    </row>
    <row r="177" spans="1:17" ht="14.4" customHeight="1" x14ac:dyDescent="0.3">
      <c r="A177" s="590" t="s">
        <v>3206</v>
      </c>
      <c r="B177" s="591" t="s">
        <v>2873</v>
      </c>
      <c r="C177" s="591" t="s">
        <v>2597</v>
      </c>
      <c r="D177" s="591" t="s">
        <v>3326</v>
      </c>
      <c r="E177" s="591" t="s">
        <v>3327</v>
      </c>
      <c r="F177" s="594"/>
      <c r="G177" s="594"/>
      <c r="H177" s="594"/>
      <c r="I177" s="594"/>
      <c r="J177" s="594"/>
      <c r="K177" s="594"/>
      <c r="L177" s="594"/>
      <c r="M177" s="594"/>
      <c r="N177" s="594">
        <v>3</v>
      </c>
      <c r="O177" s="594">
        <v>99375.78</v>
      </c>
      <c r="P177" s="616"/>
      <c r="Q177" s="595">
        <v>33125.26</v>
      </c>
    </row>
    <row r="178" spans="1:17" ht="14.4" customHeight="1" x14ac:dyDescent="0.3">
      <c r="A178" s="590" t="s">
        <v>3206</v>
      </c>
      <c r="B178" s="591" t="s">
        <v>2873</v>
      </c>
      <c r="C178" s="591" t="s">
        <v>2597</v>
      </c>
      <c r="D178" s="591" t="s">
        <v>3328</v>
      </c>
      <c r="E178" s="591" t="s">
        <v>3329</v>
      </c>
      <c r="F178" s="594"/>
      <c r="G178" s="594"/>
      <c r="H178" s="594"/>
      <c r="I178" s="594"/>
      <c r="J178" s="594"/>
      <c r="K178" s="594"/>
      <c r="L178" s="594"/>
      <c r="M178" s="594"/>
      <c r="N178" s="594">
        <v>1</v>
      </c>
      <c r="O178" s="594">
        <v>38086.36</v>
      </c>
      <c r="P178" s="616"/>
      <c r="Q178" s="595">
        <v>38086.36</v>
      </c>
    </row>
    <row r="179" spans="1:17" ht="14.4" customHeight="1" x14ac:dyDescent="0.3">
      <c r="A179" s="590" t="s">
        <v>3206</v>
      </c>
      <c r="B179" s="591" t="s">
        <v>2873</v>
      </c>
      <c r="C179" s="591" t="s">
        <v>2597</v>
      </c>
      <c r="D179" s="591" t="s">
        <v>3330</v>
      </c>
      <c r="E179" s="591" t="s">
        <v>3331</v>
      </c>
      <c r="F179" s="594">
        <v>1</v>
      </c>
      <c r="G179" s="594">
        <v>110246.9</v>
      </c>
      <c r="H179" s="594">
        <v>1</v>
      </c>
      <c r="I179" s="594">
        <v>110246.9</v>
      </c>
      <c r="J179" s="594"/>
      <c r="K179" s="594"/>
      <c r="L179" s="594"/>
      <c r="M179" s="594"/>
      <c r="N179" s="594"/>
      <c r="O179" s="594"/>
      <c r="P179" s="616"/>
      <c r="Q179" s="595"/>
    </row>
    <row r="180" spans="1:17" ht="14.4" customHeight="1" x14ac:dyDescent="0.3">
      <c r="A180" s="590" t="s">
        <v>3206</v>
      </c>
      <c r="B180" s="591" t="s">
        <v>2873</v>
      </c>
      <c r="C180" s="591" t="s">
        <v>2597</v>
      </c>
      <c r="D180" s="591" t="s">
        <v>3332</v>
      </c>
      <c r="E180" s="591" t="s">
        <v>3333</v>
      </c>
      <c r="F180" s="594">
        <v>1</v>
      </c>
      <c r="G180" s="594">
        <v>5424</v>
      </c>
      <c r="H180" s="594">
        <v>1</v>
      </c>
      <c r="I180" s="594">
        <v>5424</v>
      </c>
      <c r="J180" s="594"/>
      <c r="K180" s="594"/>
      <c r="L180" s="594"/>
      <c r="M180" s="594"/>
      <c r="N180" s="594"/>
      <c r="O180" s="594"/>
      <c r="P180" s="616"/>
      <c r="Q180" s="595"/>
    </row>
    <row r="181" spans="1:17" ht="14.4" customHeight="1" x14ac:dyDescent="0.3">
      <c r="A181" s="590" t="s">
        <v>3206</v>
      </c>
      <c r="B181" s="591" t="s">
        <v>2873</v>
      </c>
      <c r="C181" s="591" t="s">
        <v>2295</v>
      </c>
      <c r="D181" s="591" t="s">
        <v>3334</v>
      </c>
      <c r="E181" s="591" t="s">
        <v>3335</v>
      </c>
      <c r="F181" s="594">
        <v>1</v>
      </c>
      <c r="G181" s="594">
        <v>204</v>
      </c>
      <c r="H181" s="594">
        <v>1</v>
      </c>
      <c r="I181" s="594">
        <v>204</v>
      </c>
      <c r="J181" s="594"/>
      <c r="K181" s="594"/>
      <c r="L181" s="594"/>
      <c r="M181" s="594"/>
      <c r="N181" s="594"/>
      <c r="O181" s="594"/>
      <c r="P181" s="616"/>
      <c r="Q181" s="595"/>
    </row>
    <row r="182" spans="1:17" ht="14.4" customHeight="1" x14ac:dyDescent="0.3">
      <c r="A182" s="590" t="s">
        <v>3206</v>
      </c>
      <c r="B182" s="591" t="s">
        <v>2873</v>
      </c>
      <c r="C182" s="591" t="s">
        <v>2295</v>
      </c>
      <c r="D182" s="591" t="s">
        <v>3336</v>
      </c>
      <c r="E182" s="591" t="s">
        <v>3337</v>
      </c>
      <c r="F182" s="594"/>
      <c r="G182" s="594"/>
      <c r="H182" s="594"/>
      <c r="I182" s="594"/>
      <c r="J182" s="594">
        <v>1</v>
      </c>
      <c r="K182" s="594">
        <v>150</v>
      </c>
      <c r="L182" s="594"/>
      <c r="M182" s="594">
        <v>150</v>
      </c>
      <c r="N182" s="594"/>
      <c r="O182" s="594"/>
      <c r="P182" s="616"/>
      <c r="Q182" s="595"/>
    </row>
    <row r="183" spans="1:17" ht="14.4" customHeight="1" x14ac:dyDescent="0.3">
      <c r="A183" s="590" t="s">
        <v>3206</v>
      </c>
      <c r="B183" s="591" t="s">
        <v>2873</v>
      </c>
      <c r="C183" s="591" t="s">
        <v>2295</v>
      </c>
      <c r="D183" s="591" t="s">
        <v>3338</v>
      </c>
      <c r="E183" s="591" t="s">
        <v>3339</v>
      </c>
      <c r="F183" s="594"/>
      <c r="G183" s="594"/>
      <c r="H183" s="594"/>
      <c r="I183" s="594"/>
      <c r="J183" s="594">
        <v>1</v>
      </c>
      <c r="K183" s="594">
        <v>182</v>
      </c>
      <c r="L183" s="594"/>
      <c r="M183" s="594">
        <v>182</v>
      </c>
      <c r="N183" s="594"/>
      <c r="O183" s="594"/>
      <c r="P183" s="616"/>
      <c r="Q183" s="595"/>
    </row>
    <row r="184" spans="1:17" ht="14.4" customHeight="1" x14ac:dyDescent="0.3">
      <c r="A184" s="590" t="s">
        <v>3206</v>
      </c>
      <c r="B184" s="591" t="s">
        <v>2873</v>
      </c>
      <c r="C184" s="591" t="s">
        <v>2295</v>
      </c>
      <c r="D184" s="591" t="s">
        <v>3340</v>
      </c>
      <c r="E184" s="591" t="s">
        <v>3341</v>
      </c>
      <c r="F184" s="594">
        <v>8</v>
      </c>
      <c r="G184" s="594">
        <v>992</v>
      </c>
      <c r="H184" s="594">
        <v>1</v>
      </c>
      <c r="I184" s="594">
        <v>124</v>
      </c>
      <c r="J184" s="594">
        <v>6</v>
      </c>
      <c r="K184" s="594">
        <v>744</v>
      </c>
      <c r="L184" s="594">
        <v>0.75</v>
      </c>
      <c r="M184" s="594">
        <v>124</v>
      </c>
      <c r="N184" s="594">
        <v>12</v>
      </c>
      <c r="O184" s="594">
        <v>1495</v>
      </c>
      <c r="P184" s="616">
        <v>1.5070564516129032</v>
      </c>
      <c r="Q184" s="595">
        <v>124.58333333333333</v>
      </c>
    </row>
    <row r="185" spans="1:17" ht="14.4" customHeight="1" x14ac:dyDescent="0.3">
      <c r="A185" s="590" t="s">
        <v>3206</v>
      </c>
      <c r="B185" s="591" t="s">
        <v>2873</v>
      </c>
      <c r="C185" s="591" t="s">
        <v>2295</v>
      </c>
      <c r="D185" s="591" t="s">
        <v>3342</v>
      </c>
      <c r="E185" s="591" t="s">
        <v>3343</v>
      </c>
      <c r="F185" s="594">
        <v>5</v>
      </c>
      <c r="G185" s="594">
        <v>1080</v>
      </c>
      <c r="H185" s="594">
        <v>1</v>
      </c>
      <c r="I185" s="594">
        <v>216</v>
      </c>
      <c r="J185" s="594">
        <v>14</v>
      </c>
      <c r="K185" s="594">
        <v>3038</v>
      </c>
      <c r="L185" s="594">
        <v>2.8129629629629629</v>
      </c>
      <c r="M185" s="594">
        <v>217</v>
      </c>
      <c r="N185" s="594">
        <v>27</v>
      </c>
      <c r="O185" s="594">
        <v>5864</v>
      </c>
      <c r="P185" s="616">
        <v>5.4296296296296296</v>
      </c>
      <c r="Q185" s="595">
        <v>217.18518518518519</v>
      </c>
    </row>
    <row r="186" spans="1:17" ht="14.4" customHeight="1" x14ac:dyDescent="0.3">
      <c r="A186" s="590" t="s">
        <v>3206</v>
      </c>
      <c r="B186" s="591" t="s">
        <v>2873</v>
      </c>
      <c r="C186" s="591" t="s">
        <v>2295</v>
      </c>
      <c r="D186" s="591" t="s">
        <v>2997</v>
      </c>
      <c r="E186" s="591" t="s">
        <v>2998</v>
      </c>
      <c r="F186" s="594">
        <v>16</v>
      </c>
      <c r="G186" s="594">
        <v>3488</v>
      </c>
      <c r="H186" s="594">
        <v>1</v>
      </c>
      <c r="I186" s="594">
        <v>218</v>
      </c>
      <c r="J186" s="594">
        <v>21</v>
      </c>
      <c r="K186" s="594">
        <v>4599</v>
      </c>
      <c r="L186" s="594">
        <v>1.318520642201835</v>
      </c>
      <c r="M186" s="594">
        <v>219</v>
      </c>
      <c r="N186" s="594">
        <v>20</v>
      </c>
      <c r="O186" s="594">
        <v>4388</v>
      </c>
      <c r="P186" s="616">
        <v>1.2580275229357798</v>
      </c>
      <c r="Q186" s="595">
        <v>219.4</v>
      </c>
    </row>
    <row r="187" spans="1:17" ht="14.4" customHeight="1" x14ac:dyDescent="0.3">
      <c r="A187" s="590" t="s">
        <v>3206</v>
      </c>
      <c r="B187" s="591" t="s">
        <v>2873</v>
      </c>
      <c r="C187" s="591" t="s">
        <v>2295</v>
      </c>
      <c r="D187" s="591" t="s">
        <v>3344</v>
      </c>
      <c r="E187" s="591" t="s">
        <v>3345</v>
      </c>
      <c r="F187" s="594">
        <v>8</v>
      </c>
      <c r="G187" s="594">
        <v>4864</v>
      </c>
      <c r="H187" s="594">
        <v>1</v>
      </c>
      <c r="I187" s="594">
        <v>608</v>
      </c>
      <c r="J187" s="594">
        <v>7</v>
      </c>
      <c r="K187" s="594">
        <v>4263</v>
      </c>
      <c r="L187" s="594">
        <v>0.87643914473684215</v>
      </c>
      <c r="M187" s="594">
        <v>609</v>
      </c>
      <c r="N187" s="594">
        <v>7</v>
      </c>
      <c r="O187" s="594">
        <v>4281</v>
      </c>
      <c r="P187" s="616">
        <v>0.88013980263157898</v>
      </c>
      <c r="Q187" s="595">
        <v>611.57142857142856</v>
      </c>
    </row>
    <row r="188" spans="1:17" ht="14.4" customHeight="1" x14ac:dyDescent="0.3">
      <c r="A188" s="590" t="s">
        <v>3206</v>
      </c>
      <c r="B188" s="591" t="s">
        <v>2873</v>
      </c>
      <c r="C188" s="591" t="s">
        <v>2295</v>
      </c>
      <c r="D188" s="591" t="s">
        <v>3346</v>
      </c>
      <c r="E188" s="591" t="s">
        <v>3347</v>
      </c>
      <c r="F188" s="594"/>
      <c r="G188" s="594"/>
      <c r="H188" s="594"/>
      <c r="I188" s="594"/>
      <c r="J188" s="594">
        <v>1</v>
      </c>
      <c r="K188" s="594">
        <v>257</v>
      </c>
      <c r="L188" s="594"/>
      <c r="M188" s="594">
        <v>257</v>
      </c>
      <c r="N188" s="594"/>
      <c r="O188" s="594"/>
      <c r="P188" s="616"/>
      <c r="Q188" s="595"/>
    </row>
    <row r="189" spans="1:17" ht="14.4" customHeight="1" x14ac:dyDescent="0.3">
      <c r="A189" s="590" t="s">
        <v>3206</v>
      </c>
      <c r="B189" s="591" t="s">
        <v>2873</v>
      </c>
      <c r="C189" s="591" t="s">
        <v>2295</v>
      </c>
      <c r="D189" s="591" t="s">
        <v>2876</v>
      </c>
      <c r="E189" s="591" t="s">
        <v>2877</v>
      </c>
      <c r="F189" s="594">
        <v>3</v>
      </c>
      <c r="G189" s="594">
        <v>975</v>
      </c>
      <c r="H189" s="594">
        <v>1</v>
      </c>
      <c r="I189" s="594">
        <v>325</v>
      </c>
      <c r="J189" s="594">
        <v>1</v>
      </c>
      <c r="K189" s="594">
        <v>326</v>
      </c>
      <c r="L189" s="594">
        <v>0.33435897435897438</v>
      </c>
      <c r="M189" s="594">
        <v>326</v>
      </c>
      <c r="N189" s="594">
        <v>2</v>
      </c>
      <c r="O189" s="594">
        <v>652</v>
      </c>
      <c r="P189" s="616">
        <v>0.66871794871794876</v>
      </c>
      <c r="Q189" s="595">
        <v>326</v>
      </c>
    </row>
    <row r="190" spans="1:17" ht="14.4" customHeight="1" x14ac:dyDescent="0.3">
      <c r="A190" s="590" t="s">
        <v>3206</v>
      </c>
      <c r="B190" s="591" t="s">
        <v>2873</v>
      </c>
      <c r="C190" s="591" t="s">
        <v>2295</v>
      </c>
      <c r="D190" s="591" t="s">
        <v>3348</v>
      </c>
      <c r="E190" s="591" t="s">
        <v>3349</v>
      </c>
      <c r="F190" s="594">
        <v>1</v>
      </c>
      <c r="G190" s="594">
        <v>13691</v>
      </c>
      <c r="H190" s="594">
        <v>1</v>
      </c>
      <c r="I190" s="594">
        <v>13691</v>
      </c>
      <c r="J190" s="594"/>
      <c r="K190" s="594"/>
      <c r="L190" s="594"/>
      <c r="M190" s="594"/>
      <c r="N190" s="594"/>
      <c r="O190" s="594"/>
      <c r="P190" s="616"/>
      <c r="Q190" s="595"/>
    </row>
    <row r="191" spans="1:17" ht="14.4" customHeight="1" x14ac:dyDescent="0.3">
      <c r="A191" s="590" t="s">
        <v>3206</v>
      </c>
      <c r="B191" s="591" t="s">
        <v>2873</v>
      </c>
      <c r="C191" s="591" t="s">
        <v>2295</v>
      </c>
      <c r="D191" s="591" t="s">
        <v>3350</v>
      </c>
      <c r="E191" s="591" t="s">
        <v>3351</v>
      </c>
      <c r="F191" s="594">
        <v>4</v>
      </c>
      <c r="G191" s="594">
        <v>16488</v>
      </c>
      <c r="H191" s="594">
        <v>1</v>
      </c>
      <c r="I191" s="594">
        <v>4122</v>
      </c>
      <c r="J191" s="594">
        <v>1</v>
      </c>
      <c r="K191" s="594">
        <v>4127</v>
      </c>
      <c r="L191" s="594">
        <v>0.25030325084910238</v>
      </c>
      <c r="M191" s="594">
        <v>4127</v>
      </c>
      <c r="N191" s="594">
        <v>8</v>
      </c>
      <c r="O191" s="594">
        <v>33032</v>
      </c>
      <c r="P191" s="616">
        <v>2.0033964095099468</v>
      </c>
      <c r="Q191" s="595">
        <v>4129</v>
      </c>
    </row>
    <row r="192" spans="1:17" ht="14.4" customHeight="1" x14ac:dyDescent="0.3">
      <c r="A192" s="590" t="s">
        <v>3206</v>
      </c>
      <c r="B192" s="591" t="s">
        <v>2873</v>
      </c>
      <c r="C192" s="591" t="s">
        <v>2295</v>
      </c>
      <c r="D192" s="591" t="s">
        <v>2878</v>
      </c>
      <c r="E192" s="591" t="s">
        <v>2879</v>
      </c>
      <c r="F192" s="594">
        <v>2</v>
      </c>
      <c r="G192" s="594">
        <v>554</v>
      </c>
      <c r="H192" s="594">
        <v>1</v>
      </c>
      <c r="I192" s="594">
        <v>277</v>
      </c>
      <c r="J192" s="594">
        <v>4</v>
      </c>
      <c r="K192" s="594">
        <v>1112</v>
      </c>
      <c r="L192" s="594">
        <v>2.0072202166064983</v>
      </c>
      <c r="M192" s="594">
        <v>278</v>
      </c>
      <c r="N192" s="594">
        <v>2</v>
      </c>
      <c r="O192" s="594">
        <v>557</v>
      </c>
      <c r="P192" s="616">
        <v>1.0054151624548737</v>
      </c>
      <c r="Q192" s="595">
        <v>278.5</v>
      </c>
    </row>
    <row r="193" spans="1:17" ht="14.4" customHeight="1" x14ac:dyDescent="0.3">
      <c r="A193" s="590" t="s">
        <v>3206</v>
      </c>
      <c r="B193" s="591" t="s">
        <v>2873</v>
      </c>
      <c r="C193" s="591" t="s">
        <v>2295</v>
      </c>
      <c r="D193" s="591" t="s">
        <v>3352</v>
      </c>
      <c r="E193" s="591" t="s">
        <v>3353</v>
      </c>
      <c r="F193" s="594">
        <v>2</v>
      </c>
      <c r="G193" s="594">
        <v>12488</v>
      </c>
      <c r="H193" s="594">
        <v>1</v>
      </c>
      <c r="I193" s="594">
        <v>6244</v>
      </c>
      <c r="J193" s="594">
        <v>1</v>
      </c>
      <c r="K193" s="594">
        <v>6250</v>
      </c>
      <c r="L193" s="594">
        <v>0.50048046124279311</v>
      </c>
      <c r="M193" s="594">
        <v>6250</v>
      </c>
      <c r="N193" s="594">
        <v>4</v>
      </c>
      <c r="O193" s="594">
        <v>25030</v>
      </c>
      <c r="P193" s="616">
        <v>2.0043241511851377</v>
      </c>
      <c r="Q193" s="595">
        <v>6257.5</v>
      </c>
    </row>
    <row r="194" spans="1:17" ht="14.4" customHeight="1" x14ac:dyDescent="0.3">
      <c r="A194" s="590" t="s">
        <v>3206</v>
      </c>
      <c r="B194" s="591" t="s">
        <v>2873</v>
      </c>
      <c r="C194" s="591" t="s">
        <v>2295</v>
      </c>
      <c r="D194" s="591" t="s">
        <v>3354</v>
      </c>
      <c r="E194" s="591" t="s">
        <v>3355</v>
      </c>
      <c r="F194" s="594">
        <v>1</v>
      </c>
      <c r="G194" s="594">
        <v>1510</v>
      </c>
      <c r="H194" s="594">
        <v>1</v>
      </c>
      <c r="I194" s="594">
        <v>1510</v>
      </c>
      <c r="J194" s="594">
        <v>1</v>
      </c>
      <c r="K194" s="594">
        <v>1515</v>
      </c>
      <c r="L194" s="594">
        <v>1.0033112582781456</v>
      </c>
      <c r="M194" s="594">
        <v>1515</v>
      </c>
      <c r="N194" s="594">
        <v>2</v>
      </c>
      <c r="O194" s="594">
        <v>3030</v>
      </c>
      <c r="P194" s="616">
        <v>2.0066225165562912</v>
      </c>
      <c r="Q194" s="595">
        <v>1515</v>
      </c>
    </row>
    <row r="195" spans="1:17" ht="14.4" customHeight="1" x14ac:dyDescent="0.3">
      <c r="A195" s="590" t="s">
        <v>3206</v>
      </c>
      <c r="B195" s="591" t="s">
        <v>2873</v>
      </c>
      <c r="C195" s="591" t="s">
        <v>2295</v>
      </c>
      <c r="D195" s="591" t="s">
        <v>3356</v>
      </c>
      <c r="E195" s="591" t="s">
        <v>3357</v>
      </c>
      <c r="F195" s="594">
        <v>1</v>
      </c>
      <c r="G195" s="594">
        <v>15040</v>
      </c>
      <c r="H195" s="594">
        <v>1</v>
      </c>
      <c r="I195" s="594">
        <v>15040</v>
      </c>
      <c r="J195" s="594">
        <v>2</v>
      </c>
      <c r="K195" s="594">
        <v>30098</v>
      </c>
      <c r="L195" s="594">
        <v>2.0011968085106382</v>
      </c>
      <c r="M195" s="594">
        <v>15049</v>
      </c>
      <c r="N195" s="594">
        <v>3</v>
      </c>
      <c r="O195" s="594">
        <v>45147</v>
      </c>
      <c r="P195" s="616">
        <v>3.0017952127659573</v>
      </c>
      <c r="Q195" s="595">
        <v>15049</v>
      </c>
    </row>
    <row r="196" spans="1:17" ht="14.4" customHeight="1" x14ac:dyDescent="0.3">
      <c r="A196" s="590" t="s">
        <v>3206</v>
      </c>
      <c r="B196" s="591" t="s">
        <v>2873</v>
      </c>
      <c r="C196" s="591" t="s">
        <v>2295</v>
      </c>
      <c r="D196" s="591" t="s">
        <v>3358</v>
      </c>
      <c r="E196" s="591" t="s">
        <v>3359</v>
      </c>
      <c r="F196" s="594">
        <v>14</v>
      </c>
      <c r="G196" s="594">
        <v>53354</v>
      </c>
      <c r="H196" s="594">
        <v>1</v>
      </c>
      <c r="I196" s="594">
        <v>3811</v>
      </c>
      <c r="J196" s="594">
        <v>23</v>
      </c>
      <c r="K196" s="594">
        <v>87745</v>
      </c>
      <c r="L196" s="594">
        <v>1.6445814746785621</v>
      </c>
      <c r="M196" s="594">
        <v>3815</v>
      </c>
      <c r="N196" s="594">
        <v>38</v>
      </c>
      <c r="O196" s="594">
        <v>145030</v>
      </c>
      <c r="P196" s="616">
        <v>2.7182591745698543</v>
      </c>
      <c r="Q196" s="595">
        <v>3816.5789473684213</v>
      </c>
    </row>
    <row r="197" spans="1:17" ht="14.4" customHeight="1" x14ac:dyDescent="0.3">
      <c r="A197" s="590" t="s">
        <v>3206</v>
      </c>
      <c r="B197" s="591" t="s">
        <v>2873</v>
      </c>
      <c r="C197" s="591" t="s">
        <v>2295</v>
      </c>
      <c r="D197" s="591" t="s">
        <v>3360</v>
      </c>
      <c r="E197" s="591" t="s">
        <v>3361</v>
      </c>
      <c r="F197" s="594">
        <v>2</v>
      </c>
      <c r="G197" s="594">
        <v>10290</v>
      </c>
      <c r="H197" s="594">
        <v>1</v>
      </c>
      <c r="I197" s="594">
        <v>5145</v>
      </c>
      <c r="J197" s="594"/>
      <c r="K197" s="594"/>
      <c r="L197" s="594"/>
      <c r="M197" s="594"/>
      <c r="N197" s="594">
        <v>4</v>
      </c>
      <c r="O197" s="594">
        <v>20608</v>
      </c>
      <c r="P197" s="616">
        <v>2.0027210884353743</v>
      </c>
      <c r="Q197" s="595">
        <v>5152</v>
      </c>
    </row>
    <row r="198" spans="1:17" ht="14.4" customHeight="1" x14ac:dyDescent="0.3">
      <c r="A198" s="590" t="s">
        <v>3206</v>
      </c>
      <c r="B198" s="591" t="s">
        <v>2873</v>
      </c>
      <c r="C198" s="591" t="s">
        <v>2295</v>
      </c>
      <c r="D198" s="591" t="s">
        <v>3362</v>
      </c>
      <c r="E198" s="591" t="s">
        <v>3363</v>
      </c>
      <c r="F198" s="594">
        <v>7</v>
      </c>
      <c r="G198" s="594">
        <v>54796</v>
      </c>
      <c r="H198" s="594">
        <v>1</v>
      </c>
      <c r="I198" s="594">
        <v>7828</v>
      </c>
      <c r="J198" s="594">
        <v>13</v>
      </c>
      <c r="K198" s="594">
        <v>101855</v>
      </c>
      <c r="L198" s="594">
        <v>1.8588035623038177</v>
      </c>
      <c r="M198" s="594">
        <v>7835</v>
      </c>
      <c r="N198" s="594">
        <v>23</v>
      </c>
      <c r="O198" s="594">
        <v>180296</v>
      </c>
      <c r="P198" s="616">
        <v>3.2903131615446384</v>
      </c>
      <c r="Q198" s="595">
        <v>7838.95652173913</v>
      </c>
    </row>
    <row r="199" spans="1:17" ht="14.4" customHeight="1" x14ac:dyDescent="0.3">
      <c r="A199" s="590" t="s">
        <v>3206</v>
      </c>
      <c r="B199" s="591" t="s">
        <v>2873</v>
      </c>
      <c r="C199" s="591" t="s">
        <v>2295</v>
      </c>
      <c r="D199" s="591" t="s">
        <v>3364</v>
      </c>
      <c r="E199" s="591" t="s">
        <v>3365</v>
      </c>
      <c r="F199" s="594">
        <v>2</v>
      </c>
      <c r="G199" s="594">
        <v>3306</v>
      </c>
      <c r="H199" s="594">
        <v>1</v>
      </c>
      <c r="I199" s="594">
        <v>1653</v>
      </c>
      <c r="J199" s="594">
        <v>1</v>
      </c>
      <c r="K199" s="594">
        <v>1657</v>
      </c>
      <c r="L199" s="594">
        <v>0.50120992135511189</v>
      </c>
      <c r="M199" s="594">
        <v>1657</v>
      </c>
      <c r="N199" s="594">
        <v>4</v>
      </c>
      <c r="O199" s="594">
        <v>6646</v>
      </c>
      <c r="P199" s="616">
        <v>2.0102843315184513</v>
      </c>
      <c r="Q199" s="595">
        <v>1661.5</v>
      </c>
    </row>
    <row r="200" spans="1:17" ht="14.4" customHeight="1" x14ac:dyDescent="0.3">
      <c r="A200" s="590" t="s">
        <v>3206</v>
      </c>
      <c r="B200" s="591" t="s">
        <v>2873</v>
      </c>
      <c r="C200" s="591" t="s">
        <v>2295</v>
      </c>
      <c r="D200" s="591" t="s">
        <v>3366</v>
      </c>
      <c r="E200" s="591" t="s">
        <v>3367</v>
      </c>
      <c r="F200" s="594">
        <v>19</v>
      </c>
      <c r="G200" s="594">
        <v>24244</v>
      </c>
      <c r="H200" s="594">
        <v>1</v>
      </c>
      <c r="I200" s="594">
        <v>1276</v>
      </c>
      <c r="J200" s="594">
        <v>25</v>
      </c>
      <c r="K200" s="594">
        <v>31925</v>
      </c>
      <c r="L200" s="594">
        <v>1.3168206566573173</v>
      </c>
      <c r="M200" s="594">
        <v>1277</v>
      </c>
      <c r="N200" s="594">
        <v>24</v>
      </c>
      <c r="O200" s="594">
        <v>30678</v>
      </c>
      <c r="P200" s="616">
        <v>1.2653852499587528</v>
      </c>
      <c r="Q200" s="595">
        <v>1278.25</v>
      </c>
    </row>
    <row r="201" spans="1:17" ht="14.4" customHeight="1" x14ac:dyDescent="0.3">
      <c r="A201" s="590" t="s">
        <v>3206</v>
      </c>
      <c r="B201" s="591" t="s">
        <v>2873</v>
      </c>
      <c r="C201" s="591" t="s">
        <v>2295</v>
      </c>
      <c r="D201" s="591" t="s">
        <v>3368</v>
      </c>
      <c r="E201" s="591" t="s">
        <v>3369</v>
      </c>
      <c r="F201" s="594">
        <v>17</v>
      </c>
      <c r="G201" s="594">
        <v>19771</v>
      </c>
      <c r="H201" s="594">
        <v>1</v>
      </c>
      <c r="I201" s="594">
        <v>1163</v>
      </c>
      <c r="J201" s="594">
        <v>24</v>
      </c>
      <c r="K201" s="594">
        <v>27936</v>
      </c>
      <c r="L201" s="594">
        <v>1.4129786050275657</v>
      </c>
      <c r="M201" s="594">
        <v>1164</v>
      </c>
      <c r="N201" s="594">
        <v>21</v>
      </c>
      <c r="O201" s="594">
        <v>24462</v>
      </c>
      <c r="P201" s="616">
        <v>1.2372667037580294</v>
      </c>
      <c r="Q201" s="595">
        <v>1164.8571428571429</v>
      </c>
    </row>
    <row r="202" spans="1:17" ht="14.4" customHeight="1" x14ac:dyDescent="0.3">
      <c r="A202" s="590" t="s">
        <v>3206</v>
      </c>
      <c r="B202" s="591" t="s">
        <v>2873</v>
      </c>
      <c r="C202" s="591" t="s">
        <v>2295</v>
      </c>
      <c r="D202" s="591" t="s">
        <v>3370</v>
      </c>
      <c r="E202" s="591" t="s">
        <v>3371</v>
      </c>
      <c r="F202" s="594">
        <v>3</v>
      </c>
      <c r="G202" s="594">
        <v>15195</v>
      </c>
      <c r="H202" s="594">
        <v>1</v>
      </c>
      <c r="I202" s="594">
        <v>5065</v>
      </c>
      <c r="J202" s="594">
        <v>3</v>
      </c>
      <c r="K202" s="594">
        <v>15204</v>
      </c>
      <c r="L202" s="594">
        <v>1.0005923000987167</v>
      </c>
      <c r="M202" s="594">
        <v>5068</v>
      </c>
      <c r="N202" s="594">
        <v>1</v>
      </c>
      <c r="O202" s="594">
        <v>5074</v>
      </c>
      <c r="P202" s="616">
        <v>0.33392563343205001</v>
      </c>
      <c r="Q202" s="595">
        <v>5074</v>
      </c>
    </row>
    <row r="203" spans="1:17" ht="14.4" customHeight="1" x14ac:dyDescent="0.3">
      <c r="A203" s="590" t="s">
        <v>3206</v>
      </c>
      <c r="B203" s="591" t="s">
        <v>2873</v>
      </c>
      <c r="C203" s="591" t="s">
        <v>2295</v>
      </c>
      <c r="D203" s="591" t="s">
        <v>3372</v>
      </c>
      <c r="E203" s="591" t="s">
        <v>3373</v>
      </c>
      <c r="F203" s="594"/>
      <c r="G203" s="594"/>
      <c r="H203" s="594"/>
      <c r="I203" s="594"/>
      <c r="J203" s="594">
        <v>1</v>
      </c>
      <c r="K203" s="594">
        <v>7673</v>
      </c>
      <c r="L203" s="594"/>
      <c r="M203" s="594">
        <v>7673</v>
      </c>
      <c r="N203" s="594"/>
      <c r="O203" s="594"/>
      <c r="P203" s="616"/>
      <c r="Q203" s="595"/>
    </row>
    <row r="204" spans="1:17" ht="14.4" customHeight="1" x14ac:dyDescent="0.3">
      <c r="A204" s="590" t="s">
        <v>3206</v>
      </c>
      <c r="B204" s="591" t="s">
        <v>2873</v>
      </c>
      <c r="C204" s="591" t="s">
        <v>2295</v>
      </c>
      <c r="D204" s="591" t="s">
        <v>3374</v>
      </c>
      <c r="E204" s="591" t="s">
        <v>3375</v>
      </c>
      <c r="F204" s="594">
        <v>1</v>
      </c>
      <c r="G204" s="594">
        <v>5505</v>
      </c>
      <c r="H204" s="594">
        <v>1</v>
      </c>
      <c r="I204" s="594">
        <v>5505</v>
      </c>
      <c r="J204" s="594"/>
      <c r="K204" s="594"/>
      <c r="L204" s="594"/>
      <c r="M204" s="594"/>
      <c r="N204" s="594"/>
      <c r="O204" s="594"/>
      <c r="P204" s="616"/>
      <c r="Q204" s="595"/>
    </row>
    <row r="205" spans="1:17" ht="14.4" customHeight="1" x14ac:dyDescent="0.3">
      <c r="A205" s="590" t="s">
        <v>3206</v>
      </c>
      <c r="B205" s="591" t="s">
        <v>2873</v>
      </c>
      <c r="C205" s="591" t="s">
        <v>2295</v>
      </c>
      <c r="D205" s="591" t="s">
        <v>3376</v>
      </c>
      <c r="E205" s="591" t="s">
        <v>3377</v>
      </c>
      <c r="F205" s="594">
        <v>1</v>
      </c>
      <c r="G205" s="594">
        <v>738</v>
      </c>
      <c r="H205" s="594">
        <v>1</v>
      </c>
      <c r="I205" s="594">
        <v>738</v>
      </c>
      <c r="J205" s="594"/>
      <c r="K205" s="594"/>
      <c r="L205" s="594"/>
      <c r="M205" s="594"/>
      <c r="N205" s="594"/>
      <c r="O205" s="594"/>
      <c r="P205" s="616"/>
      <c r="Q205" s="595"/>
    </row>
    <row r="206" spans="1:17" ht="14.4" customHeight="1" x14ac:dyDescent="0.3">
      <c r="A206" s="590" t="s">
        <v>3206</v>
      </c>
      <c r="B206" s="591" t="s">
        <v>2873</v>
      </c>
      <c r="C206" s="591" t="s">
        <v>2295</v>
      </c>
      <c r="D206" s="591" t="s">
        <v>3378</v>
      </c>
      <c r="E206" s="591" t="s">
        <v>3379</v>
      </c>
      <c r="F206" s="594">
        <v>380</v>
      </c>
      <c r="G206" s="594">
        <v>65360</v>
      </c>
      <c r="H206" s="594">
        <v>1</v>
      </c>
      <c r="I206" s="594">
        <v>172</v>
      </c>
      <c r="J206" s="594">
        <v>412</v>
      </c>
      <c r="K206" s="594">
        <v>71276</v>
      </c>
      <c r="L206" s="594">
        <v>1.0905140758873928</v>
      </c>
      <c r="M206" s="594">
        <v>173</v>
      </c>
      <c r="N206" s="594">
        <v>397</v>
      </c>
      <c r="O206" s="594">
        <v>68842</v>
      </c>
      <c r="P206" s="616">
        <v>1.0532741738066096</v>
      </c>
      <c r="Q206" s="595">
        <v>173.40554156171285</v>
      </c>
    </row>
    <row r="207" spans="1:17" ht="14.4" customHeight="1" x14ac:dyDescent="0.3">
      <c r="A207" s="590" t="s">
        <v>3206</v>
      </c>
      <c r="B207" s="591" t="s">
        <v>2873</v>
      </c>
      <c r="C207" s="591" t="s">
        <v>2295</v>
      </c>
      <c r="D207" s="591" t="s">
        <v>3380</v>
      </c>
      <c r="E207" s="591" t="s">
        <v>3381</v>
      </c>
      <c r="F207" s="594">
        <v>33</v>
      </c>
      <c r="G207" s="594">
        <v>65802</v>
      </c>
      <c r="H207" s="594">
        <v>1</v>
      </c>
      <c r="I207" s="594">
        <v>1994</v>
      </c>
      <c r="J207" s="594">
        <v>22</v>
      </c>
      <c r="K207" s="594">
        <v>43912</v>
      </c>
      <c r="L207" s="594">
        <v>0.66733533935138745</v>
      </c>
      <c r="M207" s="594">
        <v>1996</v>
      </c>
      <c r="N207" s="594">
        <v>23</v>
      </c>
      <c r="O207" s="594">
        <v>45947</v>
      </c>
      <c r="P207" s="616">
        <v>0.69826145101972581</v>
      </c>
      <c r="Q207" s="595">
        <v>1997.695652173913</v>
      </c>
    </row>
    <row r="208" spans="1:17" ht="14.4" customHeight="1" x14ac:dyDescent="0.3">
      <c r="A208" s="590" t="s">
        <v>3206</v>
      </c>
      <c r="B208" s="591" t="s">
        <v>2873</v>
      </c>
      <c r="C208" s="591" t="s">
        <v>2295</v>
      </c>
      <c r="D208" s="591" t="s">
        <v>3382</v>
      </c>
      <c r="E208" s="591" t="s">
        <v>3383</v>
      </c>
      <c r="F208" s="594"/>
      <c r="G208" s="594"/>
      <c r="H208" s="594"/>
      <c r="I208" s="594"/>
      <c r="J208" s="594">
        <v>5</v>
      </c>
      <c r="K208" s="594">
        <v>13460</v>
      </c>
      <c r="L208" s="594"/>
      <c r="M208" s="594">
        <v>2692</v>
      </c>
      <c r="N208" s="594">
        <v>1</v>
      </c>
      <c r="O208" s="594">
        <v>2695</v>
      </c>
      <c r="P208" s="616"/>
      <c r="Q208" s="595">
        <v>2695</v>
      </c>
    </row>
    <row r="209" spans="1:17" ht="14.4" customHeight="1" x14ac:dyDescent="0.3">
      <c r="A209" s="590" t="s">
        <v>3206</v>
      </c>
      <c r="B209" s="591" t="s">
        <v>2873</v>
      </c>
      <c r="C209" s="591" t="s">
        <v>2295</v>
      </c>
      <c r="D209" s="591" t="s">
        <v>3384</v>
      </c>
      <c r="E209" s="591" t="s">
        <v>3385</v>
      </c>
      <c r="F209" s="594"/>
      <c r="G209" s="594"/>
      <c r="H209" s="594"/>
      <c r="I209" s="594"/>
      <c r="J209" s="594">
        <v>3</v>
      </c>
      <c r="K209" s="594">
        <v>15540</v>
      </c>
      <c r="L209" s="594"/>
      <c r="M209" s="594">
        <v>5180</v>
      </c>
      <c r="N209" s="594">
        <v>2</v>
      </c>
      <c r="O209" s="594">
        <v>10366</v>
      </c>
      <c r="P209" s="616"/>
      <c r="Q209" s="595">
        <v>5183</v>
      </c>
    </row>
    <row r="210" spans="1:17" ht="14.4" customHeight="1" x14ac:dyDescent="0.3">
      <c r="A210" s="590" t="s">
        <v>3206</v>
      </c>
      <c r="B210" s="591" t="s">
        <v>2873</v>
      </c>
      <c r="C210" s="591" t="s">
        <v>2295</v>
      </c>
      <c r="D210" s="591" t="s">
        <v>3386</v>
      </c>
      <c r="E210" s="591" t="s">
        <v>3387</v>
      </c>
      <c r="F210" s="594">
        <v>5</v>
      </c>
      <c r="G210" s="594">
        <v>3285</v>
      </c>
      <c r="H210" s="594">
        <v>1</v>
      </c>
      <c r="I210" s="594">
        <v>657</v>
      </c>
      <c r="J210" s="594">
        <v>6</v>
      </c>
      <c r="K210" s="594">
        <v>3948</v>
      </c>
      <c r="L210" s="594">
        <v>1.2018264840182649</v>
      </c>
      <c r="M210" s="594">
        <v>658</v>
      </c>
      <c r="N210" s="594">
        <v>3</v>
      </c>
      <c r="O210" s="594">
        <v>1983</v>
      </c>
      <c r="P210" s="616">
        <v>0.60365296803652968</v>
      </c>
      <c r="Q210" s="595">
        <v>661</v>
      </c>
    </row>
    <row r="211" spans="1:17" ht="14.4" customHeight="1" x14ac:dyDescent="0.3">
      <c r="A211" s="590" t="s">
        <v>3206</v>
      </c>
      <c r="B211" s="591" t="s">
        <v>2873</v>
      </c>
      <c r="C211" s="591" t="s">
        <v>2295</v>
      </c>
      <c r="D211" s="591" t="s">
        <v>3388</v>
      </c>
      <c r="E211" s="591" t="s">
        <v>3389</v>
      </c>
      <c r="F211" s="594"/>
      <c r="G211" s="594"/>
      <c r="H211" s="594"/>
      <c r="I211" s="594"/>
      <c r="J211" s="594">
        <v>1</v>
      </c>
      <c r="K211" s="594">
        <v>2076</v>
      </c>
      <c r="L211" s="594"/>
      <c r="M211" s="594">
        <v>2076</v>
      </c>
      <c r="N211" s="594">
        <v>6</v>
      </c>
      <c r="O211" s="594">
        <v>12476</v>
      </c>
      <c r="P211" s="616"/>
      <c r="Q211" s="595">
        <v>2079.3333333333335</v>
      </c>
    </row>
    <row r="212" spans="1:17" ht="14.4" customHeight="1" x14ac:dyDescent="0.3">
      <c r="A212" s="590" t="s">
        <v>3206</v>
      </c>
      <c r="B212" s="591" t="s">
        <v>2873</v>
      </c>
      <c r="C212" s="591" t="s">
        <v>2295</v>
      </c>
      <c r="D212" s="591" t="s">
        <v>3390</v>
      </c>
      <c r="E212" s="591" t="s">
        <v>3391</v>
      </c>
      <c r="F212" s="594">
        <v>2</v>
      </c>
      <c r="G212" s="594">
        <v>298</v>
      </c>
      <c r="H212" s="594">
        <v>1</v>
      </c>
      <c r="I212" s="594">
        <v>149</v>
      </c>
      <c r="J212" s="594"/>
      <c r="K212" s="594"/>
      <c r="L212" s="594"/>
      <c r="M212" s="594"/>
      <c r="N212" s="594">
        <v>1</v>
      </c>
      <c r="O212" s="594">
        <v>150</v>
      </c>
      <c r="P212" s="616">
        <v>0.50335570469798663</v>
      </c>
      <c r="Q212" s="595">
        <v>150</v>
      </c>
    </row>
    <row r="213" spans="1:17" ht="14.4" customHeight="1" x14ac:dyDescent="0.3">
      <c r="A213" s="590" t="s">
        <v>3206</v>
      </c>
      <c r="B213" s="591" t="s">
        <v>2873</v>
      </c>
      <c r="C213" s="591" t="s">
        <v>2295</v>
      </c>
      <c r="D213" s="591" t="s">
        <v>3392</v>
      </c>
      <c r="E213" s="591" t="s">
        <v>3393</v>
      </c>
      <c r="F213" s="594">
        <v>37</v>
      </c>
      <c r="G213" s="594">
        <v>7289</v>
      </c>
      <c r="H213" s="594">
        <v>1</v>
      </c>
      <c r="I213" s="594">
        <v>197</v>
      </c>
      <c r="J213" s="594">
        <v>43</v>
      </c>
      <c r="K213" s="594">
        <v>8514</v>
      </c>
      <c r="L213" s="594">
        <v>1.1680614624777061</v>
      </c>
      <c r="M213" s="594">
        <v>198</v>
      </c>
      <c r="N213" s="594">
        <v>100</v>
      </c>
      <c r="O213" s="594">
        <v>19846</v>
      </c>
      <c r="P213" s="616">
        <v>2.7227328851694335</v>
      </c>
      <c r="Q213" s="595">
        <v>198.46</v>
      </c>
    </row>
    <row r="214" spans="1:17" ht="14.4" customHeight="1" x14ac:dyDescent="0.3">
      <c r="A214" s="590" t="s">
        <v>3206</v>
      </c>
      <c r="B214" s="591" t="s">
        <v>2873</v>
      </c>
      <c r="C214" s="591" t="s">
        <v>2295</v>
      </c>
      <c r="D214" s="591" t="s">
        <v>3394</v>
      </c>
      <c r="E214" s="591" t="s">
        <v>3395</v>
      </c>
      <c r="F214" s="594">
        <v>13</v>
      </c>
      <c r="G214" s="594">
        <v>5382</v>
      </c>
      <c r="H214" s="594">
        <v>1</v>
      </c>
      <c r="I214" s="594">
        <v>414</v>
      </c>
      <c r="J214" s="594">
        <v>23</v>
      </c>
      <c r="K214" s="594">
        <v>9545</v>
      </c>
      <c r="L214" s="594">
        <v>1.7735042735042734</v>
      </c>
      <c r="M214" s="594">
        <v>415</v>
      </c>
      <c r="N214" s="594">
        <v>12</v>
      </c>
      <c r="O214" s="594">
        <v>4992</v>
      </c>
      <c r="P214" s="616">
        <v>0.92753623188405798</v>
      </c>
      <c r="Q214" s="595">
        <v>416</v>
      </c>
    </row>
    <row r="215" spans="1:17" ht="14.4" customHeight="1" x14ac:dyDescent="0.3">
      <c r="A215" s="590" t="s">
        <v>3206</v>
      </c>
      <c r="B215" s="591" t="s">
        <v>2873</v>
      </c>
      <c r="C215" s="591" t="s">
        <v>2295</v>
      </c>
      <c r="D215" s="591" t="s">
        <v>3396</v>
      </c>
      <c r="E215" s="591" t="s">
        <v>3397</v>
      </c>
      <c r="F215" s="594">
        <v>3</v>
      </c>
      <c r="G215" s="594">
        <v>1272</v>
      </c>
      <c r="H215" s="594">
        <v>1</v>
      </c>
      <c r="I215" s="594">
        <v>424</v>
      </c>
      <c r="J215" s="594">
        <v>5</v>
      </c>
      <c r="K215" s="594">
        <v>2125</v>
      </c>
      <c r="L215" s="594">
        <v>1.6705974842767295</v>
      </c>
      <c r="M215" s="594">
        <v>425</v>
      </c>
      <c r="N215" s="594">
        <v>3</v>
      </c>
      <c r="O215" s="594">
        <v>1281</v>
      </c>
      <c r="P215" s="616">
        <v>1.0070754716981132</v>
      </c>
      <c r="Q215" s="595">
        <v>427</v>
      </c>
    </row>
    <row r="216" spans="1:17" ht="14.4" customHeight="1" x14ac:dyDescent="0.3">
      <c r="A216" s="590" t="s">
        <v>3206</v>
      </c>
      <c r="B216" s="591" t="s">
        <v>2873</v>
      </c>
      <c r="C216" s="591" t="s">
        <v>2295</v>
      </c>
      <c r="D216" s="591" t="s">
        <v>3398</v>
      </c>
      <c r="E216" s="591" t="s">
        <v>3399</v>
      </c>
      <c r="F216" s="594">
        <v>6</v>
      </c>
      <c r="G216" s="594">
        <v>12696</v>
      </c>
      <c r="H216" s="594">
        <v>1</v>
      </c>
      <c r="I216" s="594">
        <v>2116</v>
      </c>
      <c r="J216" s="594">
        <v>45</v>
      </c>
      <c r="K216" s="594">
        <v>95310</v>
      </c>
      <c r="L216" s="594">
        <v>7.5070888468809072</v>
      </c>
      <c r="M216" s="594">
        <v>2118</v>
      </c>
      <c r="N216" s="594">
        <v>36</v>
      </c>
      <c r="O216" s="594">
        <v>76296</v>
      </c>
      <c r="P216" s="616">
        <v>6.0094517958412101</v>
      </c>
      <c r="Q216" s="595">
        <v>2119.3333333333335</v>
      </c>
    </row>
    <row r="217" spans="1:17" ht="14.4" customHeight="1" x14ac:dyDescent="0.3">
      <c r="A217" s="590" t="s">
        <v>3206</v>
      </c>
      <c r="B217" s="591" t="s">
        <v>2873</v>
      </c>
      <c r="C217" s="591" t="s">
        <v>2295</v>
      </c>
      <c r="D217" s="591" t="s">
        <v>3400</v>
      </c>
      <c r="E217" s="591" t="s">
        <v>3359</v>
      </c>
      <c r="F217" s="594">
        <v>16</v>
      </c>
      <c r="G217" s="594">
        <v>29792</v>
      </c>
      <c r="H217" s="594">
        <v>1</v>
      </c>
      <c r="I217" s="594">
        <v>1862</v>
      </c>
      <c r="J217" s="594">
        <v>26</v>
      </c>
      <c r="K217" s="594">
        <v>48464</v>
      </c>
      <c r="L217" s="594">
        <v>1.6267454350161117</v>
      </c>
      <c r="M217" s="594">
        <v>1864</v>
      </c>
      <c r="N217" s="594">
        <v>43</v>
      </c>
      <c r="O217" s="594">
        <v>80194</v>
      </c>
      <c r="P217" s="616">
        <v>2.6917964554242748</v>
      </c>
      <c r="Q217" s="595">
        <v>1864.9767441860465</v>
      </c>
    </row>
    <row r="218" spans="1:17" ht="14.4" customHeight="1" x14ac:dyDescent="0.3">
      <c r="A218" s="590" t="s">
        <v>3206</v>
      </c>
      <c r="B218" s="591" t="s">
        <v>2873</v>
      </c>
      <c r="C218" s="591" t="s">
        <v>2295</v>
      </c>
      <c r="D218" s="591" t="s">
        <v>3401</v>
      </c>
      <c r="E218" s="591" t="s">
        <v>3402</v>
      </c>
      <c r="F218" s="594">
        <v>3</v>
      </c>
      <c r="G218" s="594">
        <v>2730</v>
      </c>
      <c r="H218" s="594">
        <v>1</v>
      </c>
      <c r="I218" s="594">
        <v>910</v>
      </c>
      <c r="J218" s="594">
        <v>2</v>
      </c>
      <c r="K218" s="594">
        <v>1824</v>
      </c>
      <c r="L218" s="594">
        <v>0.66813186813186809</v>
      </c>
      <c r="M218" s="594">
        <v>912</v>
      </c>
      <c r="N218" s="594">
        <v>2</v>
      </c>
      <c r="O218" s="594">
        <v>1827</v>
      </c>
      <c r="P218" s="616">
        <v>0.66923076923076918</v>
      </c>
      <c r="Q218" s="595">
        <v>913.5</v>
      </c>
    </row>
    <row r="219" spans="1:17" ht="14.4" customHeight="1" x14ac:dyDescent="0.3">
      <c r="A219" s="590" t="s">
        <v>3206</v>
      </c>
      <c r="B219" s="591" t="s">
        <v>2873</v>
      </c>
      <c r="C219" s="591" t="s">
        <v>2295</v>
      </c>
      <c r="D219" s="591" t="s">
        <v>3403</v>
      </c>
      <c r="E219" s="591" t="s">
        <v>3404</v>
      </c>
      <c r="F219" s="594">
        <v>12</v>
      </c>
      <c r="G219" s="594">
        <v>100536</v>
      </c>
      <c r="H219" s="594">
        <v>1</v>
      </c>
      <c r="I219" s="594">
        <v>8378</v>
      </c>
      <c r="J219" s="594">
        <v>16</v>
      </c>
      <c r="K219" s="594">
        <v>134144</v>
      </c>
      <c r="L219" s="594">
        <v>1.3342882151667064</v>
      </c>
      <c r="M219" s="594">
        <v>8384</v>
      </c>
      <c r="N219" s="594">
        <v>29</v>
      </c>
      <c r="O219" s="594">
        <v>243257</v>
      </c>
      <c r="P219" s="616">
        <v>2.419600938967136</v>
      </c>
      <c r="Q219" s="595">
        <v>8388.1724137931033</v>
      </c>
    </row>
    <row r="220" spans="1:17" ht="14.4" customHeight="1" x14ac:dyDescent="0.3">
      <c r="A220" s="590" t="s">
        <v>3206</v>
      </c>
      <c r="B220" s="591" t="s">
        <v>2873</v>
      </c>
      <c r="C220" s="591" t="s">
        <v>2295</v>
      </c>
      <c r="D220" s="591" t="s">
        <v>3405</v>
      </c>
      <c r="E220" s="591" t="s">
        <v>3406</v>
      </c>
      <c r="F220" s="594">
        <v>1</v>
      </c>
      <c r="G220" s="594">
        <v>1988</v>
      </c>
      <c r="H220" s="594">
        <v>1</v>
      </c>
      <c r="I220" s="594">
        <v>1988</v>
      </c>
      <c r="J220" s="594">
        <v>2</v>
      </c>
      <c r="K220" s="594">
        <v>3986</v>
      </c>
      <c r="L220" s="594">
        <v>2.0050301810865192</v>
      </c>
      <c r="M220" s="594">
        <v>1993</v>
      </c>
      <c r="N220" s="594">
        <v>1</v>
      </c>
      <c r="O220" s="594">
        <v>2001</v>
      </c>
      <c r="P220" s="616">
        <v>1.0065392354124749</v>
      </c>
      <c r="Q220" s="595">
        <v>2001</v>
      </c>
    </row>
    <row r="221" spans="1:17" ht="14.4" customHeight="1" x14ac:dyDescent="0.3">
      <c r="A221" s="590" t="s">
        <v>3206</v>
      </c>
      <c r="B221" s="591" t="s">
        <v>2873</v>
      </c>
      <c r="C221" s="591" t="s">
        <v>2295</v>
      </c>
      <c r="D221" s="591" t="s">
        <v>3407</v>
      </c>
      <c r="E221" s="591" t="s">
        <v>3408</v>
      </c>
      <c r="F221" s="594"/>
      <c r="G221" s="594"/>
      <c r="H221" s="594"/>
      <c r="I221" s="594"/>
      <c r="J221" s="594"/>
      <c r="K221" s="594"/>
      <c r="L221" s="594"/>
      <c r="M221" s="594"/>
      <c r="N221" s="594">
        <v>2</v>
      </c>
      <c r="O221" s="594">
        <v>11386</v>
      </c>
      <c r="P221" s="616"/>
      <c r="Q221" s="595">
        <v>5693</v>
      </c>
    </row>
    <row r="222" spans="1:17" ht="14.4" customHeight="1" x14ac:dyDescent="0.3">
      <c r="A222" s="590" t="s">
        <v>3206</v>
      </c>
      <c r="B222" s="591" t="s">
        <v>2873</v>
      </c>
      <c r="C222" s="591" t="s">
        <v>2295</v>
      </c>
      <c r="D222" s="591" t="s">
        <v>3409</v>
      </c>
      <c r="E222" s="591" t="s">
        <v>3410</v>
      </c>
      <c r="F222" s="594">
        <v>1</v>
      </c>
      <c r="G222" s="594">
        <v>913</v>
      </c>
      <c r="H222" s="594">
        <v>1</v>
      </c>
      <c r="I222" s="594">
        <v>913</v>
      </c>
      <c r="J222" s="594"/>
      <c r="K222" s="594"/>
      <c r="L222" s="594"/>
      <c r="M222" s="594"/>
      <c r="N222" s="594"/>
      <c r="O222" s="594"/>
      <c r="P222" s="616"/>
      <c r="Q222" s="595"/>
    </row>
    <row r="223" spans="1:17" ht="14.4" customHeight="1" x14ac:dyDescent="0.3">
      <c r="A223" s="590" t="s">
        <v>3206</v>
      </c>
      <c r="B223" s="591" t="s">
        <v>2873</v>
      </c>
      <c r="C223" s="591" t="s">
        <v>2295</v>
      </c>
      <c r="D223" s="591" t="s">
        <v>3411</v>
      </c>
      <c r="E223" s="591" t="s">
        <v>3412</v>
      </c>
      <c r="F223" s="594"/>
      <c r="G223" s="594"/>
      <c r="H223" s="594"/>
      <c r="I223" s="594"/>
      <c r="J223" s="594"/>
      <c r="K223" s="594"/>
      <c r="L223" s="594"/>
      <c r="M223" s="594"/>
      <c r="N223" s="594">
        <v>2</v>
      </c>
      <c r="O223" s="594">
        <v>1118</v>
      </c>
      <c r="P223" s="616"/>
      <c r="Q223" s="595">
        <v>559</v>
      </c>
    </row>
    <row r="224" spans="1:17" ht="14.4" customHeight="1" x14ac:dyDescent="0.3">
      <c r="A224" s="590" t="s">
        <v>3206</v>
      </c>
      <c r="B224" s="591" t="s">
        <v>2873</v>
      </c>
      <c r="C224" s="591" t="s">
        <v>2295</v>
      </c>
      <c r="D224" s="591" t="s">
        <v>3413</v>
      </c>
      <c r="E224" s="591" t="s">
        <v>3414</v>
      </c>
      <c r="F224" s="594"/>
      <c r="G224" s="594"/>
      <c r="H224" s="594"/>
      <c r="I224" s="594"/>
      <c r="J224" s="594">
        <v>1</v>
      </c>
      <c r="K224" s="594">
        <v>365</v>
      </c>
      <c r="L224" s="594"/>
      <c r="M224" s="594">
        <v>365</v>
      </c>
      <c r="N224" s="594"/>
      <c r="O224" s="594"/>
      <c r="P224" s="616"/>
      <c r="Q224" s="595"/>
    </row>
    <row r="225" spans="1:17" ht="14.4" customHeight="1" x14ac:dyDescent="0.3">
      <c r="A225" s="590" t="s">
        <v>3415</v>
      </c>
      <c r="B225" s="591" t="s">
        <v>3416</v>
      </c>
      <c r="C225" s="591" t="s">
        <v>2295</v>
      </c>
      <c r="D225" s="591" t="s">
        <v>3417</v>
      </c>
      <c r="E225" s="591" t="s">
        <v>3418</v>
      </c>
      <c r="F225" s="594">
        <v>342</v>
      </c>
      <c r="G225" s="594">
        <v>69084</v>
      </c>
      <c r="H225" s="594">
        <v>1</v>
      </c>
      <c r="I225" s="594">
        <v>202</v>
      </c>
      <c r="J225" s="594">
        <v>453</v>
      </c>
      <c r="K225" s="594">
        <v>91959</v>
      </c>
      <c r="L225" s="594">
        <v>1.3311186381796074</v>
      </c>
      <c r="M225" s="594">
        <v>203</v>
      </c>
      <c r="N225" s="594">
        <v>450</v>
      </c>
      <c r="O225" s="594">
        <v>91700</v>
      </c>
      <c r="P225" s="616">
        <v>1.3273695790631694</v>
      </c>
      <c r="Q225" s="595">
        <v>203.77777777777777</v>
      </c>
    </row>
    <row r="226" spans="1:17" ht="14.4" customHeight="1" x14ac:dyDescent="0.3">
      <c r="A226" s="590" t="s">
        <v>3415</v>
      </c>
      <c r="B226" s="591" t="s">
        <v>3416</v>
      </c>
      <c r="C226" s="591" t="s">
        <v>2295</v>
      </c>
      <c r="D226" s="591" t="s">
        <v>3419</v>
      </c>
      <c r="E226" s="591" t="s">
        <v>3418</v>
      </c>
      <c r="F226" s="594"/>
      <c r="G226" s="594"/>
      <c r="H226" s="594"/>
      <c r="I226" s="594"/>
      <c r="J226" s="594"/>
      <c r="K226" s="594"/>
      <c r="L226" s="594"/>
      <c r="M226" s="594"/>
      <c r="N226" s="594">
        <v>1</v>
      </c>
      <c r="O226" s="594">
        <v>84</v>
      </c>
      <c r="P226" s="616"/>
      <c r="Q226" s="595">
        <v>84</v>
      </c>
    </row>
    <row r="227" spans="1:17" ht="14.4" customHeight="1" x14ac:dyDescent="0.3">
      <c r="A227" s="590" t="s">
        <v>3415</v>
      </c>
      <c r="B227" s="591" t="s">
        <v>3416</v>
      </c>
      <c r="C227" s="591" t="s">
        <v>2295</v>
      </c>
      <c r="D227" s="591" t="s">
        <v>3420</v>
      </c>
      <c r="E227" s="591" t="s">
        <v>3421</v>
      </c>
      <c r="F227" s="594">
        <v>126</v>
      </c>
      <c r="G227" s="594">
        <v>36666</v>
      </c>
      <c r="H227" s="594">
        <v>1</v>
      </c>
      <c r="I227" s="594">
        <v>291</v>
      </c>
      <c r="J227" s="594">
        <v>172</v>
      </c>
      <c r="K227" s="594">
        <v>50224</v>
      </c>
      <c r="L227" s="594">
        <v>1.3697703594610811</v>
      </c>
      <c r="M227" s="594">
        <v>292</v>
      </c>
      <c r="N227" s="594">
        <v>186</v>
      </c>
      <c r="O227" s="594">
        <v>54400</v>
      </c>
      <c r="P227" s="616">
        <v>1.4836633393334424</v>
      </c>
      <c r="Q227" s="595">
        <v>292.47311827956992</v>
      </c>
    </row>
    <row r="228" spans="1:17" ht="14.4" customHeight="1" x14ac:dyDescent="0.3">
      <c r="A228" s="590" t="s">
        <v>3415</v>
      </c>
      <c r="B228" s="591" t="s">
        <v>3416</v>
      </c>
      <c r="C228" s="591" t="s">
        <v>2295</v>
      </c>
      <c r="D228" s="591" t="s">
        <v>3422</v>
      </c>
      <c r="E228" s="591" t="s">
        <v>3423</v>
      </c>
      <c r="F228" s="594">
        <v>3</v>
      </c>
      <c r="G228" s="594">
        <v>276</v>
      </c>
      <c r="H228" s="594">
        <v>1</v>
      </c>
      <c r="I228" s="594">
        <v>92</v>
      </c>
      <c r="J228" s="594">
        <v>6</v>
      </c>
      <c r="K228" s="594">
        <v>558</v>
      </c>
      <c r="L228" s="594">
        <v>2.0217391304347827</v>
      </c>
      <c r="M228" s="594">
        <v>93</v>
      </c>
      <c r="N228" s="594">
        <v>6</v>
      </c>
      <c r="O228" s="594">
        <v>558</v>
      </c>
      <c r="P228" s="616">
        <v>2.0217391304347827</v>
      </c>
      <c r="Q228" s="595">
        <v>93</v>
      </c>
    </row>
    <row r="229" spans="1:17" ht="14.4" customHeight="1" x14ac:dyDescent="0.3">
      <c r="A229" s="590" t="s">
        <v>3415</v>
      </c>
      <c r="B229" s="591" t="s">
        <v>3416</v>
      </c>
      <c r="C229" s="591" t="s">
        <v>2295</v>
      </c>
      <c r="D229" s="591" t="s">
        <v>3424</v>
      </c>
      <c r="E229" s="591" t="s">
        <v>3425</v>
      </c>
      <c r="F229" s="594">
        <v>2</v>
      </c>
      <c r="G229" s="594">
        <v>438</v>
      </c>
      <c r="H229" s="594">
        <v>1</v>
      </c>
      <c r="I229" s="594">
        <v>219</v>
      </c>
      <c r="J229" s="594"/>
      <c r="K229" s="594"/>
      <c r="L229" s="594"/>
      <c r="M229" s="594"/>
      <c r="N229" s="594"/>
      <c r="O229" s="594"/>
      <c r="P229" s="616"/>
      <c r="Q229" s="595"/>
    </row>
    <row r="230" spans="1:17" ht="14.4" customHeight="1" x14ac:dyDescent="0.3">
      <c r="A230" s="590" t="s">
        <v>3415</v>
      </c>
      <c r="B230" s="591" t="s">
        <v>3416</v>
      </c>
      <c r="C230" s="591" t="s">
        <v>2295</v>
      </c>
      <c r="D230" s="591" t="s">
        <v>3426</v>
      </c>
      <c r="E230" s="591" t="s">
        <v>3427</v>
      </c>
      <c r="F230" s="594">
        <v>56</v>
      </c>
      <c r="G230" s="594">
        <v>7448</v>
      </c>
      <c r="H230" s="594">
        <v>1</v>
      </c>
      <c r="I230" s="594">
        <v>133</v>
      </c>
      <c r="J230" s="594">
        <v>81</v>
      </c>
      <c r="K230" s="594">
        <v>10854</v>
      </c>
      <c r="L230" s="594">
        <v>1.4573039742212675</v>
      </c>
      <c r="M230" s="594">
        <v>134</v>
      </c>
      <c r="N230" s="594">
        <v>88</v>
      </c>
      <c r="O230" s="594">
        <v>11829</v>
      </c>
      <c r="P230" s="616">
        <v>1.5882116004296456</v>
      </c>
      <c r="Q230" s="595">
        <v>134.42045454545453</v>
      </c>
    </row>
    <row r="231" spans="1:17" ht="14.4" customHeight="1" x14ac:dyDescent="0.3">
      <c r="A231" s="590" t="s">
        <v>3415</v>
      </c>
      <c r="B231" s="591" t="s">
        <v>3416</v>
      </c>
      <c r="C231" s="591" t="s">
        <v>2295</v>
      </c>
      <c r="D231" s="591" t="s">
        <v>3428</v>
      </c>
      <c r="E231" s="591" t="s">
        <v>3427</v>
      </c>
      <c r="F231" s="594">
        <v>1</v>
      </c>
      <c r="G231" s="594">
        <v>174</v>
      </c>
      <c r="H231" s="594">
        <v>1</v>
      </c>
      <c r="I231" s="594">
        <v>174</v>
      </c>
      <c r="J231" s="594">
        <v>1</v>
      </c>
      <c r="K231" s="594">
        <v>175</v>
      </c>
      <c r="L231" s="594">
        <v>1.0057471264367817</v>
      </c>
      <c r="M231" s="594">
        <v>175</v>
      </c>
      <c r="N231" s="594">
        <v>1</v>
      </c>
      <c r="O231" s="594">
        <v>175</v>
      </c>
      <c r="P231" s="616">
        <v>1.0057471264367817</v>
      </c>
      <c r="Q231" s="595">
        <v>175</v>
      </c>
    </row>
    <row r="232" spans="1:17" ht="14.4" customHeight="1" x14ac:dyDescent="0.3">
      <c r="A232" s="590" t="s">
        <v>3415</v>
      </c>
      <c r="B232" s="591" t="s">
        <v>3416</v>
      </c>
      <c r="C232" s="591" t="s">
        <v>2295</v>
      </c>
      <c r="D232" s="591" t="s">
        <v>3429</v>
      </c>
      <c r="E232" s="591" t="s">
        <v>3430</v>
      </c>
      <c r="F232" s="594">
        <v>6</v>
      </c>
      <c r="G232" s="594">
        <v>948</v>
      </c>
      <c r="H232" s="594">
        <v>1</v>
      </c>
      <c r="I232" s="594">
        <v>158</v>
      </c>
      <c r="J232" s="594">
        <v>7</v>
      </c>
      <c r="K232" s="594">
        <v>1113</v>
      </c>
      <c r="L232" s="594">
        <v>1.1740506329113924</v>
      </c>
      <c r="M232" s="594">
        <v>159</v>
      </c>
      <c r="N232" s="594">
        <v>8</v>
      </c>
      <c r="O232" s="594">
        <v>1275</v>
      </c>
      <c r="P232" s="616">
        <v>1.3449367088607596</v>
      </c>
      <c r="Q232" s="595">
        <v>159.375</v>
      </c>
    </row>
    <row r="233" spans="1:17" ht="14.4" customHeight="1" x14ac:dyDescent="0.3">
      <c r="A233" s="590" t="s">
        <v>3415</v>
      </c>
      <c r="B233" s="591" t="s">
        <v>3416</v>
      </c>
      <c r="C233" s="591" t="s">
        <v>2295</v>
      </c>
      <c r="D233" s="591" t="s">
        <v>3431</v>
      </c>
      <c r="E233" s="591" t="s">
        <v>3432</v>
      </c>
      <c r="F233" s="594">
        <v>1</v>
      </c>
      <c r="G233" s="594">
        <v>382</v>
      </c>
      <c r="H233" s="594">
        <v>1</v>
      </c>
      <c r="I233" s="594">
        <v>382</v>
      </c>
      <c r="J233" s="594"/>
      <c r="K233" s="594"/>
      <c r="L233" s="594"/>
      <c r="M233" s="594"/>
      <c r="N233" s="594"/>
      <c r="O233" s="594"/>
      <c r="P233" s="616"/>
      <c r="Q233" s="595"/>
    </row>
    <row r="234" spans="1:17" ht="14.4" customHeight="1" x14ac:dyDescent="0.3">
      <c r="A234" s="590" t="s">
        <v>3415</v>
      </c>
      <c r="B234" s="591" t="s">
        <v>3416</v>
      </c>
      <c r="C234" s="591" t="s">
        <v>2295</v>
      </c>
      <c r="D234" s="591" t="s">
        <v>3433</v>
      </c>
      <c r="E234" s="591" t="s">
        <v>3434</v>
      </c>
      <c r="F234" s="594">
        <v>30</v>
      </c>
      <c r="G234" s="594">
        <v>7830</v>
      </c>
      <c r="H234" s="594">
        <v>1</v>
      </c>
      <c r="I234" s="594">
        <v>261</v>
      </c>
      <c r="J234" s="594">
        <v>71</v>
      </c>
      <c r="K234" s="594">
        <v>18602</v>
      </c>
      <c r="L234" s="594">
        <v>2.3757343550446999</v>
      </c>
      <c r="M234" s="594">
        <v>262</v>
      </c>
      <c r="N234" s="594">
        <v>89</v>
      </c>
      <c r="O234" s="594">
        <v>23435</v>
      </c>
      <c r="P234" s="616">
        <v>2.9929757343550447</v>
      </c>
      <c r="Q234" s="595">
        <v>263.31460674157302</v>
      </c>
    </row>
    <row r="235" spans="1:17" ht="14.4" customHeight="1" x14ac:dyDescent="0.3">
      <c r="A235" s="590" t="s">
        <v>3415</v>
      </c>
      <c r="B235" s="591" t="s">
        <v>3416</v>
      </c>
      <c r="C235" s="591" t="s">
        <v>2295</v>
      </c>
      <c r="D235" s="591" t="s">
        <v>3435</v>
      </c>
      <c r="E235" s="591" t="s">
        <v>3436</v>
      </c>
      <c r="F235" s="594">
        <v>74</v>
      </c>
      <c r="G235" s="594">
        <v>10360</v>
      </c>
      <c r="H235" s="594">
        <v>1</v>
      </c>
      <c r="I235" s="594">
        <v>140</v>
      </c>
      <c r="J235" s="594">
        <v>88</v>
      </c>
      <c r="K235" s="594">
        <v>12408</v>
      </c>
      <c r="L235" s="594">
        <v>1.1976833976833976</v>
      </c>
      <c r="M235" s="594">
        <v>141</v>
      </c>
      <c r="N235" s="594">
        <v>106</v>
      </c>
      <c r="O235" s="594">
        <v>14946</v>
      </c>
      <c r="P235" s="616">
        <v>1.4426640926640926</v>
      </c>
      <c r="Q235" s="595">
        <v>141</v>
      </c>
    </row>
    <row r="236" spans="1:17" ht="14.4" customHeight="1" x14ac:dyDescent="0.3">
      <c r="A236" s="590" t="s">
        <v>3415</v>
      </c>
      <c r="B236" s="591" t="s">
        <v>3416</v>
      </c>
      <c r="C236" s="591" t="s">
        <v>2295</v>
      </c>
      <c r="D236" s="591" t="s">
        <v>3437</v>
      </c>
      <c r="E236" s="591" t="s">
        <v>3436</v>
      </c>
      <c r="F236" s="594">
        <v>56</v>
      </c>
      <c r="G236" s="594">
        <v>4368</v>
      </c>
      <c r="H236" s="594">
        <v>1</v>
      </c>
      <c r="I236" s="594">
        <v>78</v>
      </c>
      <c r="J236" s="594">
        <v>81</v>
      </c>
      <c r="K236" s="594">
        <v>6318</v>
      </c>
      <c r="L236" s="594">
        <v>1.4464285714285714</v>
      </c>
      <c r="M236" s="594">
        <v>78</v>
      </c>
      <c r="N236" s="594">
        <v>88</v>
      </c>
      <c r="O236" s="594">
        <v>6864</v>
      </c>
      <c r="P236" s="616">
        <v>1.5714285714285714</v>
      </c>
      <c r="Q236" s="595">
        <v>78</v>
      </c>
    </row>
    <row r="237" spans="1:17" ht="14.4" customHeight="1" x14ac:dyDescent="0.3">
      <c r="A237" s="590" t="s">
        <v>3415</v>
      </c>
      <c r="B237" s="591" t="s">
        <v>3416</v>
      </c>
      <c r="C237" s="591" t="s">
        <v>2295</v>
      </c>
      <c r="D237" s="591" t="s">
        <v>3438</v>
      </c>
      <c r="E237" s="591" t="s">
        <v>3439</v>
      </c>
      <c r="F237" s="594">
        <v>74</v>
      </c>
      <c r="G237" s="594">
        <v>22348</v>
      </c>
      <c r="H237" s="594">
        <v>1</v>
      </c>
      <c r="I237" s="594">
        <v>302</v>
      </c>
      <c r="J237" s="594">
        <v>88</v>
      </c>
      <c r="K237" s="594">
        <v>26664</v>
      </c>
      <c r="L237" s="594">
        <v>1.1931269017361732</v>
      </c>
      <c r="M237" s="594">
        <v>303</v>
      </c>
      <c r="N237" s="594">
        <v>106</v>
      </c>
      <c r="O237" s="594">
        <v>32274</v>
      </c>
      <c r="P237" s="616">
        <v>1.4441560766064077</v>
      </c>
      <c r="Q237" s="595">
        <v>304.47169811320754</v>
      </c>
    </row>
    <row r="238" spans="1:17" ht="14.4" customHeight="1" x14ac:dyDescent="0.3">
      <c r="A238" s="590" t="s">
        <v>3415</v>
      </c>
      <c r="B238" s="591" t="s">
        <v>3416</v>
      </c>
      <c r="C238" s="591" t="s">
        <v>2295</v>
      </c>
      <c r="D238" s="591" t="s">
        <v>3440</v>
      </c>
      <c r="E238" s="591" t="s">
        <v>3441</v>
      </c>
      <c r="F238" s="594">
        <v>19</v>
      </c>
      <c r="G238" s="594">
        <v>3021</v>
      </c>
      <c r="H238" s="594">
        <v>1</v>
      </c>
      <c r="I238" s="594">
        <v>159</v>
      </c>
      <c r="J238" s="594">
        <v>14</v>
      </c>
      <c r="K238" s="594">
        <v>2240</v>
      </c>
      <c r="L238" s="594">
        <v>0.74147633234028465</v>
      </c>
      <c r="M238" s="594">
        <v>160</v>
      </c>
      <c r="N238" s="594">
        <v>18</v>
      </c>
      <c r="O238" s="594">
        <v>2884</v>
      </c>
      <c r="P238" s="616">
        <v>0.95465077788811648</v>
      </c>
      <c r="Q238" s="595">
        <v>160.22222222222223</v>
      </c>
    </row>
    <row r="239" spans="1:17" ht="14.4" customHeight="1" x14ac:dyDescent="0.3">
      <c r="A239" s="590" t="s">
        <v>3415</v>
      </c>
      <c r="B239" s="591" t="s">
        <v>3416</v>
      </c>
      <c r="C239" s="591" t="s">
        <v>2295</v>
      </c>
      <c r="D239" s="591" t="s">
        <v>3442</v>
      </c>
      <c r="E239" s="591" t="s">
        <v>3418</v>
      </c>
      <c r="F239" s="594">
        <v>153</v>
      </c>
      <c r="G239" s="594">
        <v>10710</v>
      </c>
      <c r="H239" s="594">
        <v>1</v>
      </c>
      <c r="I239" s="594">
        <v>70</v>
      </c>
      <c r="J239" s="594">
        <v>230</v>
      </c>
      <c r="K239" s="594">
        <v>16100</v>
      </c>
      <c r="L239" s="594">
        <v>1.5032679738562091</v>
      </c>
      <c r="M239" s="594">
        <v>70</v>
      </c>
      <c r="N239" s="594">
        <v>240</v>
      </c>
      <c r="O239" s="594">
        <v>16900</v>
      </c>
      <c r="P239" s="616">
        <v>1.5779645191409897</v>
      </c>
      <c r="Q239" s="595">
        <v>70.416666666666671</v>
      </c>
    </row>
    <row r="240" spans="1:17" ht="14.4" customHeight="1" x14ac:dyDescent="0.3">
      <c r="A240" s="590" t="s">
        <v>3415</v>
      </c>
      <c r="B240" s="591" t="s">
        <v>3416</v>
      </c>
      <c r="C240" s="591" t="s">
        <v>2295</v>
      </c>
      <c r="D240" s="591" t="s">
        <v>3443</v>
      </c>
      <c r="E240" s="591" t="s">
        <v>3444</v>
      </c>
      <c r="F240" s="594">
        <v>7</v>
      </c>
      <c r="G240" s="594">
        <v>1505</v>
      </c>
      <c r="H240" s="594">
        <v>1</v>
      </c>
      <c r="I240" s="594">
        <v>215</v>
      </c>
      <c r="J240" s="594">
        <v>3</v>
      </c>
      <c r="K240" s="594">
        <v>648</v>
      </c>
      <c r="L240" s="594">
        <v>0.43056478405315612</v>
      </c>
      <c r="M240" s="594">
        <v>216</v>
      </c>
      <c r="N240" s="594">
        <v>1</v>
      </c>
      <c r="O240" s="594">
        <v>216</v>
      </c>
      <c r="P240" s="616">
        <v>0.14352159468438538</v>
      </c>
      <c r="Q240" s="595">
        <v>216</v>
      </c>
    </row>
    <row r="241" spans="1:17" ht="14.4" customHeight="1" x14ac:dyDescent="0.3">
      <c r="A241" s="590" t="s">
        <v>3415</v>
      </c>
      <c r="B241" s="591" t="s">
        <v>3416</v>
      </c>
      <c r="C241" s="591" t="s">
        <v>2295</v>
      </c>
      <c r="D241" s="591" t="s">
        <v>3445</v>
      </c>
      <c r="E241" s="591" t="s">
        <v>3446</v>
      </c>
      <c r="F241" s="594">
        <v>1</v>
      </c>
      <c r="G241" s="594">
        <v>1186</v>
      </c>
      <c r="H241" s="594">
        <v>1</v>
      </c>
      <c r="I241" s="594">
        <v>1186</v>
      </c>
      <c r="J241" s="594">
        <v>6</v>
      </c>
      <c r="K241" s="594">
        <v>7134</v>
      </c>
      <c r="L241" s="594">
        <v>6.0151770657672854</v>
      </c>
      <c r="M241" s="594">
        <v>1189</v>
      </c>
      <c r="N241" s="594">
        <v>5</v>
      </c>
      <c r="O241" s="594">
        <v>5945</v>
      </c>
      <c r="P241" s="616">
        <v>5.0126475548060707</v>
      </c>
      <c r="Q241" s="595">
        <v>1189</v>
      </c>
    </row>
    <row r="242" spans="1:17" ht="14.4" customHeight="1" x14ac:dyDescent="0.3">
      <c r="A242" s="590" t="s">
        <v>3415</v>
      </c>
      <c r="B242" s="591" t="s">
        <v>3416</v>
      </c>
      <c r="C242" s="591" t="s">
        <v>2295</v>
      </c>
      <c r="D242" s="591" t="s">
        <v>3447</v>
      </c>
      <c r="E242" s="591" t="s">
        <v>3448</v>
      </c>
      <c r="F242" s="594">
        <v>4</v>
      </c>
      <c r="G242" s="594">
        <v>428</v>
      </c>
      <c r="H242" s="594">
        <v>1</v>
      </c>
      <c r="I242" s="594">
        <v>107</v>
      </c>
      <c r="J242" s="594">
        <v>6</v>
      </c>
      <c r="K242" s="594">
        <v>648</v>
      </c>
      <c r="L242" s="594">
        <v>1.514018691588785</v>
      </c>
      <c r="M242" s="594">
        <v>108</v>
      </c>
      <c r="N242" s="594">
        <v>4</v>
      </c>
      <c r="O242" s="594">
        <v>432</v>
      </c>
      <c r="P242" s="616">
        <v>1.0093457943925233</v>
      </c>
      <c r="Q242" s="595">
        <v>108</v>
      </c>
    </row>
    <row r="243" spans="1:17" ht="14.4" customHeight="1" x14ac:dyDescent="0.3">
      <c r="A243" s="590" t="s">
        <v>3415</v>
      </c>
      <c r="B243" s="591" t="s">
        <v>3416</v>
      </c>
      <c r="C243" s="591" t="s">
        <v>2295</v>
      </c>
      <c r="D243" s="591" t="s">
        <v>3449</v>
      </c>
      <c r="E243" s="591" t="s">
        <v>3450</v>
      </c>
      <c r="F243" s="594">
        <v>3</v>
      </c>
      <c r="G243" s="594">
        <v>954</v>
      </c>
      <c r="H243" s="594">
        <v>1</v>
      </c>
      <c r="I243" s="594">
        <v>318</v>
      </c>
      <c r="J243" s="594">
        <v>1</v>
      </c>
      <c r="K243" s="594">
        <v>319</v>
      </c>
      <c r="L243" s="594">
        <v>0.33438155136268344</v>
      </c>
      <c r="M243" s="594">
        <v>319</v>
      </c>
      <c r="N243" s="594"/>
      <c r="O243" s="594"/>
      <c r="P243" s="616"/>
      <c r="Q243" s="595"/>
    </row>
    <row r="244" spans="1:17" ht="14.4" customHeight="1" x14ac:dyDescent="0.3">
      <c r="A244" s="590" t="s">
        <v>3415</v>
      </c>
      <c r="B244" s="591" t="s">
        <v>3416</v>
      </c>
      <c r="C244" s="591" t="s">
        <v>2295</v>
      </c>
      <c r="D244" s="591" t="s">
        <v>3451</v>
      </c>
      <c r="E244" s="591" t="s">
        <v>3452</v>
      </c>
      <c r="F244" s="594"/>
      <c r="G244" s="594"/>
      <c r="H244" s="594"/>
      <c r="I244" s="594"/>
      <c r="J244" s="594"/>
      <c r="K244" s="594"/>
      <c r="L244" s="594"/>
      <c r="M244" s="594"/>
      <c r="N244" s="594">
        <v>1</v>
      </c>
      <c r="O244" s="594">
        <v>144</v>
      </c>
      <c r="P244" s="616"/>
      <c r="Q244" s="595">
        <v>144</v>
      </c>
    </row>
    <row r="245" spans="1:17" ht="14.4" customHeight="1" x14ac:dyDescent="0.3">
      <c r="A245" s="590" t="s">
        <v>3415</v>
      </c>
      <c r="B245" s="591" t="s">
        <v>3416</v>
      </c>
      <c r="C245" s="591" t="s">
        <v>2295</v>
      </c>
      <c r="D245" s="591" t="s">
        <v>3453</v>
      </c>
      <c r="E245" s="591" t="s">
        <v>3454</v>
      </c>
      <c r="F245" s="594">
        <v>1</v>
      </c>
      <c r="G245" s="594">
        <v>1015</v>
      </c>
      <c r="H245" s="594">
        <v>1</v>
      </c>
      <c r="I245" s="594">
        <v>1015</v>
      </c>
      <c r="J245" s="594"/>
      <c r="K245" s="594"/>
      <c r="L245" s="594"/>
      <c r="M245" s="594"/>
      <c r="N245" s="594">
        <v>1</v>
      </c>
      <c r="O245" s="594">
        <v>1020</v>
      </c>
      <c r="P245" s="616">
        <v>1.0049261083743843</v>
      </c>
      <c r="Q245" s="595">
        <v>1020</v>
      </c>
    </row>
    <row r="246" spans="1:17" ht="14.4" customHeight="1" x14ac:dyDescent="0.3">
      <c r="A246" s="590" t="s">
        <v>3415</v>
      </c>
      <c r="B246" s="591" t="s">
        <v>3416</v>
      </c>
      <c r="C246" s="591" t="s">
        <v>2295</v>
      </c>
      <c r="D246" s="591" t="s">
        <v>3455</v>
      </c>
      <c r="E246" s="591" t="s">
        <v>3456</v>
      </c>
      <c r="F246" s="594"/>
      <c r="G246" s="594"/>
      <c r="H246" s="594"/>
      <c r="I246" s="594"/>
      <c r="J246" s="594"/>
      <c r="K246" s="594"/>
      <c r="L246" s="594"/>
      <c r="M246" s="594"/>
      <c r="N246" s="594">
        <v>1</v>
      </c>
      <c r="O246" s="594">
        <v>291</v>
      </c>
      <c r="P246" s="616"/>
      <c r="Q246" s="595">
        <v>291</v>
      </c>
    </row>
    <row r="247" spans="1:17" ht="14.4" customHeight="1" x14ac:dyDescent="0.3">
      <c r="A247" s="590" t="s">
        <v>3457</v>
      </c>
      <c r="B247" s="591" t="s">
        <v>3458</v>
      </c>
      <c r="C247" s="591" t="s">
        <v>2295</v>
      </c>
      <c r="D247" s="591" t="s">
        <v>3459</v>
      </c>
      <c r="E247" s="591" t="s">
        <v>3460</v>
      </c>
      <c r="F247" s="594">
        <v>330</v>
      </c>
      <c r="G247" s="594">
        <v>17490</v>
      </c>
      <c r="H247" s="594">
        <v>1</v>
      </c>
      <c r="I247" s="594">
        <v>53</v>
      </c>
      <c r="J247" s="594">
        <v>362</v>
      </c>
      <c r="K247" s="594">
        <v>19186</v>
      </c>
      <c r="L247" s="594">
        <v>1.0969696969696969</v>
      </c>
      <c r="M247" s="594">
        <v>53</v>
      </c>
      <c r="N247" s="594">
        <v>388</v>
      </c>
      <c r="O247" s="594">
        <v>20722</v>
      </c>
      <c r="P247" s="616">
        <v>1.1847913093196112</v>
      </c>
      <c r="Q247" s="595">
        <v>53.407216494845358</v>
      </c>
    </row>
    <row r="248" spans="1:17" ht="14.4" customHeight="1" x14ac:dyDescent="0.3">
      <c r="A248" s="590" t="s">
        <v>3457</v>
      </c>
      <c r="B248" s="591" t="s">
        <v>3458</v>
      </c>
      <c r="C248" s="591" t="s">
        <v>2295</v>
      </c>
      <c r="D248" s="591" t="s">
        <v>3461</v>
      </c>
      <c r="E248" s="591" t="s">
        <v>3462</v>
      </c>
      <c r="F248" s="594">
        <v>666</v>
      </c>
      <c r="G248" s="594">
        <v>79920</v>
      </c>
      <c r="H248" s="594">
        <v>1</v>
      </c>
      <c r="I248" s="594">
        <v>120</v>
      </c>
      <c r="J248" s="594">
        <v>587</v>
      </c>
      <c r="K248" s="594">
        <v>71027</v>
      </c>
      <c r="L248" s="594">
        <v>0.88872622622622621</v>
      </c>
      <c r="M248" s="594">
        <v>121</v>
      </c>
      <c r="N248" s="594">
        <v>601</v>
      </c>
      <c r="O248" s="594">
        <v>72991</v>
      </c>
      <c r="P248" s="616">
        <v>0.91330080080080078</v>
      </c>
      <c r="Q248" s="595">
        <v>121.44925124792013</v>
      </c>
    </row>
    <row r="249" spans="1:17" ht="14.4" customHeight="1" x14ac:dyDescent="0.3">
      <c r="A249" s="590" t="s">
        <v>3457</v>
      </c>
      <c r="B249" s="591" t="s">
        <v>3458</v>
      </c>
      <c r="C249" s="591" t="s">
        <v>2295</v>
      </c>
      <c r="D249" s="591" t="s">
        <v>3463</v>
      </c>
      <c r="E249" s="591" t="s">
        <v>3464</v>
      </c>
      <c r="F249" s="594">
        <v>46</v>
      </c>
      <c r="G249" s="594">
        <v>7958</v>
      </c>
      <c r="H249" s="594">
        <v>1</v>
      </c>
      <c r="I249" s="594">
        <v>173</v>
      </c>
      <c r="J249" s="594">
        <v>40</v>
      </c>
      <c r="K249" s="594">
        <v>6960</v>
      </c>
      <c r="L249" s="594">
        <v>0.87459160593113849</v>
      </c>
      <c r="M249" s="594">
        <v>174</v>
      </c>
      <c r="N249" s="594">
        <v>47</v>
      </c>
      <c r="O249" s="594">
        <v>8224</v>
      </c>
      <c r="P249" s="616">
        <v>1.0334254837898968</v>
      </c>
      <c r="Q249" s="595">
        <v>174.97872340425531</v>
      </c>
    </row>
    <row r="250" spans="1:17" ht="14.4" customHeight="1" x14ac:dyDescent="0.3">
      <c r="A250" s="590" t="s">
        <v>3457</v>
      </c>
      <c r="B250" s="591" t="s">
        <v>3458</v>
      </c>
      <c r="C250" s="591" t="s">
        <v>2295</v>
      </c>
      <c r="D250" s="591" t="s">
        <v>3465</v>
      </c>
      <c r="E250" s="591" t="s">
        <v>3466</v>
      </c>
      <c r="F250" s="594">
        <v>68</v>
      </c>
      <c r="G250" s="594">
        <v>25772</v>
      </c>
      <c r="H250" s="594">
        <v>1</v>
      </c>
      <c r="I250" s="594">
        <v>379</v>
      </c>
      <c r="J250" s="594">
        <v>65</v>
      </c>
      <c r="K250" s="594">
        <v>24700</v>
      </c>
      <c r="L250" s="594">
        <v>0.95840446996740647</v>
      </c>
      <c r="M250" s="594">
        <v>380</v>
      </c>
      <c r="N250" s="594">
        <v>91</v>
      </c>
      <c r="O250" s="594">
        <v>34694</v>
      </c>
      <c r="P250" s="616">
        <v>1.3461896632003725</v>
      </c>
      <c r="Q250" s="595">
        <v>381.25274725274727</v>
      </c>
    </row>
    <row r="251" spans="1:17" ht="14.4" customHeight="1" x14ac:dyDescent="0.3">
      <c r="A251" s="590" t="s">
        <v>3457</v>
      </c>
      <c r="B251" s="591" t="s">
        <v>3458</v>
      </c>
      <c r="C251" s="591" t="s">
        <v>2295</v>
      </c>
      <c r="D251" s="591" t="s">
        <v>3467</v>
      </c>
      <c r="E251" s="591" t="s">
        <v>3468</v>
      </c>
      <c r="F251" s="594">
        <v>45</v>
      </c>
      <c r="G251" s="594">
        <v>7515</v>
      </c>
      <c r="H251" s="594">
        <v>1</v>
      </c>
      <c r="I251" s="594">
        <v>167</v>
      </c>
      <c r="J251" s="594">
        <v>56</v>
      </c>
      <c r="K251" s="594">
        <v>9408</v>
      </c>
      <c r="L251" s="594">
        <v>1.2518962075848303</v>
      </c>
      <c r="M251" s="594">
        <v>168</v>
      </c>
      <c r="N251" s="594">
        <v>21</v>
      </c>
      <c r="O251" s="594">
        <v>3552</v>
      </c>
      <c r="P251" s="616">
        <v>0.47265469061876247</v>
      </c>
      <c r="Q251" s="595">
        <v>169.14285714285714</v>
      </c>
    </row>
    <row r="252" spans="1:17" ht="14.4" customHeight="1" x14ac:dyDescent="0.3">
      <c r="A252" s="590" t="s">
        <v>3457</v>
      </c>
      <c r="B252" s="591" t="s">
        <v>3458</v>
      </c>
      <c r="C252" s="591" t="s">
        <v>2295</v>
      </c>
      <c r="D252" s="591" t="s">
        <v>3469</v>
      </c>
      <c r="E252" s="591" t="s">
        <v>3470</v>
      </c>
      <c r="F252" s="594">
        <v>51</v>
      </c>
      <c r="G252" s="594">
        <v>15963</v>
      </c>
      <c r="H252" s="594">
        <v>1</v>
      </c>
      <c r="I252" s="594">
        <v>313</v>
      </c>
      <c r="J252" s="594">
        <v>39</v>
      </c>
      <c r="K252" s="594">
        <v>12324</v>
      </c>
      <c r="L252" s="594">
        <v>0.77203533170456684</v>
      </c>
      <c r="M252" s="594">
        <v>316</v>
      </c>
      <c r="N252" s="594">
        <v>31</v>
      </c>
      <c r="O252" s="594">
        <v>9884</v>
      </c>
      <c r="P252" s="616">
        <v>0.61918185804673309</v>
      </c>
      <c r="Q252" s="595">
        <v>318.83870967741933</v>
      </c>
    </row>
    <row r="253" spans="1:17" ht="14.4" customHeight="1" x14ac:dyDescent="0.3">
      <c r="A253" s="590" t="s">
        <v>3457</v>
      </c>
      <c r="B253" s="591" t="s">
        <v>3458</v>
      </c>
      <c r="C253" s="591" t="s">
        <v>2295</v>
      </c>
      <c r="D253" s="591" t="s">
        <v>3471</v>
      </c>
      <c r="E253" s="591" t="s">
        <v>3472</v>
      </c>
      <c r="F253" s="594">
        <v>205</v>
      </c>
      <c r="G253" s="594">
        <v>69085</v>
      </c>
      <c r="H253" s="594">
        <v>1</v>
      </c>
      <c r="I253" s="594">
        <v>337</v>
      </c>
      <c r="J253" s="594">
        <v>246</v>
      </c>
      <c r="K253" s="594">
        <v>83148</v>
      </c>
      <c r="L253" s="594">
        <v>1.2035608308605341</v>
      </c>
      <c r="M253" s="594">
        <v>338</v>
      </c>
      <c r="N253" s="594">
        <v>240</v>
      </c>
      <c r="O253" s="594">
        <v>81302</v>
      </c>
      <c r="P253" s="616">
        <v>1.176840124484331</v>
      </c>
      <c r="Q253" s="595">
        <v>338.75833333333333</v>
      </c>
    </row>
    <row r="254" spans="1:17" ht="14.4" customHeight="1" x14ac:dyDescent="0.3">
      <c r="A254" s="590" t="s">
        <v>3457</v>
      </c>
      <c r="B254" s="591" t="s">
        <v>3458</v>
      </c>
      <c r="C254" s="591" t="s">
        <v>2295</v>
      </c>
      <c r="D254" s="591" t="s">
        <v>3473</v>
      </c>
      <c r="E254" s="591" t="s">
        <v>3474</v>
      </c>
      <c r="F254" s="594">
        <v>32</v>
      </c>
      <c r="G254" s="594">
        <v>3424</v>
      </c>
      <c r="H254" s="594">
        <v>1</v>
      </c>
      <c r="I254" s="594">
        <v>107</v>
      </c>
      <c r="J254" s="594">
        <v>29</v>
      </c>
      <c r="K254" s="594">
        <v>3132</v>
      </c>
      <c r="L254" s="594">
        <v>0.91471962616822433</v>
      </c>
      <c r="M254" s="594">
        <v>108</v>
      </c>
      <c r="N254" s="594">
        <v>41</v>
      </c>
      <c r="O254" s="594">
        <v>4447</v>
      </c>
      <c r="P254" s="616">
        <v>1.2987733644859814</v>
      </c>
      <c r="Q254" s="595">
        <v>108.46341463414635</v>
      </c>
    </row>
    <row r="255" spans="1:17" ht="14.4" customHeight="1" x14ac:dyDescent="0.3">
      <c r="A255" s="590" t="s">
        <v>3457</v>
      </c>
      <c r="B255" s="591" t="s">
        <v>3458</v>
      </c>
      <c r="C255" s="591" t="s">
        <v>2295</v>
      </c>
      <c r="D255" s="591" t="s">
        <v>3475</v>
      </c>
      <c r="E255" s="591" t="s">
        <v>3476</v>
      </c>
      <c r="F255" s="594">
        <v>1</v>
      </c>
      <c r="G255" s="594">
        <v>361</v>
      </c>
      <c r="H255" s="594">
        <v>1</v>
      </c>
      <c r="I255" s="594">
        <v>361</v>
      </c>
      <c r="J255" s="594">
        <v>3</v>
      </c>
      <c r="K255" s="594">
        <v>1095</v>
      </c>
      <c r="L255" s="594">
        <v>3.033240997229917</v>
      </c>
      <c r="M255" s="594">
        <v>365</v>
      </c>
      <c r="N255" s="594"/>
      <c r="O255" s="594"/>
      <c r="P255" s="616"/>
      <c r="Q255" s="595"/>
    </row>
    <row r="256" spans="1:17" ht="14.4" customHeight="1" x14ac:dyDescent="0.3">
      <c r="A256" s="590" t="s">
        <v>3457</v>
      </c>
      <c r="B256" s="591" t="s">
        <v>3458</v>
      </c>
      <c r="C256" s="591" t="s">
        <v>2295</v>
      </c>
      <c r="D256" s="591" t="s">
        <v>3477</v>
      </c>
      <c r="E256" s="591" t="s">
        <v>3478</v>
      </c>
      <c r="F256" s="594">
        <v>22</v>
      </c>
      <c r="G256" s="594">
        <v>792</v>
      </c>
      <c r="H256" s="594">
        <v>1</v>
      </c>
      <c r="I256" s="594">
        <v>36</v>
      </c>
      <c r="J256" s="594">
        <v>20</v>
      </c>
      <c r="K256" s="594">
        <v>740</v>
      </c>
      <c r="L256" s="594">
        <v>0.93434343434343436</v>
      </c>
      <c r="M256" s="594">
        <v>37</v>
      </c>
      <c r="N256" s="594">
        <v>30</v>
      </c>
      <c r="O256" s="594">
        <v>1110</v>
      </c>
      <c r="P256" s="616">
        <v>1.4015151515151516</v>
      </c>
      <c r="Q256" s="595">
        <v>37</v>
      </c>
    </row>
    <row r="257" spans="1:17" ht="14.4" customHeight="1" x14ac:dyDescent="0.3">
      <c r="A257" s="590" t="s">
        <v>3457</v>
      </c>
      <c r="B257" s="591" t="s">
        <v>3458</v>
      </c>
      <c r="C257" s="591" t="s">
        <v>2295</v>
      </c>
      <c r="D257" s="591" t="s">
        <v>3479</v>
      </c>
      <c r="E257" s="591" t="s">
        <v>3480</v>
      </c>
      <c r="F257" s="594">
        <v>2</v>
      </c>
      <c r="G257" s="594">
        <v>1320</v>
      </c>
      <c r="H257" s="594">
        <v>1</v>
      </c>
      <c r="I257" s="594">
        <v>660</v>
      </c>
      <c r="J257" s="594">
        <v>3</v>
      </c>
      <c r="K257" s="594">
        <v>1992</v>
      </c>
      <c r="L257" s="594">
        <v>1.509090909090909</v>
      </c>
      <c r="M257" s="594">
        <v>664</v>
      </c>
      <c r="N257" s="594"/>
      <c r="O257" s="594"/>
      <c r="P257" s="616"/>
      <c r="Q257" s="595"/>
    </row>
    <row r="258" spans="1:17" ht="14.4" customHeight="1" x14ac:dyDescent="0.3">
      <c r="A258" s="590" t="s">
        <v>3457</v>
      </c>
      <c r="B258" s="591" t="s">
        <v>3458</v>
      </c>
      <c r="C258" s="591" t="s">
        <v>2295</v>
      </c>
      <c r="D258" s="591" t="s">
        <v>3481</v>
      </c>
      <c r="E258" s="591" t="s">
        <v>3482</v>
      </c>
      <c r="F258" s="594"/>
      <c r="G258" s="594"/>
      <c r="H258" s="594"/>
      <c r="I258" s="594"/>
      <c r="J258" s="594">
        <v>1</v>
      </c>
      <c r="K258" s="594">
        <v>136</v>
      </c>
      <c r="L258" s="594"/>
      <c r="M258" s="594">
        <v>136</v>
      </c>
      <c r="N258" s="594">
        <v>1</v>
      </c>
      <c r="O258" s="594">
        <v>136</v>
      </c>
      <c r="P258" s="616"/>
      <c r="Q258" s="595">
        <v>136</v>
      </c>
    </row>
    <row r="259" spans="1:17" ht="14.4" customHeight="1" x14ac:dyDescent="0.3">
      <c r="A259" s="590" t="s">
        <v>3457</v>
      </c>
      <c r="B259" s="591" t="s">
        <v>3458</v>
      </c>
      <c r="C259" s="591" t="s">
        <v>2295</v>
      </c>
      <c r="D259" s="591" t="s">
        <v>3483</v>
      </c>
      <c r="E259" s="591" t="s">
        <v>3484</v>
      </c>
      <c r="F259" s="594">
        <v>356</v>
      </c>
      <c r="G259" s="594">
        <v>99680</v>
      </c>
      <c r="H259" s="594">
        <v>1</v>
      </c>
      <c r="I259" s="594">
        <v>280</v>
      </c>
      <c r="J259" s="594">
        <v>281</v>
      </c>
      <c r="K259" s="594">
        <v>78961</v>
      </c>
      <c r="L259" s="594">
        <v>0.79214486356340286</v>
      </c>
      <c r="M259" s="594">
        <v>281</v>
      </c>
      <c r="N259" s="594">
        <v>298</v>
      </c>
      <c r="O259" s="594">
        <v>84122</v>
      </c>
      <c r="P259" s="616">
        <v>0.84392054574638842</v>
      </c>
      <c r="Q259" s="595">
        <v>282.28859060402687</v>
      </c>
    </row>
    <row r="260" spans="1:17" ht="14.4" customHeight="1" x14ac:dyDescent="0.3">
      <c r="A260" s="590" t="s">
        <v>3457</v>
      </c>
      <c r="B260" s="591" t="s">
        <v>3458</v>
      </c>
      <c r="C260" s="591" t="s">
        <v>2295</v>
      </c>
      <c r="D260" s="591" t="s">
        <v>3485</v>
      </c>
      <c r="E260" s="591" t="s">
        <v>3486</v>
      </c>
      <c r="F260" s="594">
        <v>181</v>
      </c>
      <c r="G260" s="594">
        <v>81993</v>
      </c>
      <c r="H260" s="594">
        <v>1</v>
      </c>
      <c r="I260" s="594">
        <v>453</v>
      </c>
      <c r="J260" s="594">
        <v>191</v>
      </c>
      <c r="K260" s="594">
        <v>87096</v>
      </c>
      <c r="L260" s="594">
        <v>1.0622370202334346</v>
      </c>
      <c r="M260" s="594">
        <v>456</v>
      </c>
      <c r="N260" s="594">
        <v>221</v>
      </c>
      <c r="O260" s="594">
        <v>101128</v>
      </c>
      <c r="P260" s="616">
        <v>1.2333735806715207</v>
      </c>
      <c r="Q260" s="595">
        <v>457.59276018099547</v>
      </c>
    </row>
    <row r="261" spans="1:17" ht="14.4" customHeight="1" x14ac:dyDescent="0.3">
      <c r="A261" s="590" t="s">
        <v>3457</v>
      </c>
      <c r="B261" s="591" t="s">
        <v>3458</v>
      </c>
      <c r="C261" s="591" t="s">
        <v>2295</v>
      </c>
      <c r="D261" s="591" t="s">
        <v>3487</v>
      </c>
      <c r="E261" s="591" t="s">
        <v>3488</v>
      </c>
      <c r="F261" s="594">
        <v>464</v>
      </c>
      <c r="G261" s="594">
        <v>160080</v>
      </c>
      <c r="H261" s="594">
        <v>1</v>
      </c>
      <c r="I261" s="594">
        <v>345</v>
      </c>
      <c r="J261" s="594">
        <v>431</v>
      </c>
      <c r="K261" s="594">
        <v>149988</v>
      </c>
      <c r="L261" s="594">
        <v>0.93695652173913047</v>
      </c>
      <c r="M261" s="594">
        <v>348</v>
      </c>
      <c r="N261" s="594">
        <v>449</v>
      </c>
      <c r="O261" s="594">
        <v>157452</v>
      </c>
      <c r="P261" s="616">
        <v>0.98358320839580204</v>
      </c>
      <c r="Q261" s="595">
        <v>350.67260579064589</v>
      </c>
    </row>
    <row r="262" spans="1:17" ht="14.4" customHeight="1" x14ac:dyDescent="0.3">
      <c r="A262" s="590" t="s">
        <v>3457</v>
      </c>
      <c r="B262" s="591" t="s">
        <v>3458</v>
      </c>
      <c r="C262" s="591" t="s">
        <v>2295</v>
      </c>
      <c r="D262" s="591" t="s">
        <v>3489</v>
      </c>
      <c r="E262" s="591" t="s">
        <v>3490</v>
      </c>
      <c r="F262" s="594">
        <v>2</v>
      </c>
      <c r="G262" s="594">
        <v>5748</v>
      </c>
      <c r="H262" s="594">
        <v>1</v>
      </c>
      <c r="I262" s="594">
        <v>2874</v>
      </c>
      <c r="J262" s="594"/>
      <c r="K262" s="594"/>
      <c r="L262" s="594"/>
      <c r="M262" s="594"/>
      <c r="N262" s="594">
        <v>1</v>
      </c>
      <c r="O262" s="594">
        <v>2907</v>
      </c>
      <c r="P262" s="616">
        <v>0.50574112734864296</v>
      </c>
      <c r="Q262" s="595">
        <v>2907</v>
      </c>
    </row>
    <row r="263" spans="1:17" ht="14.4" customHeight="1" x14ac:dyDescent="0.3">
      <c r="A263" s="590" t="s">
        <v>3457</v>
      </c>
      <c r="B263" s="591" t="s">
        <v>3458</v>
      </c>
      <c r="C263" s="591" t="s">
        <v>2295</v>
      </c>
      <c r="D263" s="591" t="s">
        <v>3491</v>
      </c>
      <c r="E263" s="591" t="s">
        <v>3492</v>
      </c>
      <c r="F263" s="594">
        <v>1</v>
      </c>
      <c r="G263" s="594">
        <v>12774</v>
      </c>
      <c r="H263" s="594">
        <v>1</v>
      </c>
      <c r="I263" s="594">
        <v>12774</v>
      </c>
      <c r="J263" s="594"/>
      <c r="K263" s="594"/>
      <c r="L263" s="594"/>
      <c r="M263" s="594"/>
      <c r="N263" s="594"/>
      <c r="O263" s="594"/>
      <c r="P263" s="616"/>
      <c r="Q263" s="595"/>
    </row>
    <row r="264" spans="1:17" ht="14.4" customHeight="1" x14ac:dyDescent="0.3">
      <c r="A264" s="590" t="s">
        <v>3457</v>
      </c>
      <c r="B264" s="591" t="s">
        <v>3458</v>
      </c>
      <c r="C264" s="591" t="s">
        <v>2295</v>
      </c>
      <c r="D264" s="591" t="s">
        <v>3493</v>
      </c>
      <c r="E264" s="591" t="s">
        <v>3494</v>
      </c>
      <c r="F264" s="594">
        <v>1</v>
      </c>
      <c r="G264" s="594">
        <v>102</v>
      </c>
      <c r="H264" s="594">
        <v>1</v>
      </c>
      <c r="I264" s="594">
        <v>102</v>
      </c>
      <c r="J264" s="594">
        <v>3</v>
      </c>
      <c r="K264" s="594">
        <v>309</v>
      </c>
      <c r="L264" s="594">
        <v>3.0294117647058822</v>
      </c>
      <c r="M264" s="594">
        <v>103</v>
      </c>
      <c r="N264" s="594">
        <v>4</v>
      </c>
      <c r="O264" s="594">
        <v>416</v>
      </c>
      <c r="P264" s="616">
        <v>4.0784313725490193</v>
      </c>
      <c r="Q264" s="595">
        <v>104</v>
      </c>
    </row>
    <row r="265" spans="1:17" ht="14.4" customHeight="1" x14ac:dyDescent="0.3">
      <c r="A265" s="590" t="s">
        <v>3457</v>
      </c>
      <c r="B265" s="591" t="s">
        <v>3458</v>
      </c>
      <c r="C265" s="591" t="s">
        <v>2295</v>
      </c>
      <c r="D265" s="591" t="s">
        <v>3495</v>
      </c>
      <c r="E265" s="591" t="s">
        <v>3496</v>
      </c>
      <c r="F265" s="594">
        <v>24</v>
      </c>
      <c r="G265" s="594">
        <v>2760</v>
      </c>
      <c r="H265" s="594">
        <v>1</v>
      </c>
      <c r="I265" s="594">
        <v>115</v>
      </c>
      <c r="J265" s="594">
        <v>25</v>
      </c>
      <c r="K265" s="594">
        <v>2875</v>
      </c>
      <c r="L265" s="594">
        <v>1.0416666666666667</v>
      </c>
      <c r="M265" s="594">
        <v>115</v>
      </c>
      <c r="N265" s="594">
        <v>21</v>
      </c>
      <c r="O265" s="594">
        <v>2430</v>
      </c>
      <c r="P265" s="616">
        <v>0.88043478260869568</v>
      </c>
      <c r="Q265" s="595">
        <v>115.71428571428571</v>
      </c>
    </row>
    <row r="266" spans="1:17" ht="14.4" customHeight="1" x14ac:dyDescent="0.3">
      <c r="A266" s="590" t="s">
        <v>3457</v>
      </c>
      <c r="B266" s="591" t="s">
        <v>3458</v>
      </c>
      <c r="C266" s="591" t="s">
        <v>2295</v>
      </c>
      <c r="D266" s="591" t="s">
        <v>3497</v>
      </c>
      <c r="E266" s="591" t="s">
        <v>3498</v>
      </c>
      <c r="F266" s="594">
        <v>40</v>
      </c>
      <c r="G266" s="594">
        <v>18160</v>
      </c>
      <c r="H266" s="594">
        <v>1</v>
      </c>
      <c r="I266" s="594">
        <v>454</v>
      </c>
      <c r="J266" s="594">
        <v>32</v>
      </c>
      <c r="K266" s="594">
        <v>14624</v>
      </c>
      <c r="L266" s="594">
        <v>0.80528634361233475</v>
      </c>
      <c r="M266" s="594">
        <v>457</v>
      </c>
      <c r="N266" s="594">
        <v>44</v>
      </c>
      <c r="O266" s="594">
        <v>20196</v>
      </c>
      <c r="P266" s="616">
        <v>1.1121145374449339</v>
      </c>
      <c r="Q266" s="595">
        <v>459</v>
      </c>
    </row>
    <row r="267" spans="1:17" ht="14.4" customHeight="1" x14ac:dyDescent="0.3">
      <c r="A267" s="590" t="s">
        <v>3457</v>
      </c>
      <c r="B267" s="591" t="s">
        <v>3458</v>
      </c>
      <c r="C267" s="591" t="s">
        <v>2295</v>
      </c>
      <c r="D267" s="591" t="s">
        <v>3499</v>
      </c>
      <c r="E267" s="591" t="s">
        <v>3500</v>
      </c>
      <c r="F267" s="594">
        <v>11</v>
      </c>
      <c r="G267" s="594">
        <v>4675</v>
      </c>
      <c r="H267" s="594">
        <v>1</v>
      </c>
      <c r="I267" s="594">
        <v>425</v>
      </c>
      <c r="J267" s="594">
        <v>10</v>
      </c>
      <c r="K267" s="594">
        <v>4290</v>
      </c>
      <c r="L267" s="594">
        <v>0.91764705882352937</v>
      </c>
      <c r="M267" s="594">
        <v>429</v>
      </c>
      <c r="N267" s="594">
        <v>19</v>
      </c>
      <c r="O267" s="594">
        <v>8246</v>
      </c>
      <c r="P267" s="616">
        <v>1.7638502673796792</v>
      </c>
      <c r="Q267" s="595">
        <v>434</v>
      </c>
    </row>
    <row r="268" spans="1:17" ht="14.4" customHeight="1" x14ac:dyDescent="0.3">
      <c r="A268" s="590" t="s">
        <v>3457</v>
      </c>
      <c r="B268" s="591" t="s">
        <v>3458</v>
      </c>
      <c r="C268" s="591" t="s">
        <v>2295</v>
      </c>
      <c r="D268" s="591" t="s">
        <v>3501</v>
      </c>
      <c r="E268" s="591" t="s">
        <v>3502</v>
      </c>
      <c r="F268" s="594">
        <v>32</v>
      </c>
      <c r="G268" s="594">
        <v>1696</v>
      </c>
      <c r="H268" s="594">
        <v>1</v>
      </c>
      <c r="I268" s="594">
        <v>53</v>
      </c>
      <c r="J268" s="594">
        <v>12</v>
      </c>
      <c r="K268" s="594">
        <v>636</v>
      </c>
      <c r="L268" s="594">
        <v>0.375</v>
      </c>
      <c r="M268" s="594">
        <v>53</v>
      </c>
      <c r="N268" s="594">
        <v>38</v>
      </c>
      <c r="O268" s="594">
        <v>2036</v>
      </c>
      <c r="P268" s="616">
        <v>1.2004716981132075</v>
      </c>
      <c r="Q268" s="595">
        <v>53.578947368421055</v>
      </c>
    </row>
    <row r="269" spans="1:17" ht="14.4" customHeight="1" x14ac:dyDescent="0.3">
      <c r="A269" s="590" t="s">
        <v>3457</v>
      </c>
      <c r="B269" s="591" t="s">
        <v>3458</v>
      </c>
      <c r="C269" s="591" t="s">
        <v>2295</v>
      </c>
      <c r="D269" s="591" t="s">
        <v>3503</v>
      </c>
      <c r="E269" s="591" t="s">
        <v>3504</v>
      </c>
      <c r="F269" s="594">
        <v>1</v>
      </c>
      <c r="G269" s="594">
        <v>2161</v>
      </c>
      <c r="H269" s="594">
        <v>1</v>
      </c>
      <c r="I269" s="594">
        <v>2161</v>
      </c>
      <c r="J269" s="594">
        <v>1</v>
      </c>
      <c r="K269" s="594">
        <v>2164</v>
      </c>
      <c r="L269" s="594">
        <v>1.0013882461823229</v>
      </c>
      <c r="M269" s="594">
        <v>2164</v>
      </c>
      <c r="N269" s="594">
        <v>1</v>
      </c>
      <c r="O269" s="594">
        <v>2164</v>
      </c>
      <c r="P269" s="616">
        <v>1.0013882461823229</v>
      </c>
      <c r="Q269" s="595">
        <v>2164</v>
      </c>
    </row>
    <row r="270" spans="1:17" ht="14.4" customHeight="1" x14ac:dyDescent="0.3">
      <c r="A270" s="590" t="s">
        <v>3457</v>
      </c>
      <c r="B270" s="591" t="s">
        <v>3458</v>
      </c>
      <c r="C270" s="591" t="s">
        <v>2295</v>
      </c>
      <c r="D270" s="591" t="s">
        <v>3505</v>
      </c>
      <c r="E270" s="591" t="s">
        <v>3506</v>
      </c>
      <c r="F270" s="594">
        <v>2486</v>
      </c>
      <c r="G270" s="594">
        <v>407704</v>
      </c>
      <c r="H270" s="594">
        <v>1</v>
      </c>
      <c r="I270" s="594">
        <v>164</v>
      </c>
      <c r="J270" s="594">
        <v>2318</v>
      </c>
      <c r="K270" s="594">
        <v>382470</v>
      </c>
      <c r="L270" s="594">
        <v>0.93810705806173111</v>
      </c>
      <c r="M270" s="594">
        <v>165</v>
      </c>
      <c r="N270" s="594">
        <v>2563</v>
      </c>
      <c r="O270" s="594">
        <v>425934</v>
      </c>
      <c r="P270" s="616">
        <v>1.0447138119812414</v>
      </c>
      <c r="Q270" s="595">
        <v>166.1857198595396</v>
      </c>
    </row>
    <row r="271" spans="1:17" ht="14.4" customHeight="1" x14ac:dyDescent="0.3">
      <c r="A271" s="590" t="s">
        <v>3457</v>
      </c>
      <c r="B271" s="591" t="s">
        <v>3458</v>
      </c>
      <c r="C271" s="591" t="s">
        <v>2295</v>
      </c>
      <c r="D271" s="591" t="s">
        <v>3507</v>
      </c>
      <c r="E271" s="591" t="s">
        <v>3508</v>
      </c>
      <c r="F271" s="594">
        <v>4</v>
      </c>
      <c r="G271" s="594">
        <v>312</v>
      </c>
      <c r="H271" s="594">
        <v>1</v>
      </c>
      <c r="I271" s="594">
        <v>78</v>
      </c>
      <c r="J271" s="594">
        <v>8</v>
      </c>
      <c r="K271" s="594">
        <v>632</v>
      </c>
      <c r="L271" s="594">
        <v>2.0256410256410255</v>
      </c>
      <c r="M271" s="594">
        <v>79</v>
      </c>
      <c r="N271" s="594"/>
      <c r="O271" s="594"/>
      <c r="P271" s="616"/>
      <c r="Q271" s="595"/>
    </row>
    <row r="272" spans="1:17" ht="14.4" customHeight="1" x14ac:dyDescent="0.3">
      <c r="A272" s="590" t="s">
        <v>3457</v>
      </c>
      <c r="B272" s="591" t="s">
        <v>3458</v>
      </c>
      <c r="C272" s="591" t="s">
        <v>2295</v>
      </c>
      <c r="D272" s="591" t="s">
        <v>3509</v>
      </c>
      <c r="E272" s="591" t="s">
        <v>3510</v>
      </c>
      <c r="F272" s="594"/>
      <c r="G272" s="594"/>
      <c r="H272" s="594"/>
      <c r="I272" s="594"/>
      <c r="J272" s="594">
        <v>2</v>
      </c>
      <c r="K272" s="594">
        <v>328</v>
      </c>
      <c r="L272" s="594"/>
      <c r="M272" s="594">
        <v>164</v>
      </c>
      <c r="N272" s="594"/>
      <c r="O272" s="594"/>
      <c r="P272" s="616"/>
      <c r="Q272" s="595"/>
    </row>
    <row r="273" spans="1:17" ht="14.4" customHeight="1" x14ac:dyDescent="0.3">
      <c r="A273" s="590" t="s">
        <v>3457</v>
      </c>
      <c r="B273" s="591" t="s">
        <v>3458</v>
      </c>
      <c r="C273" s="591" t="s">
        <v>2295</v>
      </c>
      <c r="D273" s="591" t="s">
        <v>3511</v>
      </c>
      <c r="E273" s="591" t="s">
        <v>3512</v>
      </c>
      <c r="F273" s="594">
        <v>18</v>
      </c>
      <c r="G273" s="594">
        <v>2862</v>
      </c>
      <c r="H273" s="594">
        <v>1</v>
      </c>
      <c r="I273" s="594">
        <v>159</v>
      </c>
      <c r="J273" s="594">
        <v>23</v>
      </c>
      <c r="K273" s="594">
        <v>3680</v>
      </c>
      <c r="L273" s="594">
        <v>1.2858141160027952</v>
      </c>
      <c r="M273" s="594">
        <v>160</v>
      </c>
      <c r="N273" s="594">
        <v>22</v>
      </c>
      <c r="O273" s="594">
        <v>3544</v>
      </c>
      <c r="P273" s="616">
        <v>1.2382948986722571</v>
      </c>
      <c r="Q273" s="595">
        <v>161.09090909090909</v>
      </c>
    </row>
    <row r="274" spans="1:17" ht="14.4" customHeight="1" x14ac:dyDescent="0.3">
      <c r="A274" s="590" t="s">
        <v>3457</v>
      </c>
      <c r="B274" s="591" t="s">
        <v>3458</v>
      </c>
      <c r="C274" s="591" t="s">
        <v>2295</v>
      </c>
      <c r="D274" s="591" t="s">
        <v>3513</v>
      </c>
      <c r="E274" s="591" t="s">
        <v>3514</v>
      </c>
      <c r="F274" s="594"/>
      <c r="G274" s="594"/>
      <c r="H274" s="594"/>
      <c r="I274" s="594"/>
      <c r="J274" s="594">
        <v>1</v>
      </c>
      <c r="K274" s="594">
        <v>167</v>
      </c>
      <c r="L274" s="594"/>
      <c r="M274" s="594">
        <v>167</v>
      </c>
      <c r="N274" s="594"/>
      <c r="O274" s="594"/>
      <c r="P274" s="616"/>
      <c r="Q274" s="595"/>
    </row>
    <row r="275" spans="1:17" ht="14.4" customHeight="1" x14ac:dyDescent="0.3">
      <c r="A275" s="590" t="s">
        <v>3457</v>
      </c>
      <c r="B275" s="591" t="s">
        <v>3458</v>
      </c>
      <c r="C275" s="591" t="s">
        <v>2295</v>
      </c>
      <c r="D275" s="591" t="s">
        <v>3515</v>
      </c>
      <c r="E275" s="591" t="s">
        <v>3516</v>
      </c>
      <c r="F275" s="594">
        <v>1</v>
      </c>
      <c r="G275" s="594">
        <v>242</v>
      </c>
      <c r="H275" s="594">
        <v>1</v>
      </c>
      <c r="I275" s="594">
        <v>242</v>
      </c>
      <c r="J275" s="594">
        <v>2</v>
      </c>
      <c r="K275" s="594">
        <v>486</v>
      </c>
      <c r="L275" s="594">
        <v>2.0082644628099175</v>
      </c>
      <c r="M275" s="594">
        <v>243</v>
      </c>
      <c r="N275" s="594"/>
      <c r="O275" s="594"/>
      <c r="P275" s="616"/>
      <c r="Q275" s="595"/>
    </row>
    <row r="276" spans="1:17" ht="14.4" customHeight="1" x14ac:dyDescent="0.3">
      <c r="A276" s="590" t="s">
        <v>3457</v>
      </c>
      <c r="B276" s="591" t="s">
        <v>3458</v>
      </c>
      <c r="C276" s="591" t="s">
        <v>2295</v>
      </c>
      <c r="D276" s="591" t="s">
        <v>3517</v>
      </c>
      <c r="E276" s="591" t="s">
        <v>3518</v>
      </c>
      <c r="F276" s="594">
        <v>4</v>
      </c>
      <c r="G276" s="594">
        <v>7940</v>
      </c>
      <c r="H276" s="594">
        <v>1</v>
      </c>
      <c r="I276" s="594">
        <v>1985</v>
      </c>
      <c r="J276" s="594">
        <v>6</v>
      </c>
      <c r="K276" s="594">
        <v>11958</v>
      </c>
      <c r="L276" s="594">
        <v>1.5060453400503779</v>
      </c>
      <c r="M276" s="594">
        <v>1993</v>
      </c>
      <c r="N276" s="594">
        <v>6</v>
      </c>
      <c r="O276" s="594">
        <v>11971</v>
      </c>
      <c r="P276" s="616">
        <v>1.5076826196473552</v>
      </c>
      <c r="Q276" s="595">
        <v>1995.1666666666667</v>
      </c>
    </row>
    <row r="277" spans="1:17" ht="14.4" customHeight="1" x14ac:dyDescent="0.3">
      <c r="A277" s="590" t="s">
        <v>3457</v>
      </c>
      <c r="B277" s="591" t="s">
        <v>3458</v>
      </c>
      <c r="C277" s="591" t="s">
        <v>2295</v>
      </c>
      <c r="D277" s="591" t="s">
        <v>3519</v>
      </c>
      <c r="E277" s="591" t="s">
        <v>3520</v>
      </c>
      <c r="F277" s="594">
        <v>42</v>
      </c>
      <c r="G277" s="594">
        <v>9324</v>
      </c>
      <c r="H277" s="594">
        <v>1</v>
      </c>
      <c r="I277" s="594">
        <v>222</v>
      </c>
      <c r="J277" s="594">
        <v>40</v>
      </c>
      <c r="K277" s="594">
        <v>8920</v>
      </c>
      <c r="L277" s="594">
        <v>0.9566709566709567</v>
      </c>
      <c r="M277" s="594">
        <v>223</v>
      </c>
      <c r="N277" s="594">
        <v>49</v>
      </c>
      <c r="O277" s="594">
        <v>10977</v>
      </c>
      <c r="P277" s="616">
        <v>1.1772844272844274</v>
      </c>
      <c r="Q277" s="595">
        <v>224.0204081632653</v>
      </c>
    </row>
    <row r="278" spans="1:17" ht="14.4" customHeight="1" x14ac:dyDescent="0.3">
      <c r="A278" s="590" t="s">
        <v>3457</v>
      </c>
      <c r="B278" s="591" t="s">
        <v>3458</v>
      </c>
      <c r="C278" s="591" t="s">
        <v>2295</v>
      </c>
      <c r="D278" s="591" t="s">
        <v>3521</v>
      </c>
      <c r="E278" s="591" t="s">
        <v>3522</v>
      </c>
      <c r="F278" s="594">
        <v>9</v>
      </c>
      <c r="G278" s="594">
        <v>3591</v>
      </c>
      <c r="H278" s="594">
        <v>1</v>
      </c>
      <c r="I278" s="594">
        <v>399</v>
      </c>
      <c r="J278" s="594">
        <v>7</v>
      </c>
      <c r="K278" s="594">
        <v>2828</v>
      </c>
      <c r="L278" s="594">
        <v>0.78752436647173485</v>
      </c>
      <c r="M278" s="594">
        <v>404</v>
      </c>
      <c r="N278" s="594">
        <v>10</v>
      </c>
      <c r="O278" s="594">
        <v>4110</v>
      </c>
      <c r="P278" s="616">
        <v>1.1445279866332498</v>
      </c>
      <c r="Q278" s="595">
        <v>411</v>
      </c>
    </row>
    <row r="279" spans="1:17" ht="14.4" customHeight="1" x14ac:dyDescent="0.3">
      <c r="A279" s="590" t="s">
        <v>3457</v>
      </c>
      <c r="B279" s="591" t="s">
        <v>3458</v>
      </c>
      <c r="C279" s="591" t="s">
        <v>2295</v>
      </c>
      <c r="D279" s="591" t="s">
        <v>3523</v>
      </c>
      <c r="E279" s="591" t="s">
        <v>3524</v>
      </c>
      <c r="F279" s="594"/>
      <c r="G279" s="594"/>
      <c r="H279" s="594"/>
      <c r="I279" s="594"/>
      <c r="J279" s="594"/>
      <c r="K279" s="594"/>
      <c r="L279" s="594"/>
      <c r="M279" s="594"/>
      <c r="N279" s="594">
        <v>19</v>
      </c>
      <c r="O279" s="594">
        <v>19658</v>
      </c>
      <c r="P279" s="616"/>
      <c r="Q279" s="595">
        <v>1034.6315789473683</v>
      </c>
    </row>
    <row r="280" spans="1:17" ht="14.4" customHeight="1" x14ac:dyDescent="0.3">
      <c r="A280" s="590" t="s">
        <v>3457</v>
      </c>
      <c r="B280" s="591" t="s">
        <v>3458</v>
      </c>
      <c r="C280" s="591" t="s">
        <v>2295</v>
      </c>
      <c r="D280" s="591" t="s">
        <v>3525</v>
      </c>
      <c r="E280" s="591" t="s">
        <v>3526</v>
      </c>
      <c r="F280" s="594">
        <v>2</v>
      </c>
      <c r="G280" s="594">
        <v>530</v>
      </c>
      <c r="H280" s="594">
        <v>1</v>
      </c>
      <c r="I280" s="594">
        <v>265</v>
      </c>
      <c r="J280" s="594">
        <v>1</v>
      </c>
      <c r="K280" s="594">
        <v>266</v>
      </c>
      <c r="L280" s="594">
        <v>0.50188679245283019</v>
      </c>
      <c r="M280" s="594">
        <v>266</v>
      </c>
      <c r="N280" s="594">
        <v>1</v>
      </c>
      <c r="O280" s="594">
        <v>266</v>
      </c>
      <c r="P280" s="616">
        <v>0.50188679245283019</v>
      </c>
      <c r="Q280" s="595">
        <v>266</v>
      </c>
    </row>
    <row r="281" spans="1:17" ht="14.4" customHeight="1" x14ac:dyDescent="0.3">
      <c r="A281" s="590" t="s">
        <v>3527</v>
      </c>
      <c r="B281" s="591" t="s">
        <v>3528</v>
      </c>
      <c r="C281" s="591" t="s">
        <v>2295</v>
      </c>
      <c r="D281" s="591" t="s">
        <v>3529</v>
      </c>
      <c r="E281" s="591" t="s">
        <v>3530</v>
      </c>
      <c r="F281" s="594">
        <v>686</v>
      </c>
      <c r="G281" s="594">
        <v>108388</v>
      </c>
      <c r="H281" s="594">
        <v>1</v>
      </c>
      <c r="I281" s="594">
        <v>158</v>
      </c>
      <c r="J281" s="594">
        <v>951</v>
      </c>
      <c r="K281" s="594">
        <v>151209</v>
      </c>
      <c r="L281" s="594">
        <v>1.3950714101192014</v>
      </c>
      <c r="M281" s="594">
        <v>159</v>
      </c>
      <c r="N281" s="594">
        <v>846</v>
      </c>
      <c r="O281" s="594">
        <v>134887</v>
      </c>
      <c r="P281" s="616">
        <v>1.2444827840720374</v>
      </c>
      <c r="Q281" s="595">
        <v>159.44089834515367</v>
      </c>
    </row>
    <row r="282" spans="1:17" ht="14.4" customHeight="1" x14ac:dyDescent="0.3">
      <c r="A282" s="590" t="s">
        <v>3527</v>
      </c>
      <c r="B282" s="591" t="s">
        <v>3528</v>
      </c>
      <c r="C282" s="591" t="s">
        <v>2295</v>
      </c>
      <c r="D282" s="591" t="s">
        <v>3531</v>
      </c>
      <c r="E282" s="591" t="s">
        <v>3532</v>
      </c>
      <c r="F282" s="594"/>
      <c r="G282" s="594"/>
      <c r="H282" s="594"/>
      <c r="I282" s="594"/>
      <c r="J282" s="594">
        <v>2</v>
      </c>
      <c r="K282" s="594">
        <v>2330</v>
      </c>
      <c r="L282" s="594"/>
      <c r="M282" s="594">
        <v>1165</v>
      </c>
      <c r="N282" s="594"/>
      <c r="O282" s="594"/>
      <c r="P282" s="616"/>
      <c r="Q282" s="595"/>
    </row>
    <row r="283" spans="1:17" ht="14.4" customHeight="1" x14ac:dyDescent="0.3">
      <c r="A283" s="590" t="s">
        <v>3527</v>
      </c>
      <c r="B283" s="591" t="s">
        <v>3528</v>
      </c>
      <c r="C283" s="591" t="s">
        <v>2295</v>
      </c>
      <c r="D283" s="591" t="s">
        <v>3533</v>
      </c>
      <c r="E283" s="591" t="s">
        <v>3534</v>
      </c>
      <c r="F283" s="594">
        <v>114</v>
      </c>
      <c r="G283" s="594">
        <v>4446</v>
      </c>
      <c r="H283" s="594">
        <v>1</v>
      </c>
      <c r="I283" s="594">
        <v>39</v>
      </c>
      <c r="J283" s="594">
        <v>142</v>
      </c>
      <c r="K283" s="594">
        <v>5538</v>
      </c>
      <c r="L283" s="594">
        <v>1.2456140350877194</v>
      </c>
      <c r="M283" s="594">
        <v>39</v>
      </c>
      <c r="N283" s="594">
        <v>158</v>
      </c>
      <c r="O283" s="594">
        <v>6218</v>
      </c>
      <c r="P283" s="616">
        <v>1.3985605038236617</v>
      </c>
      <c r="Q283" s="595">
        <v>39.354430379746837</v>
      </c>
    </row>
    <row r="284" spans="1:17" ht="14.4" customHeight="1" x14ac:dyDescent="0.3">
      <c r="A284" s="590" t="s">
        <v>3527</v>
      </c>
      <c r="B284" s="591" t="s">
        <v>3528</v>
      </c>
      <c r="C284" s="591" t="s">
        <v>2295</v>
      </c>
      <c r="D284" s="591" t="s">
        <v>3535</v>
      </c>
      <c r="E284" s="591" t="s">
        <v>3536</v>
      </c>
      <c r="F284" s="594">
        <v>4</v>
      </c>
      <c r="G284" s="594">
        <v>1616</v>
      </c>
      <c r="H284" s="594">
        <v>1</v>
      </c>
      <c r="I284" s="594">
        <v>404</v>
      </c>
      <c r="J284" s="594"/>
      <c r="K284" s="594"/>
      <c r="L284" s="594"/>
      <c r="M284" s="594"/>
      <c r="N284" s="594"/>
      <c r="O284" s="594"/>
      <c r="P284" s="616"/>
      <c r="Q284" s="595"/>
    </row>
    <row r="285" spans="1:17" ht="14.4" customHeight="1" x14ac:dyDescent="0.3">
      <c r="A285" s="590" t="s">
        <v>3527</v>
      </c>
      <c r="B285" s="591" t="s">
        <v>3528</v>
      </c>
      <c r="C285" s="591" t="s">
        <v>2295</v>
      </c>
      <c r="D285" s="591" t="s">
        <v>3431</v>
      </c>
      <c r="E285" s="591" t="s">
        <v>3432</v>
      </c>
      <c r="F285" s="594">
        <v>5</v>
      </c>
      <c r="G285" s="594">
        <v>1910</v>
      </c>
      <c r="H285" s="594">
        <v>1</v>
      </c>
      <c r="I285" s="594">
        <v>382</v>
      </c>
      <c r="J285" s="594">
        <v>5</v>
      </c>
      <c r="K285" s="594">
        <v>1910</v>
      </c>
      <c r="L285" s="594">
        <v>1</v>
      </c>
      <c r="M285" s="594">
        <v>382</v>
      </c>
      <c r="N285" s="594">
        <v>13</v>
      </c>
      <c r="O285" s="594">
        <v>4971</v>
      </c>
      <c r="P285" s="616">
        <v>2.6026178010471206</v>
      </c>
      <c r="Q285" s="595">
        <v>382.38461538461536</v>
      </c>
    </row>
    <row r="286" spans="1:17" ht="14.4" customHeight="1" x14ac:dyDescent="0.3">
      <c r="A286" s="590" t="s">
        <v>3527</v>
      </c>
      <c r="B286" s="591" t="s">
        <v>3528</v>
      </c>
      <c r="C286" s="591" t="s">
        <v>2295</v>
      </c>
      <c r="D286" s="591" t="s">
        <v>3537</v>
      </c>
      <c r="E286" s="591" t="s">
        <v>3538</v>
      </c>
      <c r="F286" s="594">
        <v>11</v>
      </c>
      <c r="G286" s="594">
        <v>396</v>
      </c>
      <c r="H286" s="594">
        <v>1</v>
      </c>
      <c r="I286" s="594">
        <v>36</v>
      </c>
      <c r="J286" s="594">
        <v>11</v>
      </c>
      <c r="K286" s="594">
        <v>407</v>
      </c>
      <c r="L286" s="594">
        <v>1.0277777777777777</v>
      </c>
      <c r="M286" s="594">
        <v>37</v>
      </c>
      <c r="N286" s="594">
        <v>11</v>
      </c>
      <c r="O286" s="594">
        <v>407</v>
      </c>
      <c r="P286" s="616">
        <v>1.0277777777777777</v>
      </c>
      <c r="Q286" s="595">
        <v>37</v>
      </c>
    </row>
    <row r="287" spans="1:17" ht="14.4" customHeight="1" x14ac:dyDescent="0.3">
      <c r="A287" s="590" t="s">
        <v>3527</v>
      </c>
      <c r="B287" s="591" t="s">
        <v>3528</v>
      </c>
      <c r="C287" s="591" t="s">
        <v>2295</v>
      </c>
      <c r="D287" s="591" t="s">
        <v>3539</v>
      </c>
      <c r="E287" s="591" t="s">
        <v>3540</v>
      </c>
      <c r="F287" s="594">
        <v>6</v>
      </c>
      <c r="G287" s="594">
        <v>2664</v>
      </c>
      <c r="H287" s="594">
        <v>1</v>
      </c>
      <c r="I287" s="594">
        <v>444</v>
      </c>
      <c r="J287" s="594"/>
      <c r="K287" s="594"/>
      <c r="L287" s="594"/>
      <c r="M287" s="594"/>
      <c r="N287" s="594">
        <v>15</v>
      </c>
      <c r="O287" s="594">
        <v>6666</v>
      </c>
      <c r="P287" s="616">
        <v>2.5022522522522523</v>
      </c>
      <c r="Q287" s="595">
        <v>444.4</v>
      </c>
    </row>
    <row r="288" spans="1:17" ht="14.4" customHeight="1" x14ac:dyDescent="0.3">
      <c r="A288" s="590" t="s">
        <v>3527</v>
      </c>
      <c r="B288" s="591" t="s">
        <v>3528</v>
      </c>
      <c r="C288" s="591" t="s">
        <v>2295</v>
      </c>
      <c r="D288" s="591" t="s">
        <v>3541</v>
      </c>
      <c r="E288" s="591" t="s">
        <v>3542</v>
      </c>
      <c r="F288" s="594">
        <v>3</v>
      </c>
      <c r="G288" s="594">
        <v>120</v>
      </c>
      <c r="H288" s="594">
        <v>1</v>
      </c>
      <c r="I288" s="594">
        <v>40</v>
      </c>
      <c r="J288" s="594">
        <v>2</v>
      </c>
      <c r="K288" s="594">
        <v>82</v>
      </c>
      <c r="L288" s="594">
        <v>0.68333333333333335</v>
      </c>
      <c r="M288" s="594">
        <v>41</v>
      </c>
      <c r="N288" s="594">
        <v>4</v>
      </c>
      <c r="O288" s="594">
        <v>164</v>
      </c>
      <c r="P288" s="616">
        <v>1.3666666666666667</v>
      </c>
      <c r="Q288" s="595">
        <v>41</v>
      </c>
    </row>
    <row r="289" spans="1:17" ht="14.4" customHeight="1" x14ac:dyDescent="0.3">
      <c r="A289" s="590" t="s">
        <v>3527</v>
      </c>
      <c r="B289" s="591" t="s">
        <v>3528</v>
      </c>
      <c r="C289" s="591" t="s">
        <v>2295</v>
      </c>
      <c r="D289" s="591" t="s">
        <v>3543</v>
      </c>
      <c r="E289" s="591" t="s">
        <v>3544</v>
      </c>
      <c r="F289" s="594">
        <v>1</v>
      </c>
      <c r="G289" s="594">
        <v>490</v>
      </c>
      <c r="H289" s="594">
        <v>1</v>
      </c>
      <c r="I289" s="594">
        <v>490</v>
      </c>
      <c r="J289" s="594">
        <v>2</v>
      </c>
      <c r="K289" s="594">
        <v>980</v>
      </c>
      <c r="L289" s="594">
        <v>2</v>
      </c>
      <c r="M289" s="594">
        <v>490</v>
      </c>
      <c r="N289" s="594">
        <v>16</v>
      </c>
      <c r="O289" s="594">
        <v>7847</v>
      </c>
      <c r="P289" s="616">
        <v>16.014285714285716</v>
      </c>
      <c r="Q289" s="595">
        <v>490.4375</v>
      </c>
    </row>
    <row r="290" spans="1:17" ht="14.4" customHeight="1" x14ac:dyDescent="0.3">
      <c r="A290" s="590" t="s">
        <v>3527</v>
      </c>
      <c r="B290" s="591" t="s">
        <v>3528</v>
      </c>
      <c r="C290" s="591" t="s">
        <v>2295</v>
      </c>
      <c r="D290" s="591" t="s">
        <v>3545</v>
      </c>
      <c r="E290" s="591" t="s">
        <v>3546</v>
      </c>
      <c r="F290" s="594">
        <v>10</v>
      </c>
      <c r="G290" s="594">
        <v>310</v>
      </c>
      <c r="H290" s="594">
        <v>1</v>
      </c>
      <c r="I290" s="594">
        <v>31</v>
      </c>
      <c r="J290" s="594">
        <v>22</v>
      </c>
      <c r="K290" s="594">
        <v>682</v>
      </c>
      <c r="L290" s="594">
        <v>2.2000000000000002</v>
      </c>
      <c r="M290" s="594">
        <v>31</v>
      </c>
      <c r="N290" s="594">
        <v>13</v>
      </c>
      <c r="O290" s="594">
        <v>403</v>
      </c>
      <c r="P290" s="616">
        <v>1.3</v>
      </c>
      <c r="Q290" s="595">
        <v>31</v>
      </c>
    </row>
    <row r="291" spans="1:17" ht="14.4" customHeight="1" x14ac:dyDescent="0.3">
      <c r="A291" s="590" t="s">
        <v>3527</v>
      </c>
      <c r="B291" s="591" t="s">
        <v>3528</v>
      </c>
      <c r="C291" s="591" t="s">
        <v>2295</v>
      </c>
      <c r="D291" s="591" t="s">
        <v>3547</v>
      </c>
      <c r="E291" s="591" t="s">
        <v>3548</v>
      </c>
      <c r="F291" s="594"/>
      <c r="G291" s="594"/>
      <c r="H291" s="594"/>
      <c r="I291" s="594"/>
      <c r="J291" s="594">
        <v>1</v>
      </c>
      <c r="K291" s="594">
        <v>205</v>
      </c>
      <c r="L291" s="594"/>
      <c r="M291" s="594">
        <v>205</v>
      </c>
      <c r="N291" s="594"/>
      <c r="O291" s="594"/>
      <c r="P291" s="616"/>
      <c r="Q291" s="595"/>
    </row>
    <row r="292" spans="1:17" ht="14.4" customHeight="1" x14ac:dyDescent="0.3">
      <c r="A292" s="590" t="s">
        <v>3527</v>
      </c>
      <c r="B292" s="591" t="s">
        <v>3528</v>
      </c>
      <c r="C292" s="591" t="s">
        <v>2295</v>
      </c>
      <c r="D292" s="591" t="s">
        <v>3549</v>
      </c>
      <c r="E292" s="591" t="s">
        <v>3550</v>
      </c>
      <c r="F292" s="594"/>
      <c r="G292" s="594"/>
      <c r="H292" s="594"/>
      <c r="I292" s="594"/>
      <c r="J292" s="594">
        <v>1</v>
      </c>
      <c r="K292" s="594">
        <v>377</v>
      </c>
      <c r="L292" s="594"/>
      <c r="M292" s="594">
        <v>377</v>
      </c>
      <c r="N292" s="594"/>
      <c r="O292" s="594"/>
      <c r="P292" s="616"/>
      <c r="Q292" s="595"/>
    </row>
    <row r="293" spans="1:17" ht="14.4" customHeight="1" x14ac:dyDescent="0.3">
      <c r="A293" s="590" t="s">
        <v>3527</v>
      </c>
      <c r="B293" s="591" t="s">
        <v>3528</v>
      </c>
      <c r="C293" s="591" t="s">
        <v>2295</v>
      </c>
      <c r="D293" s="591" t="s">
        <v>3551</v>
      </c>
      <c r="E293" s="591" t="s">
        <v>3552</v>
      </c>
      <c r="F293" s="594">
        <v>480</v>
      </c>
      <c r="G293" s="594">
        <v>53760</v>
      </c>
      <c r="H293" s="594">
        <v>1</v>
      </c>
      <c r="I293" s="594">
        <v>112</v>
      </c>
      <c r="J293" s="594">
        <v>714</v>
      </c>
      <c r="K293" s="594">
        <v>80682</v>
      </c>
      <c r="L293" s="594">
        <v>1.50078125</v>
      </c>
      <c r="M293" s="594">
        <v>113</v>
      </c>
      <c r="N293" s="594">
        <v>560</v>
      </c>
      <c r="O293" s="594">
        <v>63786</v>
      </c>
      <c r="P293" s="616">
        <v>1.1864955357142857</v>
      </c>
      <c r="Q293" s="595">
        <v>113.90357142857142</v>
      </c>
    </row>
    <row r="294" spans="1:17" ht="14.4" customHeight="1" x14ac:dyDescent="0.3">
      <c r="A294" s="590" t="s">
        <v>3527</v>
      </c>
      <c r="B294" s="591" t="s">
        <v>3528</v>
      </c>
      <c r="C294" s="591" t="s">
        <v>2295</v>
      </c>
      <c r="D294" s="591" t="s">
        <v>3553</v>
      </c>
      <c r="E294" s="591" t="s">
        <v>3554</v>
      </c>
      <c r="F294" s="594">
        <v>253</v>
      </c>
      <c r="G294" s="594">
        <v>20999</v>
      </c>
      <c r="H294" s="594">
        <v>1</v>
      </c>
      <c r="I294" s="594">
        <v>83</v>
      </c>
      <c r="J294" s="594">
        <v>409</v>
      </c>
      <c r="K294" s="594">
        <v>34356</v>
      </c>
      <c r="L294" s="594">
        <v>1.636077908471832</v>
      </c>
      <c r="M294" s="594">
        <v>84</v>
      </c>
      <c r="N294" s="594">
        <v>356</v>
      </c>
      <c r="O294" s="594">
        <v>30069</v>
      </c>
      <c r="P294" s="616">
        <v>1.4319253297776084</v>
      </c>
      <c r="Q294" s="595">
        <v>84.463483146067418</v>
      </c>
    </row>
    <row r="295" spans="1:17" ht="14.4" customHeight="1" x14ac:dyDescent="0.3">
      <c r="A295" s="590" t="s">
        <v>3527</v>
      </c>
      <c r="B295" s="591" t="s">
        <v>3528</v>
      </c>
      <c r="C295" s="591" t="s">
        <v>2295</v>
      </c>
      <c r="D295" s="591" t="s">
        <v>3555</v>
      </c>
      <c r="E295" s="591" t="s">
        <v>3556</v>
      </c>
      <c r="F295" s="594"/>
      <c r="G295" s="594"/>
      <c r="H295" s="594"/>
      <c r="I295" s="594"/>
      <c r="J295" s="594">
        <v>2</v>
      </c>
      <c r="K295" s="594">
        <v>192</v>
      </c>
      <c r="L295" s="594"/>
      <c r="M295" s="594">
        <v>96</v>
      </c>
      <c r="N295" s="594">
        <v>1</v>
      </c>
      <c r="O295" s="594">
        <v>97</v>
      </c>
      <c r="P295" s="616"/>
      <c r="Q295" s="595">
        <v>97</v>
      </c>
    </row>
    <row r="296" spans="1:17" ht="14.4" customHeight="1" x14ac:dyDescent="0.3">
      <c r="A296" s="590" t="s">
        <v>3527</v>
      </c>
      <c r="B296" s="591" t="s">
        <v>3528</v>
      </c>
      <c r="C296" s="591" t="s">
        <v>2295</v>
      </c>
      <c r="D296" s="591" t="s">
        <v>3557</v>
      </c>
      <c r="E296" s="591" t="s">
        <v>3558</v>
      </c>
      <c r="F296" s="594">
        <v>21</v>
      </c>
      <c r="G296" s="594">
        <v>441</v>
      </c>
      <c r="H296" s="594">
        <v>1</v>
      </c>
      <c r="I296" s="594">
        <v>21</v>
      </c>
      <c r="J296" s="594">
        <v>61</v>
      </c>
      <c r="K296" s="594">
        <v>1281</v>
      </c>
      <c r="L296" s="594">
        <v>2.9047619047619047</v>
      </c>
      <c r="M296" s="594">
        <v>21</v>
      </c>
      <c r="N296" s="594">
        <v>46</v>
      </c>
      <c r="O296" s="594">
        <v>966</v>
      </c>
      <c r="P296" s="616">
        <v>2.1904761904761907</v>
      </c>
      <c r="Q296" s="595">
        <v>21</v>
      </c>
    </row>
    <row r="297" spans="1:17" ht="14.4" customHeight="1" x14ac:dyDescent="0.3">
      <c r="A297" s="590" t="s">
        <v>3527</v>
      </c>
      <c r="B297" s="591" t="s">
        <v>3528</v>
      </c>
      <c r="C297" s="591" t="s">
        <v>2295</v>
      </c>
      <c r="D297" s="591" t="s">
        <v>3559</v>
      </c>
      <c r="E297" s="591" t="s">
        <v>3560</v>
      </c>
      <c r="F297" s="594">
        <v>11</v>
      </c>
      <c r="G297" s="594">
        <v>5346</v>
      </c>
      <c r="H297" s="594">
        <v>1</v>
      </c>
      <c r="I297" s="594">
        <v>486</v>
      </c>
      <c r="J297" s="594">
        <v>76</v>
      </c>
      <c r="K297" s="594">
        <v>36936</v>
      </c>
      <c r="L297" s="594">
        <v>6.9090909090909092</v>
      </c>
      <c r="M297" s="594">
        <v>486</v>
      </c>
      <c r="N297" s="594">
        <v>32</v>
      </c>
      <c r="O297" s="594">
        <v>15563</v>
      </c>
      <c r="P297" s="616">
        <v>2.9111485222596332</v>
      </c>
      <c r="Q297" s="595">
        <v>486.34375</v>
      </c>
    </row>
    <row r="298" spans="1:17" ht="14.4" customHeight="1" x14ac:dyDescent="0.3">
      <c r="A298" s="590" t="s">
        <v>3527</v>
      </c>
      <c r="B298" s="591" t="s">
        <v>3528</v>
      </c>
      <c r="C298" s="591" t="s">
        <v>2295</v>
      </c>
      <c r="D298" s="591" t="s">
        <v>3561</v>
      </c>
      <c r="E298" s="591" t="s">
        <v>3562</v>
      </c>
      <c r="F298" s="594">
        <v>55</v>
      </c>
      <c r="G298" s="594">
        <v>2200</v>
      </c>
      <c r="H298" s="594">
        <v>1</v>
      </c>
      <c r="I298" s="594">
        <v>40</v>
      </c>
      <c r="J298" s="594">
        <v>67</v>
      </c>
      <c r="K298" s="594">
        <v>2680</v>
      </c>
      <c r="L298" s="594">
        <v>1.2181818181818183</v>
      </c>
      <c r="M298" s="594">
        <v>40</v>
      </c>
      <c r="N298" s="594">
        <v>86</v>
      </c>
      <c r="O298" s="594">
        <v>3481</v>
      </c>
      <c r="P298" s="616">
        <v>1.5822727272727273</v>
      </c>
      <c r="Q298" s="595">
        <v>40.47674418604651</v>
      </c>
    </row>
    <row r="299" spans="1:17" ht="14.4" customHeight="1" x14ac:dyDescent="0.3">
      <c r="A299" s="590" t="s">
        <v>3527</v>
      </c>
      <c r="B299" s="591" t="s">
        <v>3528</v>
      </c>
      <c r="C299" s="591" t="s">
        <v>2295</v>
      </c>
      <c r="D299" s="591" t="s">
        <v>3563</v>
      </c>
      <c r="E299" s="591" t="s">
        <v>3564</v>
      </c>
      <c r="F299" s="594">
        <v>2</v>
      </c>
      <c r="G299" s="594">
        <v>1206</v>
      </c>
      <c r="H299" s="594">
        <v>1</v>
      </c>
      <c r="I299" s="594">
        <v>603</v>
      </c>
      <c r="J299" s="594">
        <v>4</v>
      </c>
      <c r="K299" s="594">
        <v>2416</v>
      </c>
      <c r="L299" s="594">
        <v>2.0033167495854065</v>
      </c>
      <c r="M299" s="594">
        <v>604</v>
      </c>
      <c r="N299" s="594">
        <v>17</v>
      </c>
      <c r="O299" s="594">
        <v>10292</v>
      </c>
      <c r="P299" s="616">
        <v>8.5339966832504146</v>
      </c>
      <c r="Q299" s="595">
        <v>605.41176470588232</v>
      </c>
    </row>
    <row r="300" spans="1:17" ht="14.4" customHeight="1" x14ac:dyDescent="0.3">
      <c r="A300" s="590" t="s">
        <v>3527</v>
      </c>
      <c r="B300" s="591" t="s">
        <v>3528</v>
      </c>
      <c r="C300" s="591" t="s">
        <v>2295</v>
      </c>
      <c r="D300" s="591" t="s">
        <v>3565</v>
      </c>
      <c r="E300" s="591" t="s">
        <v>3566</v>
      </c>
      <c r="F300" s="594"/>
      <c r="G300" s="594"/>
      <c r="H300" s="594"/>
      <c r="I300" s="594"/>
      <c r="J300" s="594">
        <v>1</v>
      </c>
      <c r="K300" s="594">
        <v>327</v>
      </c>
      <c r="L300" s="594"/>
      <c r="M300" s="594">
        <v>327</v>
      </c>
      <c r="N300" s="594"/>
      <c r="O300" s="594"/>
      <c r="P300" s="616"/>
      <c r="Q300" s="595"/>
    </row>
    <row r="301" spans="1:17" ht="14.4" customHeight="1" x14ac:dyDescent="0.3">
      <c r="A301" s="590" t="s">
        <v>3567</v>
      </c>
      <c r="B301" s="591" t="s">
        <v>3201</v>
      </c>
      <c r="C301" s="591" t="s">
        <v>2295</v>
      </c>
      <c r="D301" s="591" t="s">
        <v>3568</v>
      </c>
      <c r="E301" s="591" t="s">
        <v>3569</v>
      </c>
      <c r="F301" s="594">
        <v>1</v>
      </c>
      <c r="G301" s="594">
        <v>825</v>
      </c>
      <c r="H301" s="594">
        <v>1</v>
      </c>
      <c r="I301" s="594">
        <v>825</v>
      </c>
      <c r="J301" s="594">
        <v>2</v>
      </c>
      <c r="K301" s="594">
        <v>1652</v>
      </c>
      <c r="L301" s="594">
        <v>2.0024242424242424</v>
      </c>
      <c r="M301" s="594">
        <v>826</v>
      </c>
      <c r="N301" s="594"/>
      <c r="O301" s="594"/>
      <c r="P301" s="616"/>
      <c r="Q301" s="595"/>
    </row>
    <row r="302" spans="1:17" ht="14.4" customHeight="1" x14ac:dyDescent="0.3">
      <c r="A302" s="590" t="s">
        <v>3567</v>
      </c>
      <c r="B302" s="591" t="s">
        <v>3201</v>
      </c>
      <c r="C302" s="591" t="s">
        <v>2295</v>
      </c>
      <c r="D302" s="591" t="s">
        <v>3091</v>
      </c>
      <c r="E302" s="591" t="s">
        <v>3092</v>
      </c>
      <c r="F302" s="594">
        <v>5</v>
      </c>
      <c r="G302" s="594">
        <v>830</v>
      </c>
      <c r="H302" s="594">
        <v>1</v>
      </c>
      <c r="I302" s="594">
        <v>166</v>
      </c>
      <c r="J302" s="594">
        <v>29</v>
      </c>
      <c r="K302" s="594">
        <v>4814</v>
      </c>
      <c r="L302" s="594">
        <v>5.8</v>
      </c>
      <c r="M302" s="594">
        <v>166</v>
      </c>
      <c r="N302" s="594">
        <v>14</v>
      </c>
      <c r="O302" s="594">
        <v>2332</v>
      </c>
      <c r="P302" s="616">
        <v>2.8096385542168676</v>
      </c>
      <c r="Q302" s="595">
        <v>166.57142857142858</v>
      </c>
    </row>
    <row r="303" spans="1:17" ht="14.4" customHeight="1" x14ac:dyDescent="0.3">
      <c r="A303" s="590" t="s">
        <v>3567</v>
      </c>
      <c r="B303" s="591" t="s">
        <v>3201</v>
      </c>
      <c r="C303" s="591" t="s">
        <v>2295</v>
      </c>
      <c r="D303" s="591" t="s">
        <v>3570</v>
      </c>
      <c r="E303" s="591" t="s">
        <v>3571</v>
      </c>
      <c r="F303" s="594">
        <v>7</v>
      </c>
      <c r="G303" s="594">
        <v>1204</v>
      </c>
      <c r="H303" s="594">
        <v>1</v>
      </c>
      <c r="I303" s="594">
        <v>172</v>
      </c>
      <c r="J303" s="594">
        <v>33</v>
      </c>
      <c r="K303" s="594">
        <v>5676</v>
      </c>
      <c r="L303" s="594">
        <v>4.7142857142857144</v>
      </c>
      <c r="M303" s="594">
        <v>172</v>
      </c>
      <c r="N303" s="594">
        <v>14</v>
      </c>
      <c r="O303" s="594">
        <v>2416</v>
      </c>
      <c r="P303" s="616">
        <v>2.0066445182724251</v>
      </c>
      <c r="Q303" s="595">
        <v>172.57142857142858</v>
      </c>
    </row>
    <row r="304" spans="1:17" ht="14.4" customHeight="1" x14ac:dyDescent="0.3">
      <c r="A304" s="590" t="s">
        <v>3567</v>
      </c>
      <c r="B304" s="591" t="s">
        <v>3201</v>
      </c>
      <c r="C304" s="591" t="s">
        <v>2295</v>
      </c>
      <c r="D304" s="591" t="s">
        <v>3572</v>
      </c>
      <c r="E304" s="591" t="s">
        <v>3573</v>
      </c>
      <c r="F304" s="594">
        <v>21</v>
      </c>
      <c r="G304" s="594">
        <v>7287</v>
      </c>
      <c r="H304" s="594">
        <v>1</v>
      </c>
      <c r="I304" s="594">
        <v>347</v>
      </c>
      <c r="J304" s="594">
        <v>98</v>
      </c>
      <c r="K304" s="594">
        <v>34104</v>
      </c>
      <c r="L304" s="594">
        <v>4.6801152737752165</v>
      </c>
      <c r="M304" s="594">
        <v>348</v>
      </c>
      <c r="N304" s="594">
        <v>39</v>
      </c>
      <c r="O304" s="594">
        <v>13593</v>
      </c>
      <c r="P304" s="616">
        <v>1.8653766982297242</v>
      </c>
      <c r="Q304" s="595">
        <v>348.53846153846155</v>
      </c>
    </row>
    <row r="305" spans="1:17" ht="14.4" customHeight="1" x14ac:dyDescent="0.3">
      <c r="A305" s="590" t="s">
        <v>3567</v>
      </c>
      <c r="B305" s="591" t="s">
        <v>3201</v>
      </c>
      <c r="C305" s="591" t="s">
        <v>2295</v>
      </c>
      <c r="D305" s="591" t="s">
        <v>3121</v>
      </c>
      <c r="E305" s="591" t="s">
        <v>3122</v>
      </c>
      <c r="F305" s="594">
        <v>1</v>
      </c>
      <c r="G305" s="594">
        <v>147</v>
      </c>
      <c r="H305" s="594">
        <v>1</v>
      </c>
      <c r="I305" s="594">
        <v>147</v>
      </c>
      <c r="J305" s="594"/>
      <c r="K305" s="594"/>
      <c r="L305" s="594"/>
      <c r="M305" s="594"/>
      <c r="N305" s="594">
        <v>1</v>
      </c>
      <c r="O305" s="594">
        <v>147</v>
      </c>
      <c r="P305" s="616">
        <v>1</v>
      </c>
      <c r="Q305" s="595">
        <v>147</v>
      </c>
    </row>
    <row r="306" spans="1:17" ht="14.4" customHeight="1" x14ac:dyDescent="0.3">
      <c r="A306" s="590" t="s">
        <v>3567</v>
      </c>
      <c r="B306" s="591" t="s">
        <v>3201</v>
      </c>
      <c r="C306" s="591" t="s">
        <v>2295</v>
      </c>
      <c r="D306" s="591" t="s">
        <v>3574</v>
      </c>
      <c r="E306" s="591" t="s">
        <v>3575</v>
      </c>
      <c r="F306" s="594">
        <v>7</v>
      </c>
      <c r="G306" s="594">
        <v>266</v>
      </c>
      <c r="H306" s="594">
        <v>1</v>
      </c>
      <c r="I306" s="594">
        <v>38</v>
      </c>
      <c r="J306" s="594">
        <v>31</v>
      </c>
      <c r="K306" s="594">
        <v>1178</v>
      </c>
      <c r="L306" s="594">
        <v>4.4285714285714288</v>
      </c>
      <c r="M306" s="594">
        <v>38</v>
      </c>
      <c r="N306" s="594">
        <v>13</v>
      </c>
      <c r="O306" s="594">
        <v>502</v>
      </c>
      <c r="P306" s="616">
        <v>1.887218045112782</v>
      </c>
      <c r="Q306" s="595">
        <v>38.615384615384613</v>
      </c>
    </row>
    <row r="307" spans="1:17" ht="14.4" customHeight="1" x14ac:dyDescent="0.3">
      <c r="A307" s="590" t="s">
        <v>3567</v>
      </c>
      <c r="B307" s="591" t="s">
        <v>3201</v>
      </c>
      <c r="C307" s="591" t="s">
        <v>2295</v>
      </c>
      <c r="D307" s="591" t="s">
        <v>3153</v>
      </c>
      <c r="E307" s="591" t="s">
        <v>3154</v>
      </c>
      <c r="F307" s="594">
        <v>5</v>
      </c>
      <c r="G307" s="594">
        <v>845</v>
      </c>
      <c r="H307" s="594">
        <v>1</v>
      </c>
      <c r="I307" s="594">
        <v>169</v>
      </c>
      <c r="J307" s="594">
        <v>29</v>
      </c>
      <c r="K307" s="594">
        <v>4901</v>
      </c>
      <c r="L307" s="594">
        <v>5.8</v>
      </c>
      <c r="M307" s="594">
        <v>169</v>
      </c>
      <c r="N307" s="594">
        <v>14</v>
      </c>
      <c r="O307" s="594">
        <v>2374</v>
      </c>
      <c r="P307" s="616">
        <v>2.8094674556213017</v>
      </c>
      <c r="Q307" s="595">
        <v>169.57142857142858</v>
      </c>
    </row>
    <row r="308" spans="1:17" ht="14.4" customHeight="1" x14ac:dyDescent="0.3">
      <c r="A308" s="590" t="s">
        <v>3567</v>
      </c>
      <c r="B308" s="591" t="s">
        <v>3201</v>
      </c>
      <c r="C308" s="591" t="s">
        <v>2295</v>
      </c>
      <c r="D308" s="591" t="s">
        <v>3576</v>
      </c>
      <c r="E308" s="591" t="s">
        <v>3577</v>
      </c>
      <c r="F308" s="594">
        <v>2</v>
      </c>
      <c r="G308" s="594">
        <v>694</v>
      </c>
      <c r="H308" s="594">
        <v>1</v>
      </c>
      <c r="I308" s="594">
        <v>347</v>
      </c>
      <c r="J308" s="594">
        <v>2</v>
      </c>
      <c r="K308" s="594">
        <v>694</v>
      </c>
      <c r="L308" s="594">
        <v>1</v>
      </c>
      <c r="M308" s="594">
        <v>347</v>
      </c>
      <c r="N308" s="594"/>
      <c r="O308" s="594"/>
      <c r="P308" s="616"/>
      <c r="Q308" s="595"/>
    </row>
    <row r="309" spans="1:17" ht="14.4" customHeight="1" x14ac:dyDescent="0.3">
      <c r="A309" s="590" t="s">
        <v>3567</v>
      </c>
      <c r="B309" s="591" t="s">
        <v>3201</v>
      </c>
      <c r="C309" s="591" t="s">
        <v>2295</v>
      </c>
      <c r="D309" s="591" t="s">
        <v>3169</v>
      </c>
      <c r="E309" s="591" t="s">
        <v>3170</v>
      </c>
      <c r="F309" s="594">
        <v>5</v>
      </c>
      <c r="G309" s="594">
        <v>860</v>
      </c>
      <c r="H309" s="594">
        <v>1</v>
      </c>
      <c r="I309" s="594">
        <v>172</v>
      </c>
      <c r="J309" s="594">
        <v>29</v>
      </c>
      <c r="K309" s="594">
        <v>4988</v>
      </c>
      <c r="L309" s="594">
        <v>5.8</v>
      </c>
      <c r="M309" s="594">
        <v>172</v>
      </c>
      <c r="N309" s="594">
        <v>14</v>
      </c>
      <c r="O309" s="594">
        <v>2416</v>
      </c>
      <c r="P309" s="616">
        <v>2.8093023255813954</v>
      </c>
      <c r="Q309" s="595">
        <v>172.57142857142858</v>
      </c>
    </row>
    <row r="310" spans="1:17" ht="14.4" customHeight="1" x14ac:dyDescent="0.3">
      <c r="A310" s="590" t="s">
        <v>3567</v>
      </c>
      <c r="B310" s="591" t="s">
        <v>3201</v>
      </c>
      <c r="C310" s="591" t="s">
        <v>2295</v>
      </c>
      <c r="D310" s="591" t="s">
        <v>3578</v>
      </c>
      <c r="E310" s="591" t="s">
        <v>3579</v>
      </c>
      <c r="F310" s="594">
        <v>7</v>
      </c>
      <c r="G310" s="594">
        <v>1162</v>
      </c>
      <c r="H310" s="594">
        <v>1</v>
      </c>
      <c r="I310" s="594">
        <v>166</v>
      </c>
      <c r="J310" s="594">
        <v>32</v>
      </c>
      <c r="K310" s="594">
        <v>5312</v>
      </c>
      <c r="L310" s="594">
        <v>4.5714285714285712</v>
      </c>
      <c r="M310" s="594">
        <v>166</v>
      </c>
      <c r="N310" s="594">
        <v>14</v>
      </c>
      <c r="O310" s="594">
        <v>2332</v>
      </c>
      <c r="P310" s="616">
        <v>2.0068846815834767</v>
      </c>
      <c r="Q310" s="595">
        <v>166.57142857142858</v>
      </c>
    </row>
    <row r="311" spans="1:17" ht="14.4" customHeight="1" x14ac:dyDescent="0.3">
      <c r="A311" s="590" t="s">
        <v>485</v>
      </c>
      <c r="B311" s="591" t="s">
        <v>2873</v>
      </c>
      <c r="C311" s="591" t="s">
        <v>2295</v>
      </c>
      <c r="D311" s="591" t="s">
        <v>2874</v>
      </c>
      <c r="E311" s="591" t="s">
        <v>2875</v>
      </c>
      <c r="F311" s="594"/>
      <c r="G311" s="594"/>
      <c r="H311" s="594"/>
      <c r="I311" s="594"/>
      <c r="J311" s="594">
        <v>1</v>
      </c>
      <c r="K311" s="594">
        <v>1114</v>
      </c>
      <c r="L311" s="594"/>
      <c r="M311" s="594">
        <v>1114</v>
      </c>
      <c r="N311" s="594"/>
      <c r="O311" s="594"/>
      <c r="P311" s="616"/>
      <c r="Q311" s="595"/>
    </row>
    <row r="312" spans="1:17" ht="14.4" customHeight="1" x14ac:dyDescent="0.3">
      <c r="A312" s="590" t="s">
        <v>485</v>
      </c>
      <c r="B312" s="591" t="s">
        <v>2873</v>
      </c>
      <c r="C312" s="591" t="s">
        <v>2295</v>
      </c>
      <c r="D312" s="591" t="s">
        <v>2876</v>
      </c>
      <c r="E312" s="591" t="s">
        <v>2877</v>
      </c>
      <c r="F312" s="594"/>
      <c r="G312" s="594"/>
      <c r="H312" s="594"/>
      <c r="I312" s="594"/>
      <c r="J312" s="594">
        <v>2</v>
      </c>
      <c r="K312" s="594">
        <v>652</v>
      </c>
      <c r="L312" s="594"/>
      <c r="M312" s="594">
        <v>326</v>
      </c>
      <c r="N312" s="594"/>
      <c r="O312" s="594"/>
      <c r="P312" s="616"/>
      <c r="Q312" s="595"/>
    </row>
    <row r="313" spans="1:17" ht="14.4" customHeight="1" x14ac:dyDescent="0.3">
      <c r="A313" s="590" t="s">
        <v>485</v>
      </c>
      <c r="B313" s="591" t="s">
        <v>2873</v>
      </c>
      <c r="C313" s="591" t="s">
        <v>2295</v>
      </c>
      <c r="D313" s="591" t="s">
        <v>2878</v>
      </c>
      <c r="E313" s="591" t="s">
        <v>2879</v>
      </c>
      <c r="F313" s="594"/>
      <c r="G313" s="594"/>
      <c r="H313" s="594"/>
      <c r="I313" s="594"/>
      <c r="J313" s="594">
        <v>1</v>
      </c>
      <c r="K313" s="594">
        <v>278</v>
      </c>
      <c r="L313" s="594"/>
      <c r="M313" s="594">
        <v>278</v>
      </c>
      <c r="N313" s="594"/>
      <c r="O313" s="594"/>
      <c r="P313" s="616"/>
      <c r="Q313" s="595"/>
    </row>
    <row r="314" spans="1:17" ht="14.4" customHeight="1" x14ac:dyDescent="0.3">
      <c r="A314" s="590" t="s">
        <v>485</v>
      </c>
      <c r="B314" s="591" t="s">
        <v>2873</v>
      </c>
      <c r="C314" s="591" t="s">
        <v>2295</v>
      </c>
      <c r="D314" s="591" t="s">
        <v>2880</v>
      </c>
      <c r="E314" s="591" t="s">
        <v>2881</v>
      </c>
      <c r="F314" s="594"/>
      <c r="G314" s="594"/>
      <c r="H314" s="594"/>
      <c r="I314" s="594"/>
      <c r="J314" s="594">
        <v>2</v>
      </c>
      <c r="K314" s="594">
        <v>11144</v>
      </c>
      <c r="L314" s="594"/>
      <c r="M314" s="594">
        <v>5572</v>
      </c>
      <c r="N314" s="594"/>
      <c r="O314" s="594"/>
      <c r="P314" s="616"/>
      <c r="Q314" s="595"/>
    </row>
    <row r="315" spans="1:17" ht="14.4" customHeight="1" x14ac:dyDescent="0.3">
      <c r="A315" s="590" t="s">
        <v>3580</v>
      </c>
      <c r="B315" s="591" t="s">
        <v>3581</v>
      </c>
      <c r="C315" s="591" t="s">
        <v>2295</v>
      </c>
      <c r="D315" s="591" t="s">
        <v>3582</v>
      </c>
      <c r="E315" s="591" t="s">
        <v>3583</v>
      </c>
      <c r="F315" s="594"/>
      <c r="G315" s="594"/>
      <c r="H315" s="594"/>
      <c r="I315" s="594"/>
      <c r="J315" s="594">
        <v>5</v>
      </c>
      <c r="K315" s="594">
        <v>2485</v>
      </c>
      <c r="L315" s="594"/>
      <c r="M315" s="594">
        <v>497</v>
      </c>
      <c r="N315" s="594">
        <v>9</v>
      </c>
      <c r="O315" s="594">
        <v>4485</v>
      </c>
      <c r="P315" s="616"/>
      <c r="Q315" s="595">
        <v>498.33333333333331</v>
      </c>
    </row>
    <row r="316" spans="1:17" ht="14.4" customHeight="1" x14ac:dyDescent="0.3">
      <c r="A316" s="590" t="s">
        <v>3580</v>
      </c>
      <c r="B316" s="591" t="s">
        <v>3581</v>
      </c>
      <c r="C316" s="591" t="s">
        <v>2295</v>
      </c>
      <c r="D316" s="591" t="s">
        <v>3584</v>
      </c>
      <c r="E316" s="591" t="s">
        <v>3585</v>
      </c>
      <c r="F316" s="594"/>
      <c r="G316" s="594"/>
      <c r="H316" s="594"/>
      <c r="I316" s="594"/>
      <c r="J316" s="594">
        <v>3</v>
      </c>
      <c r="K316" s="594">
        <v>18771</v>
      </c>
      <c r="L316" s="594"/>
      <c r="M316" s="594">
        <v>6257</v>
      </c>
      <c r="N316" s="594">
        <v>8</v>
      </c>
      <c r="O316" s="594">
        <v>50113</v>
      </c>
      <c r="P316" s="616"/>
      <c r="Q316" s="595">
        <v>6264.125</v>
      </c>
    </row>
    <row r="317" spans="1:17" ht="14.4" customHeight="1" x14ac:dyDescent="0.3">
      <c r="A317" s="590" t="s">
        <v>3580</v>
      </c>
      <c r="B317" s="591" t="s">
        <v>3581</v>
      </c>
      <c r="C317" s="591" t="s">
        <v>2295</v>
      </c>
      <c r="D317" s="591" t="s">
        <v>3204</v>
      </c>
      <c r="E317" s="591" t="s">
        <v>3205</v>
      </c>
      <c r="F317" s="594">
        <v>19</v>
      </c>
      <c r="G317" s="594">
        <v>23484</v>
      </c>
      <c r="H317" s="594">
        <v>1</v>
      </c>
      <c r="I317" s="594">
        <v>1236</v>
      </c>
      <c r="J317" s="594">
        <v>5</v>
      </c>
      <c r="K317" s="594">
        <v>6225</v>
      </c>
      <c r="L317" s="594">
        <v>0.26507409299948903</v>
      </c>
      <c r="M317" s="594">
        <v>1245</v>
      </c>
      <c r="N317" s="594">
        <v>9</v>
      </c>
      <c r="O317" s="594">
        <v>11253</v>
      </c>
      <c r="P317" s="616">
        <v>0.47917731221257026</v>
      </c>
      <c r="Q317" s="595">
        <v>1250.3333333333333</v>
      </c>
    </row>
    <row r="318" spans="1:17" ht="14.4" customHeight="1" x14ac:dyDescent="0.3">
      <c r="A318" s="590" t="s">
        <v>3580</v>
      </c>
      <c r="B318" s="591" t="s">
        <v>3581</v>
      </c>
      <c r="C318" s="591" t="s">
        <v>2295</v>
      </c>
      <c r="D318" s="591" t="s">
        <v>3509</v>
      </c>
      <c r="E318" s="591" t="s">
        <v>3510</v>
      </c>
      <c r="F318" s="594"/>
      <c r="G318" s="594"/>
      <c r="H318" s="594"/>
      <c r="I318" s="594"/>
      <c r="J318" s="594">
        <v>5</v>
      </c>
      <c r="K318" s="594">
        <v>820</v>
      </c>
      <c r="L318" s="594"/>
      <c r="M318" s="594">
        <v>164</v>
      </c>
      <c r="N318" s="594">
        <v>8</v>
      </c>
      <c r="O318" s="594">
        <v>1315</v>
      </c>
      <c r="P318" s="616"/>
      <c r="Q318" s="595">
        <v>164.375</v>
      </c>
    </row>
    <row r="319" spans="1:17" ht="14.4" customHeight="1" x14ac:dyDescent="0.3">
      <c r="A319" s="590" t="s">
        <v>3580</v>
      </c>
      <c r="B319" s="591" t="s">
        <v>3581</v>
      </c>
      <c r="C319" s="591" t="s">
        <v>2295</v>
      </c>
      <c r="D319" s="591" t="s">
        <v>3179</v>
      </c>
      <c r="E319" s="591" t="s">
        <v>3180</v>
      </c>
      <c r="F319" s="594">
        <v>45</v>
      </c>
      <c r="G319" s="594">
        <v>25290</v>
      </c>
      <c r="H319" s="594">
        <v>1</v>
      </c>
      <c r="I319" s="594">
        <v>562</v>
      </c>
      <c r="J319" s="594"/>
      <c r="K319" s="594"/>
      <c r="L319" s="594"/>
      <c r="M319" s="594"/>
      <c r="N319" s="594"/>
      <c r="O319" s="594"/>
      <c r="P319" s="616"/>
      <c r="Q319" s="595"/>
    </row>
    <row r="320" spans="1:17" ht="14.4" customHeight="1" x14ac:dyDescent="0.3">
      <c r="A320" s="590" t="s">
        <v>3580</v>
      </c>
      <c r="B320" s="591" t="s">
        <v>3581</v>
      </c>
      <c r="C320" s="591" t="s">
        <v>2295</v>
      </c>
      <c r="D320" s="591" t="s">
        <v>3181</v>
      </c>
      <c r="E320" s="591" t="s">
        <v>3182</v>
      </c>
      <c r="F320" s="594">
        <v>45</v>
      </c>
      <c r="G320" s="594">
        <v>45000</v>
      </c>
      <c r="H320" s="594">
        <v>1</v>
      </c>
      <c r="I320" s="594">
        <v>1000</v>
      </c>
      <c r="J320" s="594"/>
      <c r="K320" s="594"/>
      <c r="L320" s="594"/>
      <c r="M320" s="594"/>
      <c r="N320" s="594"/>
      <c r="O320" s="594"/>
      <c r="P320" s="616"/>
      <c r="Q320" s="595"/>
    </row>
    <row r="321" spans="1:17" ht="14.4" customHeight="1" x14ac:dyDescent="0.3">
      <c r="A321" s="590" t="s">
        <v>3580</v>
      </c>
      <c r="B321" s="591" t="s">
        <v>3581</v>
      </c>
      <c r="C321" s="591" t="s">
        <v>2295</v>
      </c>
      <c r="D321" s="591" t="s">
        <v>3513</v>
      </c>
      <c r="E321" s="591" t="s">
        <v>3514</v>
      </c>
      <c r="F321" s="594"/>
      <c r="G321" s="594"/>
      <c r="H321" s="594"/>
      <c r="I321" s="594"/>
      <c r="J321" s="594"/>
      <c r="K321" s="594"/>
      <c r="L321" s="594"/>
      <c r="M321" s="594"/>
      <c r="N321" s="594">
        <v>1</v>
      </c>
      <c r="O321" s="594">
        <v>167</v>
      </c>
      <c r="P321" s="616"/>
      <c r="Q321" s="595">
        <v>167</v>
      </c>
    </row>
    <row r="322" spans="1:17" ht="14.4" customHeight="1" thickBot="1" x14ac:dyDescent="0.35">
      <c r="A322" s="596" t="s">
        <v>3580</v>
      </c>
      <c r="B322" s="597" t="s">
        <v>3581</v>
      </c>
      <c r="C322" s="597" t="s">
        <v>2295</v>
      </c>
      <c r="D322" s="597" t="s">
        <v>3586</v>
      </c>
      <c r="E322" s="597" t="s">
        <v>3587</v>
      </c>
      <c r="F322" s="600">
        <v>19</v>
      </c>
      <c r="G322" s="600">
        <v>6935</v>
      </c>
      <c r="H322" s="600">
        <v>1</v>
      </c>
      <c r="I322" s="600">
        <v>365</v>
      </c>
      <c r="J322" s="600"/>
      <c r="K322" s="600"/>
      <c r="L322" s="600"/>
      <c r="M322" s="600"/>
      <c r="N322" s="600"/>
      <c r="O322" s="600"/>
      <c r="P322" s="608"/>
      <c r="Q322" s="60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7" customWidth="1"/>
    <col min="6" max="6" width="6.109375" style="188" customWidth="1"/>
    <col min="7" max="9" width="8.33203125" style="189" customWidth="1"/>
    <col min="10" max="10" width="6.109375" style="188" customWidth="1"/>
    <col min="11" max="13" width="8.33203125" style="189" customWidth="1"/>
    <col min="14" max="14" width="8.33203125" style="187" customWidth="1"/>
    <col min="15" max="16384" width="8.88671875" style="177"/>
  </cols>
  <sheetData>
    <row r="1" spans="1:14" ht="18.600000000000001" customHeight="1" thickBot="1" x14ac:dyDescent="0.4">
      <c r="A1" s="536" t="s">
        <v>162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</row>
    <row r="2" spans="1:14" ht="14.4" customHeight="1" thickBot="1" x14ac:dyDescent="0.35">
      <c r="A2" s="364" t="s">
        <v>294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1348</v>
      </c>
      <c r="D3" s="182">
        <f>SUBTOTAL(9,D6:D1048576)</f>
        <v>1438</v>
      </c>
      <c r="E3" s="182">
        <f>SUBTOTAL(9,E6:E1048576)</f>
        <v>1415</v>
      </c>
      <c r="F3" s="183">
        <f>IF(OR(E3=0,C3=0),"",E3/C3)</f>
        <v>1.0497032640949555</v>
      </c>
      <c r="G3" s="184">
        <f>SUBTOTAL(9,G6:G1048576)</f>
        <v>15802571</v>
      </c>
      <c r="H3" s="185">
        <f>SUBTOTAL(9,H6:H1048576)</f>
        <v>16719613</v>
      </c>
      <c r="I3" s="185">
        <f>SUBTOTAL(9,I6:I1048576)</f>
        <v>15473120</v>
      </c>
      <c r="J3" s="183">
        <f>IF(OR(I3=0,G3=0),"",I3/G3)</f>
        <v>0.9791520632940045</v>
      </c>
      <c r="K3" s="184">
        <f>SUBTOTAL(9,K6:K1048576)</f>
        <v>3494000</v>
      </c>
      <c r="L3" s="185">
        <f>SUBTOTAL(9,L6:L1048576)</f>
        <v>3726000</v>
      </c>
      <c r="M3" s="185">
        <f>SUBTOTAL(9,M6:M1048576)</f>
        <v>3239500</v>
      </c>
      <c r="N3" s="186">
        <f>IF(OR(M3=0,E3=0),"",M3/E3)</f>
        <v>2289.3992932862193</v>
      </c>
    </row>
    <row r="4" spans="1:14" ht="14.4" customHeight="1" x14ac:dyDescent="0.3">
      <c r="A4" s="538" t="s">
        <v>77</v>
      </c>
      <c r="B4" s="539" t="s">
        <v>11</v>
      </c>
      <c r="C4" s="540" t="s">
        <v>78</v>
      </c>
      <c r="D4" s="540"/>
      <c r="E4" s="540"/>
      <c r="F4" s="541"/>
      <c r="G4" s="542" t="s">
        <v>14</v>
      </c>
      <c r="H4" s="540"/>
      <c r="I4" s="540"/>
      <c r="J4" s="541"/>
      <c r="K4" s="542" t="s">
        <v>79</v>
      </c>
      <c r="L4" s="540"/>
      <c r="M4" s="540"/>
      <c r="N4" s="543"/>
    </row>
    <row r="5" spans="1:14" ht="14.4" customHeight="1" thickBot="1" x14ac:dyDescent="0.35">
      <c r="A5" s="770"/>
      <c r="B5" s="771"/>
      <c r="C5" s="778">
        <v>2012</v>
      </c>
      <c r="D5" s="778">
        <v>2013</v>
      </c>
      <c r="E5" s="778">
        <v>2014</v>
      </c>
      <c r="F5" s="779" t="s">
        <v>2</v>
      </c>
      <c r="G5" s="789">
        <v>2012</v>
      </c>
      <c r="H5" s="778">
        <v>2013</v>
      </c>
      <c r="I5" s="778">
        <v>2014</v>
      </c>
      <c r="J5" s="779" t="s">
        <v>2</v>
      </c>
      <c r="K5" s="789">
        <v>2012</v>
      </c>
      <c r="L5" s="778">
        <v>2013</v>
      </c>
      <c r="M5" s="778">
        <v>2014</v>
      </c>
      <c r="N5" s="796" t="s">
        <v>80</v>
      </c>
    </row>
    <row r="6" spans="1:14" ht="14.4" customHeight="1" x14ac:dyDescent="0.3">
      <c r="A6" s="772" t="s">
        <v>2659</v>
      </c>
      <c r="B6" s="775" t="s">
        <v>3589</v>
      </c>
      <c r="C6" s="780">
        <v>7</v>
      </c>
      <c r="D6" s="781">
        <v>12</v>
      </c>
      <c r="E6" s="781">
        <v>3</v>
      </c>
      <c r="F6" s="786">
        <v>0.42857142857142855</v>
      </c>
      <c r="G6" s="790">
        <v>201351</v>
      </c>
      <c r="H6" s="791">
        <v>345232</v>
      </c>
      <c r="I6" s="791">
        <v>86308</v>
      </c>
      <c r="J6" s="786">
        <v>0.42864450635954132</v>
      </c>
      <c r="K6" s="790">
        <v>77000</v>
      </c>
      <c r="L6" s="791">
        <v>132000</v>
      </c>
      <c r="M6" s="791">
        <v>33000</v>
      </c>
      <c r="N6" s="797">
        <v>11000</v>
      </c>
    </row>
    <row r="7" spans="1:14" ht="14.4" customHeight="1" x14ac:dyDescent="0.3">
      <c r="A7" s="773" t="s">
        <v>2693</v>
      </c>
      <c r="B7" s="776" t="s">
        <v>3589</v>
      </c>
      <c r="C7" s="782">
        <v>41</v>
      </c>
      <c r="D7" s="783">
        <v>55</v>
      </c>
      <c r="E7" s="783">
        <v>30</v>
      </c>
      <c r="F7" s="787">
        <v>0.73170731707317072</v>
      </c>
      <c r="G7" s="792">
        <v>1031648</v>
      </c>
      <c r="H7" s="793">
        <v>1384317</v>
      </c>
      <c r="I7" s="793">
        <v>755082</v>
      </c>
      <c r="J7" s="787">
        <v>0.73191825118645115</v>
      </c>
      <c r="K7" s="792">
        <v>369000</v>
      </c>
      <c r="L7" s="793">
        <v>495000</v>
      </c>
      <c r="M7" s="793">
        <v>270000</v>
      </c>
      <c r="N7" s="798">
        <v>9000</v>
      </c>
    </row>
    <row r="8" spans="1:14" ht="14.4" customHeight="1" x14ac:dyDescent="0.3">
      <c r="A8" s="773" t="s">
        <v>2688</v>
      </c>
      <c r="B8" s="776" t="s">
        <v>3589</v>
      </c>
      <c r="C8" s="782">
        <v>116</v>
      </c>
      <c r="D8" s="783">
        <v>110</v>
      </c>
      <c r="E8" s="783">
        <v>80</v>
      </c>
      <c r="F8" s="787">
        <v>0.68965517241379315</v>
      </c>
      <c r="G8" s="792">
        <v>2501366</v>
      </c>
      <c r="H8" s="793">
        <v>2372628</v>
      </c>
      <c r="I8" s="793">
        <v>1725552</v>
      </c>
      <c r="J8" s="787">
        <v>0.68984386930980912</v>
      </c>
      <c r="K8" s="792">
        <v>812000</v>
      </c>
      <c r="L8" s="793">
        <v>770000</v>
      </c>
      <c r="M8" s="793">
        <v>560000</v>
      </c>
      <c r="N8" s="798">
        <v>7000</v>
      </c>
    </row>
    <row r="9" spans="1:14" ht="14.4" customHeight="1" x14ac:dyDescent="0.3">
      <c r="A9" s="773" t="s">
        <v>2661</v>
      </c>
      <c r="B9" s="776" t="s">
        <v>3589</v>
      </c>
      <c r="C9" s="782">
        <v>1059</v>
      </c>
      <c r="D9" s="783">
        <v>1077</v>
      </c>
      <c r="E9" s="783">
        <v>1088</v>
      </c>
      <c r="F9" s="787">
        <v>1.0273843248347498</v>
      </c>
      <c r="G9" s="792">
        <v>11333106</v>
      </c>
      <c r="H9" s="793">
        <v>11531398</v>
      </c>
      <c r="I9" s="793">
        <v>11649542</v>
      </c>
      <c r="J9" s="787">
        <v>1.027921383599518</v>
      </c>
      <c r="K9" s="792">
        <v>2118000</v>
      </c>
      <c r="L9" s="793">
        <v>2154000</v>
      </c>
      <c r="M9" s="793">
        <v>2176000</v>
      </c>
      <c r="N9" s="798">
        <v>2000</v>
      </c>
    </row>
    <row r="10" spans="1:14" ht="14.4" customHeight="1" x14ac:dyDescent="0.3">
      <c r="A10" s="773" t="s">
        <v>2690</v>
      </c>
      <c r="B10" s="776" t="s">
        <v>3589</v>
      </c>
      <c r="C10" s="782">
        <v>111</v>
      </c>
      <c r="D10" s="783">
        <v>166</v>
      </c>
      <c r="E10" s="783">
        <v>187</v>
      </c>
      <c r="F10" s="787">
        <v>1.6846846846846846</v>
      </c>
      <c r="G10" s="792">
        <v>666207</v>
      </c>
      <c r="H10" s="793">
        <v>997329</v>
      </c>
      <c r="I10" s="793">
        <v>1123570</v>
      </c>
      <c r="J10" s="787">
        <v>1.6865178540603747</v>
      </c>
      <c r="K10" s="792">
        <v>111000</v>
      </c>
      <c r="L10" s="793">
        <v>166000</v>
      </c>
      <c r="M10" s="793">
        <v>187000</v>
      </c>
      <c r="N10" s="798">
        <v>1000</v>
      </c>
    </row>
    <row r="11" spans="1:14" ht="14.4" customHeight="1" thickBot="1" x14ac:dyDescent="0.35">
      <c r="A11" s="774" t="s">
        <v>2684</v>
      </c>
      <c r="B11" s="777" t="s">
        <v>3589</v>
      </c>
      <c r="C11" s="784">
        <v>14</v>
      </c>
      <c r="D11" s="785">
        <v>18</v>
      </c>
      <c r="E11" s="785">
        <v>27</v>
      </c>
      <c r="F11" s="788">
        <v>1.9285714285714286</v>
      </c>
      <c r="G11" s="794">
        <v>68893</v>
      </c>
      <c r="H11" s="795">
        <v>88709</v>
      </c>
      <c r="I11" s="795">
        <v>133066</v>
      </c>
      <c r="J11" s="788">
        <v>1.9314879595895085</v>
      </c>
      <c r="K11" s="794">
        <v>7000</v>
      </c>
      <c r="L11" s="795">
        <v>9000</v>
      </c>
      <c r="M11" s="795">
        <v>13500</v>
      </c>
      <c r="N11" s="79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41" bestFit="1" customWidth="1"/>
    <col min="2" max="3" width="9.5546875" style="241" customWidth="1"/>
    <col min="4" max="4" width="2.21875" style="241" customWidth="1"/>
    <col min="5" max="8" width="9.5546875" style="241" customWidth="1"/>
    <col min="9" max="16384" width="8.88671875" style="241"/>
  </cols>
  <sheetData>
    <row r="1" spans="1:8" ht="18.600000000000001" customHeight="1" thickBot="1" x14ac:dyDescent="0.4">
      <c r="A1" s="436" t="s">
        <v>157</v>
      </c>
      <c r="B1" s="436"/>
      <c r="C1" s="436"/>
      <c r="D1" s="436"/>
      <c r="E1" s="436"/>
      <c r="F1" s="436"/>
      <c r="G1" s="437"/>
      <c r="H1" s="437"/>
    </row>
    <row r="2" spans="1:8" ht="14.4" customHeight="1" thickBot="1" x14ac:dyDescent="0.35">
      <c r="A2" s="364" t="s">
        <v>294</v>
      </c>
      <c r="B2" s="211"/>
      <c r="C2" s="211"/>
      <c r="D2" s="211"/>
      <c r="E2" s="211"/>
      <c r="F2" s="211"/>
    </row>
    <row r="3" spans="1:8" ht="14.4" customHeight="1" x14ac:dyDescent="0.3">
      <c r="A3" s="438"/>
      <c r="B3" s="207">
        <v>2012</v>
      </c>
      <c r="C3" s="44">
        <v>2013</v>
      </c>
      <c r="D3" s="11"/>
      <c r="E3" s="442">
        <v>2014</v>
      </c>
      <c r="F3" s="443"/>
      <c r="G3" s="443"/>
      <c r="H3" s="444"/>
    </row>
    <row r="4" spans="1:8" ht="14.4" customHeight="1" thickBot="1" x14ac:dyDescent="0.35">
      <c r="A4" s="439"/>
      <c r="B4" s="440" t="s">
        <v>81</v>
      </c>
      <c r="C4" s="441"/>
      <c r="D4" s="11"/>
      <c r="E4" s="228" t="s">
        <v>81</v>
      </c>
      <c r="F4" s="209" t="s">
        <v>82</v>
      </c>
      <c r="G4" s="209" t="s">
        <v>56</v>
      </c>
      <c r="H4" s="210" t="s">
        <v>83</v>
      </c>
    </row>
    <row r="5" spans="1:8" ht="14.4" customHeight="1" x14ac:dyDescent="0.3">
      <c r="A5" s="212" t="str">
        <f>HYPERLINK("#'Léky Žádanky'!A1","Léky (Kč)")</f>
        <v>Léky (Kč)</v>
      </c>
      <c r="B5" s="31">
        <v>2600.9911900000002</v>
      </c>
      <c r="C5" s="33">
        <v>3377.710759999999</v>
      </c>
      <c r="D5" s="12"/>
      <c r="E5" s="217">
        <v>3329.3190200000022</v>
      </c>
      <c r="F5" s="32">
        <v>3068.4653799650459</v>
      </c>
      <c r="G5" s="216">
        <f>E5-F5</f>
        <v>260.85364003495624</v>
      </c>
      <c r="H5" s="222">
        <f>IF(F5&lt;0.00000001,"",E5/F5)</f>
        <v>1.0850111074213677</v>
      </c>
    </row>
    <row r="6" spans="1:8" ht="14.4" customHeight="1" x14ac:dyDescent="0.3">
      <c r="A6" s="212" t="str">
        <f>HYPERLINK("#'Materiál Žádanky'!A1","Materiál - SZM (Kč)")</f>
        <v>Materiál - SZM (Kč)</v>
      </c>
      <c r="B6" s="14">
        <v>1169.5487400000002</v>
      </c>
      <c r="C6" s="35">
        <v>1363.12689</v>
      </c>
      <c r="D6" s="12"/>
      <c r="E6" s="218">
        <v>1202.4708400000011</v>
      </c>
      <c r="F6" s="34">
        <v>1476.3625479187001</v>
      </c>
      <c r="G6" s="219">
        <f>E6-F6</f>
        <v>-273.89170791869901</v>
      </c>
      <c r="H6" s="223">
        <f>IF(F6&lt;0.00000001,"",E6/F6)</f>
        <v>0.81448208077018924</v>
      </c>
    </row>
    <row r="7" spans="1:8" ht="14.4" customHeight="1" x14ac:dyDescent="0.3">
      <c r="A7" s="212" t="str">
        <f>HYPERLINK("#'Osobní náklady'!A1","Osobní náklady (Kč) *")</f>
        <v>Osobní náklady (Kč) *</v>
      </c>
      <c r="B7" s="14">
        <v>11274.058489999999</v>
      </c>
      <c r="C7" s="35">
        <v>12418.41915</v>
      </c>
      <c r="D7" s="12"/>
      <c r="E7" s="218">
        <v>12984.73218000001</v>
      </c>
      <c r="F7" s="34">
        <v>12686.729112433124</v>
      </c>
      <c r="G7" s="219">
        <f>E7-F7</f>
        <v>298.00306756688587</v>
      </c>
      <c r="H7" s="223">
        <f>IF(F7&lt;0.00000001,"",E7/F7)</f>
        <v>1.0234893537117333</v>
      </c>
    </row>
    <row r="8" spans="1:8" ht="14.4" customHeight="1" thickBot="1" x14ac:dyDescent="0.35">
      <c r="A8" s="1" t="s">
        <v>84</v>
      </c>
      <c r="B8" s="15">
        <v>3552.9126899999992</v>
      </c>
      <c r="C8" s="37">
        <v>3216.7969699999926</v>
      </c>
      <c r="D8" s="12"/>
      <c r="E8" s="220">
        <v>3173.0480400000024</v>
      </c>
      <c r="F8" s="36">
        <v>3058.2431674232548</v>
      </c>
      <c r="G8" s="221">
        <f>E8-F8</f>
        <v>114.80487257674758</v>
      </c>
      <c r="H8" s="224">
        <f>IF(F8&lt;0.00000001,"",E8/F8)</f>
        <v>1.0375394846948933</v>
      </c>
    </row>
    <row r="9" spans="1:8" ht="14.4" customHeight="1" thickBot="1" x14ac:dyDescent="0.35">
      <c r="A9" s="2" t="s">
        <v>85</v>
      </c>
      <c r="B9" s="3">
        <v>18597.511109999999</v>
      </c>
      <c r="C9" s="39">
        <v>20376.053769999991</v>
      </c>
      <c r="D9" s="12"/>
      <c r="E9" s="3">
        <v>20689.570080000016</v>
      </c>
      <c r="F9" s="38">
        <v>20289.800207740125</v>
      </c>
      <c r="G9" s="38">
        <f>E9-F9</f>
        <v>399.76987225989069</v>
      </c>
      <c r="H9" s="225">
        <f>IF(F9&lt;0.00000001,"",E9/F9)</f>
        <v>1.0197029969820692</v>
      </c>
    </row>
    <row r="10" spans="1:8" ht="14.4" customHeight="1" thickBot="1" x14ac:dyDescent="0.35">
      <c r="A10" s="16"/>
      <c r="B10" s="16"/>
      <c r="C10" s="208"/>
      <c r="D10" s="12"/>
      <c r="E10" s="16"/>
      <c r="F10" s="17"/>
    </row>
    <row r="11" spans="1:8" ht="14.4" customHeight="1" x14ac:dyDescent="0.3">
      <c r="A11" s="24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7">
        <f>IF(ISERROR(VLOOKUP("Celkem:",#REF!,6,0)),0,VLOOKUP("Celkem:",#REF!,6,0)/1000)</f>
        <v>0</v>
      </c>
      <c r="F11" s="32">
        <f>B11</f>
        <v>0</v>
      </c>
      <c r="G11" s="216">
        <f>E11-F11</f>
        <v>0</v>
      </c>
      <c r="H11" s="222" t="str">
        <f>IF(F11&lt;0.00000001,"",E11/F11)</f>
        <v/>
      </c>
    </row>
    <row r="12" spans="1:8" ht="14.4" customHeight="1" thickBot="1" x14ac:dyDescent="0.35">
      <c r="A12" s="245" t="str">
        <f>HYPERLINK("#CaseMix!A1","Hospitalizace *")</f>
        <v>Hospitalizace *</v>
      </c>
      <c r="B12" s="15">
        <f>IF(ISERROR(VLOOKUP("Celkem",CaseMix!A:D,2,0)),0,VLOOKUP("Celkem",CaseMix!A:D,2,0)*30)</f>
        <v>5028.5999999999995</v>
      </c>
      <c r="C12" s="37">
        <f>IF(ISERROR(VLOOKUP("Celkem",CaseMix!A:D,3,0)),0,VLOOKUP("Celkem",CaseMix!A:D,3,0)*30)</f>
        <v>5697.48</v>
      </c>
      <c r="D12" s="12"/>
      <c r="E12" s="220">
        <f>IF(ISERROR(VLOOKUP("Celkem",CaseMix!A:D,4,0)),0,VLOOKUP("Celkem",CaseMix!A:D,4,0)*30)</f>
        <v>9223.9500000000007</v>
      </c>
      <c r="F12" s="36">
        <f>B12</f>
        <v>5028.5999999999995</v>
      </c>
      <c r="G12" s="221">
        <f>E12-F12</f>
        <v>4195.3500000000013</v>
      </c>
      <c r="H12" s="224">
        <f>IF(F12&lt;0.00000001,"",E12/F12)</f>
        <v>1.8342978164896795</v>
      </c>
    </row>
    <row r="13" spans="1:8" ht="14.4" customHeight="1" thickBot="1" x14ac:dyDescent="0.35">
      <c r="A13" s="4" t="s">
        <v>88</v>
      </c>
      <c r="B13" s="9">
        <f>SUM(B11:B12)</f>
        <v>5028.5999999999995</v>
      </c>
      <c r="C13" s="41">
        <f>SUM(C11:C12)</f>
        <v>5697.48</v>
      </c>
      <c r="D13" s="12"/>
      <c r="E13" s="9">
        <f>SUM(E11:E12)</f>
        <v>9223.9500000000007</v>
      </c>
      <c r="F13" s="40">
        <f>SUM(F11:F12)</f>
        <v>5028.5999999999995</v>
      </c>
      <c r="G13" s="40">
        <f>E13-F13</f>
        <v>4195.3500000000013</v>
      </c>
      <c r="H13" s="226">
        <f>IF(F13&lt;0.00000001,"",E13/F13)</f>
        <v>1.8342978164896795</v>
      </c>
    </row>
    <row r="14" spans="1:8" ht="14.4" customHeight="1" thickBot="1" x14ac:dyDescent="0.35">
      <c r="A14" s="16"/>
      <c r="B14" s="16"/>
      <c r="C14" s="208"/>
      <c r="D14" s="12"/>
      <c r="E14" s="16"/>
      <c r="F14" s="17"/>
    </row>
    <row r="15" spans="1:8" ht="14.4" customHeight="1" thickBot="1" x14ac:dyDescent="0.35">
      <c r="A15" s="246" t="str">
        <f>HYPERLINK("#'HI Graf'!A1","Hospodářský index (Výnosy / Náklady) *")</f>
        <v>Hospodářský index (Výnosy / Náklady) *</v>
      </c>
      <c r="B15" s="10">
        <f>IF(B9=0,"",B13/B9)</f>
        <v>0.27039102008096605</v>
      </c>
      <c r="C15" s="43">
        <f>IF(C9=0,"",C13/C9)</f>
        <v>0.27961645882523611</v>
      </c>
      <c r="D15" s="12"/>
      <c r="E15" s="10">
        <f>IF(E9=0,"",E13/E9)</f>
        <v>0.44582608359351628</v>
      </c>
      <c r="F15" s="42">
        <f>IF(F9=0,"",F13/F9)</f>
        <v>0.24783881302496494</v>
      </c>
      <c r="G15" s="42">
        <f>IF(ISERROR(F15-E15),"",E15-F15)</f>
        <v>0.19798727056855134</v>
      </c>
      <c r="H15" s="227">
        <f>IF(ISERROR(F15-E15),"",IF(F15&lt;0.00000001,"",E15/F15))</f>
        <v>1.7988549822041311</v>
      </c>
    </row>
    <row r="17" spans="1:8" ht="14.4" customHeight="1" x14ac:dyDescent="0.3">
      <c r="A17" s="213" t="s">
        <v>177</v>
      </c>
    </row>
    <row r="18" spans="1:8" ht="14.4" customHeight="1" x14ac:dyDescent="0.3">
      <c r="A18" s="417" t="s">
        <v>244</v>
      </c>
      <c r="B18" s="418"/>
      <c r="C18" s="418"/>
      <c r="D18" s="418"/>
      <c r="E18" s="418"/>
      <c r="F18" s="418"/>
      <c r="G18" s="418"/>
      <c r="H18" s="418"/>
    </row>
    <row r="19" spans="1:8" x14ac:dyDescent="0.3">
      <c r="A19" s="416" t="s">
        <v>243</v>
      </c>
      <c r="B19" s="418"/>
      <c r="C19" s="418"/>
      <c r="D19" s="418"/>
      <c r="E19" s="418"/>
      <c r="F19" s="418"/>
      <c r="G19" s="418"/>
      <c r="H19" s="418"/>
    </row>
    <row r="20" spans="1:8" ht="14.4" customHeight="1" x14ac:dyDescent="0.3">
      <c r="A20" s="214" t="s">
        <v>178</v>
      </c>
    </row>
    <row r="21" spans="1:8" ht="14.4" customHeight="1" x14ac:dyDescent="0.3">
      <c r="A21" s="214" t="s">
        <v>179</v>
      </c>
    </row>
    <row r="22" spans="1:8" ht="14.4" customHeight="1" x14ac:dyDescent="0.3">
      <c r="A22" s="215" t="s">
        <v>180</v>
      </c>
    </row>
    <row r="23" spans="1:8" ht="14.4" customHeight="1" x14ac:dyDescent="0.3">
      <c r="A23" s="215" t="s">
        <v>181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4" operator="greaterThan">
      <formula>0</formula>
    </cfRule>
  </conditionalFormatting>
  <conditionalFormatting sqref="G11:G13 G15">
    <cfRule type="cellIs" dxfId="56" priority="3" operator="lessThan">
      <formula>0</formula>
    </cfRule>
  </conditionalFormatting>
  <conditionalFormatting sqref="H5:H9">
    <cfRule type="cellIs" dxfId="55" priority="2" operator="greaterThan">
      <formula>1</formula>
    </cfRule>
  </conditionalFormatting>
  <conditionalFormatting sqref="H11:H13 H15">
    <cfRule type="cellIs" dxfId="5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1"/>
    <col min="2" max="13" width="8.88671875" style="241" customWidth="1"/>
    <col min="14" max="16384" width="8.88671875" style="241"/>
  </cols>
  <sheetData>
    <row r="1" spans="1:13" ht="18.600000000000001" customHeight="1" thickBot="1" x14ac:dyDescent="0.4">
      <c r="A1" s="436" t="s">
        <v>115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3" ht="14.4" customHeight="1" x14ac:dyDescent="0.3">
      <c r="A2" s="364" t="s">
        <v>294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3" ht="14.4" customHeight="1" x14ac:dyDescent="0.3">
      <c r="A3" s="313"/>
      <c r="B3" s="314" t="s">
        <v>90</v>
      </c>
      <c r="C3" s="315" t="s">
        <v>91</v>
      </c>
      <c r="D3" s="315" t="s">
        <v>92</v>
      </c>
      <c r="E3" s="314" t="s">
        <v>93</v>
      </c>
      <c r="F3" s="315" t="s">
        <v>94</v>
      </c>
      <c r="G3" s="315" t="s">
        <v>95</v>
      </c>
      <c r="H3" s="315" t="s">
        <v>96</v>
      </c>
      <c r="I3" s="315" t="s">
        <v>97</v>
      </c>
      <c r="J3" s="315" t="s">
        <v>98</v>
      </c>
      <c r="K3" s="315" t="s">
        <v>99</v>
      </c>
      <c r="L3" s="315" t="s">
        <v>100</v>
      </c>
      <c r="M3" s="315" t="s">
        <v>101</v>
      </c>
    </row>
    <row r="4" spans="1:13" ht="14.4" customHeight="1" x14ac:dyDescent="0.3">
      <c r="A4" s="313" t="s">
        <v>89</v>
      </c>
      <c r="B4" s="316">
        <f>(B10+B8)/B6</f>
        <v>0.25730970504447176</v>
      </c>
      <c r="C4" s="316">
        <f t="shared" ref="C4:M4" si="0">(C10+C8)/C6</f>
        <v>0.20040636504966536</v>
      </c>
      <c r="D4" s="316">
        <f t="shared" si="0"/>
        <v>0.41854975024589908</v>
      </c>
      <c r="E4" s="316">
        <f t="shared" si="0"/>
        <v>0.34595022587594154</v>
      </c>
      <c r="F4" s="316">
        <f t="shared" si="0"/>
        <v>0.44582608359351622</v>
      </c>
      <c r="G4" s="316">
        <f t="shared" si="0"/>
        <v>0</v>
      </c>
      <c r="H4" s="316">
        <f t="shared" si="0"/>
        <v>0</v>
      </c>
      <c r="I4" s="316">
        <f t="shared" si="0"/>
        <v>0</v>
      </c>
      <c r="J4" s="316">
        <f t="shared" si="0"/>
        <v>0</v>
      </c>
      <c r="K4" s="316">
        <f t="shared" si="0"/>
        <v>0</v>
      </c>
      <c r="L4" s="316">
        <f t="shared" si="0"/>
        <v>0</v>
      </c>
      <c r="M4" s="316">
        <f t="shared" si="0"/>
        <v>0</v>
      </c>
    </row>
    <row r="5" spans="1:13" ht="14.4" customHeight="1" x14ac:dyDescent="0.3">
      <c r="A5" s="317" t="s">
        <v>40</v>
      </c>
      <c r="B5" s="316">
        <f>IF(ISERROR(VLOOKUP($A5,'Man Tab'!$A:$Q,COLUMN()+2,0)),0,VLOOKUP($A5,'Man Tab'!$A:$Q,COLUMN()+2,0))</f>
        <v>3603.5951300000202</v>
      </c>
      <c r="C5" s="316">
        <f>IF(ISERROR(VLOOKUP($A5,'Man Tab'!$A:$Q,COLUMN()+2,0)),0,VLOOKUP($A5,'Man Tab'!$A:$Q,COLUMN()+2,0))</f>
        <v>4038.9765000000002</v>
      </c>
      <c r="D5" s="316">
        <f>IF(ISERROR(VLOOKUP($A5,'Man Tab'!$A:$Q,COLUMN()+2,0)),0,VLOOKUP($A5,'Man Tab'!$A:$Q,COLUMN()+2,0))</f>
        <v>4414.4896799999997</v>
      </c>
      <c r="E5" s="316">
        <f>IF(ISERROR(VLOOKUP($A5,'Man Tab'!$A:$Q,COLUMN()+2,0)),0,VLOOKUP($A5,'Man Tab'!$A:$Q,COLUMN()+2,0))</f>
        <v>4445.0524999999998</v>
      </c>
      <c r="F5" s="316">
        <f>IF(ISERROR(VLOOKUP($A5,'Man Tab'!$A:$Q,COLUMN()+2,0)),0,VLOOKUP($A5,'Man Tab'!$A:$Q,COLUMN()+2,0))</f>
        <v>4187.4562699999997</v>
      </c>
      <c r="G5" s="316">
        <f>IF(ISERROR(VLOOKUP($A5,'Man Tab'!$A:$Q,COLUMN()+2,0)),0,VLOOKUP($A5,'Man Tab'!$A:$Q,COLUMN()+2,0))</f>
        <v>4.9406564584124654E-324</v>
      </c>
      <c r="H5" s="316">
        <f>IF(ISERROR(VLOOKUP($A5,'Man Tab'!$A:$Q,COLUMN()+2,0)),0,VLOOKUP($A5,'Man Tab'!$A:$Q,COLUMN()+2,0))</f>
        <v>4.9406564584124654E-324</v>
      </c>
      <c r="I5" s="316">
        <f>IF(ISERROR(VLOOKUP($A5,'Man Tab'!$A:$Q,COLUMN()+2,0)),0,VLOOKUP($A5,'Man Tab'!$A:$Q,COLUMN()+2,0))</f>
        <v>4.9406564584124654E-324</v>
      </c>
      <c r="J5" s="316">
        <f>IF(ISERROR(VLOOKUP($A5,'Man Tab'!$A:$Q,COLUMN()+2,0)),0,VLOOKUP($A5,'Man Tab'!$A:$Q,COLUMN()+2,0))</f>
        <v>4.9406564584124654E-324</v>
      </c>
      <c r="K5" s="316">
        <f>IF(ISERROR(VLOOKUP($A5,'Man Tab'!$A:$Q,COLUMN()+2,0)),0,VLOOKUP($A5,'Man Tab'!$A:$Q,COLUMN()+2,0))</f>
        <v>4.9406564584124654E-324</v>
      </c>
      <c r="L5" s="316">
        <f>IF(ISERROR(VLOOKUP($A5,'Man Tab'!$A:$Q,COLUMN()+2,0)),0,VLOOKUP($A5,'Man Tab'!$A:$Q,COLUMN()+2,0))</f>
        <v>4.9406564584124654E-324</v>
      </c>
      <c r="M5" s="316">
        <f>IF(ISERROR(VLOOKUP($A5,'Man Tab'!$A:$Q,COLUMN()+2,0)),0,VLOOKUP($A5,'Man Tab'!$A:$Q,COLUMN()+2,0))</f>
        <v>4.9406564584124654E-324</v>
      </c>
    </row>
    <row r="6" spans="1:13" ht="14.4" customHeight="1" x14ac:dyDescent="0.3">
      <c r="A6" s="317" t="s">
        <v>85</v>
      </c>
      <c r="B6" s="318">
        <f>B5</f>
        <v>3603.5951300000202</v>
      </c>
      <c r="C6" s="318">
        <f t="shared" ref="C6:M6" si="1">C5+B6</f>
        <v>7642.5716300000204</v>
      </c>
      <c r="D6" s="318">
        <f t="shared" si="1"/>
        <v>12057.061310000019</v>
      </c>
      <c r="E6" s="318">
        <f t="shared" si="1"/>
        <v>16502.113810000017</v>
      </c>
      <c r="F6" s="318">
        <f t="shared" si="1"/>
        <v>20689.570080000016</v>
      </c>
      <c r="G6" s="318">
        <f t="shared" si="1"/>
        <v>20689.570080000016</v>
      </c>
      <c r="H6" s="318">
        <f t="shared" si="1"/>
        <v>20689.570080000016</v>
      </c>
      <c r="I6" s="318">
        <f t="shared" si="1"/>
        <v>20689.570080000016</v>
      </c>
      <c r="J6" s="318">
        <f t="shared" si="1"/>
        <v>20689.570080000016</v>
      </c>
      <c r="K6" s="318">
        <f t="shared" si="1"/>
        <v>20689.570080000016</v>
      </c>
      <c r="L6" s="318">
        <f t="shared" si="1"/>
        <v>20689.570080000016</v>
      </c>
      <c r="M6" s="318">
        <f t="shared" si="1"/>
        <v>20689.570080000016</v>
      </c>
    </row>
    <row r="7" spans="1:13" ht="14.4" customHeight="1" x14ac:dyDescent="0.3">
      <c r="A7" s="317" t="s">
        <v>113</v>
      </c>
      <c r="B7" s="317">
        <v>30.908000000000001</v>
      </c>
      <c r="C7" s="317">
        <v>51.054000000000002</v>
      </c>
      <c r="D7" s="317">
        <v>168.21600000000001</v>
      </c>
      <c r="E7" s="317">
        <v>190.297</v>
      </c>
      <c r="F7" s="317">
        <v>307.46499999999997</v>
      </c>
      <c r="G7" s="317"/>
      <c r="H7" s="317"/>
      <c r="I7" s="317"/>
      <c r="J7" s="317"/>
      <c r="K7" s="317"/>
      <c r="L7" s="317"/>
      <c r="M7" s="317"/>
    </row>
    <row r="8" spans="1:13" ht="14.4" customHeight="1" x14ac:dyDescent="0.3">
      <c r="A8" s="317" t="s">
        <v>86</v>
      </c>
      <c r="B8" s="318">
        <f>B7*30</f>
        <v>927.24</v>
      </c>
      <c r="C8" s="318">
        <f t="shared" ref="C8:M8" si="2">C7*30</f>
        <v>1531.6200000000001</v>
      </c>
      <c r="D8" s="318">
        <f t="shared" si="2"/>
        <v>5046.4800000000005</v>
      </c>
      <c r="E8" s="318">
        <f t="shared" si="2"/>
        <v>5708.91</v>
      </c>
      <c r="F8" s="318">
        <f t="shared" si="2"/>
        <v>9223.9499999999989</v>
      </c>
      <c r="G8" s="318">
        <f t="shared" si="2"/>
        <v>0</v>
      </c>
      <c r="H8" s="318">
        <f t="shared" si="2"/>
        <v>0</v>
      </c>
      <c r="I8" s="318">
        <f t="shared" si="2"/>
        <v>0</v>
      </c>
      <c r="J8" s="318">
        <f t="shared" si="2"/>
        <v>0</v>
      </c>
      <c r="K8" s="318">
        <f t="shared" si="2"/>
        <v>0</v>
      </c>
      <c r="L8" s="318">
        <f t="shared" si="2"/>
        <v>0</v>
      </c>
      <c r="M8" s="318">
        <f t="shared" si="2"/>
        <v>0</v>
      </c>
    </row>
    <row r="9" spans="1:13" ht="14.4" customHeight="1" x14ac:dyDescent="0.3">
      <c r="A9" s="317" t="s">
        <v>114</v>
      </c>
      <c r="B9" s="317">
        <v>0</v>
      </c>
      <c r="C9" s="317">
        <v>0</v>
      </c>
      <c r="D9" s="317">
        <v>0</v>
      </c>
      <c r="E9" s="317">
        <v>0</v>
      </c>
      <c r="F9" s="317">
        <v>0</v>
      </c>
      <c r="G9" s="317">
        <v>0</v>
      </c>
      <c r="H9" s="317">
        <v>0</v>
      </c>
      <c r="I9" s="317">
        <v>0</v>
      </c>
      <c r="J9" s="317">
        <v>0</v>
      </c>
      <c r="K9" s="317">
        <v>0</v>
      </c>
      <c r="L9" s="317">
        <v>0</v>
      </c>
      <c r="M9" s="317">
        <v>0</v>
      </c>
    </row>
    <row r="10" spans="1:13" ht="14.4" customHeight="1" x14ac:dyDescent="0.3">
      <c r="A10" s="317" t="s">
        <v>87</v>
      </c>
      <c r="B10" s="318">
        <f>B9/1000</f>
        <v>0</v>
      </c>
      <c r="C10" s="318">
        <f t="shared" ref="C10:M10" si="3">C9/1000+B10</f>
        <v>0</v>
      </c>
      <c r="D10" s="318">
        <f t="shared" si="3"/>
        <v>0</v>
      </c>
      <c r="E10" s="318">
        <f t="shared" si="3"/>
        <v>0</v>
      </c>
      <c r="F10" s="318">
        <f t="shared" si="3"/>
        <v>0</v>
      </c>
      <c r="G10" s="318">
        <f t="shared" si="3"/>
        <v>0</v>
      </c>
      <c r="H10" s="318">
        <f t="shared" si="3"/>
        <v>0</v>
      </c>
      <c r="I10" s="318">
        <f t="shared" si="3"/>
        <v>0</v>
      </c>
      <c r="J10" s="318">
        <f t="shared" si="3"/>
        <v>0</v>
      </c>
      <c r="K10" s="318">
        <f t="shared" si="3"/>
        <v>0</v>
      </c>
      <c r="L10" s="318">
        <f t="shared" si="3"/>
        <v>0</v>
      </c>
      <c r="M10" s="318">
        <f t="shared" si="3"/>
        <v>0</v>
      </c>
    </row>
    <row r="11" spans="1:13" ht="14.4" customHeight="1" x14ac:dyDescent="0.3">
      <c r="A11" s="313"/>
      <c r="B11" s="313" t="s">
        <v>103</v>
      </c>
      <c r="C11" s="313">
        <f ca="1">IF(MONTH(TODAY())=1,12,MONTH(TODAY())-1)</f>
        <v>5</v>
      </c>
      <c r="D11" s="313"/>
      <c r="E11" s="313"/>
      <c r="F11" s="313"/>
      <c r="G11" s="313"/>
      <c r="H11" s="313"/>
      <c r="I11" s="313"/>
      <c r="J11" s="313"/>
      <c r="K11" s="313"/>
      <c r="L11" s="313"/>
      <c r="M11" s="313"/>
    </row>
    <row r="12" spans="1:13" ht="14.4" customHeight="1" x14ac:dyDescent="0.3">
      <c r="A12" s="313">
        <v>0</v>
      </c>
      <c r="B12" s="316">
        <f>IF(ISERROR(HI!F15),#REF!,HI!F15)</f>
        <v>0.24783881302496494</v>
      </c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</row>
    <row r="13" spans="1:13" ht="14.4" customHeight="1" x14ac:dyDescent="0.3">
      <c r="A13" s="313">
        <v>1</v>
      </c>
      <c r="B13" s="316">
        <f>IF(ISERROR(HI!F15),#REF!,HI!F15)</f>
        <v>0.24783881302496494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1" bestFit="1" customWidth="1"/>
    <col min="2" max="2" width="12.77734375" style="241" bestFit="1" customWidth="1"/>
    <col min="3" max="3" width="13.6640625" style="241" bestFit="1" customWidth="1"/>
    <col min="4" max="15" width="7.77734375" style="241" bestFit="1" customWidth="1"/>
    <col min="16" max="16" width="8.88671875" style="241" customWidth="1"/>
    <col min="17" max="17" width="6.6640625" style="241" bestFit="1" customWidth="1"/>
    <col min="18" max="16384" width="8.88671875" style="241"/>
  </cols>
  <sheetData>
    <row r="1" spans="1:17" s="319" customFormat="1" ht="18.600000000000001" customHeight="1" thickBot="1" x14ac:dyDescent="0.4">
      <c r="A1" s="445" t="s">
        <v>296</v>
      </c>
      <c r="B1" s="445"/>
      <c r="C1" s="445"/>
      <c r="D1" s="445"/>
      <c r="E1" s="445"/>
      <c r="F1" s="445"/>
      <c r="G1" s="445"/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7" s="319" customFormat="1" ht="14.4" customHeight="1" thickBot="1" x14ac:dyDescent="0.3">
      <c r="A2" s="364" t="s">
        <v>294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17" ht="14.4" customHeight="1" x14ac:dyDescent="0.3">
      <c r="A3" s="92"/>
      <c r="B3" s="446" t="s">
        <v>16</v>
      </c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250"/>
      <c r="Q3" s="252"/>
    </row>
    <row r="4" spans="1:17" ht="14.4" customHeight="1" x14ac:dyDescent="0.3">
      <c r="A4" s="93"/>
      <c r="B4" s="24">
        <v>2014</v>
      </c>
      <c r="C4" s="251" t="s">
        <v>17</v>
      </c>
      <c r="D4" s="229" t="s">
        <v>184</v>
      </c>
      <c r="E4" s="229" t="s">
        <v>185</v>
      </c>
      <c r="F4" s="229" t="s">
        <v>186</v>
      </c>
      <c r="G4" s="229" t="s">
        <v>187</v>
      </c>
      <c r="H4" s="229" t="s">
        <v>188</v>
      </c>
      <c r="I4" s="229" t="s">
        <v>189</v>
      </c>
      <c r="J4" s="229" t="s">
        <v>190</v>
      </c>
      <c r="K4" s="229" t="s">
        <v>191</v>
      </c>
      <c r="L4" s="229" t="s">
        <v>192</v>
      </c>
      <c r="M4" s="229" t="s">
        <v>193</v>
      </c>
      <c r="N4" s="229" t="s">
        <v>194</v>
      </c>
      <c r="O4" s="229" t="s">
        <v>195</v>
      </c>
      <c r="P4" s="448" t="s">
        <v>3</v>
      </c>
      <c r="Q4" s="449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2.4703282292062327E-323</v>
      </c>
      <c r="Q6" s="173" t="s">
        <v>295</v>
      </c>
    </row>
    <row r="7" spans="1:17" ht="14.4" customHeight="1" x14ac:dyDescent="0.3">
      <c r="A7" s="19" t="s">
        <v>22</v>
      </c>
      <c r="B7" s="55">
        <v>7364.3169119161103</v>
      </c>
      <c r="C7" s="56">
        <v>613.69307599300896</v>
      </c>
      <c r="D7" s="56">
        <v>386.16287000000199</v>
      </c>
      <c r="E7" s="56">
        <v>556.08631000000003</v>
      </c>
      <c r="F7" s="56">
        <v>834.30165999999997</v>
      </c>
      <c r="G7" s="56">
        <v>864.63735999999994</v>
      </c>
      <c r="H7" s="56">
        <v>688.13081999999997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3329.3190199999999</v>
      </c>
      <c r="Q7" s="174">
        <v>1.085011107421</v>
      </c>
    </row>
    <row r="8" spans="1:17" ht="14.4" customHeight="1" x14ac:dyDescent="0.3">
      <c r="A8" s="19" t="s">
        <v>23</v>
      </c>
      <c r="B8" s="55">
        <v>3394.97988424399</v>
      </c>
      <c r="C8" s="56">
        <v>282.91499035366502</v>
      </c>
      <c r="D8" s="56">
        <v>179.91500000000099</v>
      </c>
      <c r="E8" s="56">
        <v>329.76799999999997</v>
      </c>
      <c r="F8" s="56">
        <v>417.29</v>
      </c>
      <c r="G8" s="56">
        <v>265.29899999999998</v>
      </c>
      <c r="H8" s="56">
        <v>184.977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1377.249</v>
      </c>
      <c r="Q8" s="174">
        <v>0.97361330926800005</v>
      </c>
    </row>
    <row r="9" spans="1:17" ht="14.4" customHeight="1" x14ac:dyDescent="0.3">
      <c r="A9" s="19" t="s">
        <v>24</v>
      </c>
      <c r="B9" s="55">
        <v>3543.2701150048802</v>
      </c>
      <c r="C9" s="56">
        <v>295.27250958373997</v>
      </c>
      <c r="D9" s="56">
        <v>214.41202000000101</v>
      </c>
      <c r="E9" s="56">
        <v>224.55663000000001</v>
      </c>
      <c r="F9" s="56">
        <v>213.06635</v>
      </c>
      <c r="G9" s="56">
        <v>323.07925</v>
      </c>
      <c r="H9" s="56">
        <v>227.35659000000001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1202.47084</v>
      </c>
      <c r="Q9" s="174">
        <v>0.81448208076999995</v>
      </c>
    </row>
    <row r="10" spans="1:17" ht="14.4" customHeight="1" x14ac:dyDescent="0.3">
      <c r="A10" s="19" t="s">
        <v>25</v>
      </c>
      <c r="B10" s="55">
        <v>57.999795446105999</v>
      </c>
      <c r="C10" s="56">
        <v>4.8333162871750002</v>
      </c>
      <c r="D10" s="56">
        <v>4.6252800000000001</v>
      </c>
      <c r="E10" s="56">
        <v>3.7244899999999999</v>
      </c>
      <c r="F10" s="56">
        <v>5.1179100000000002</v>
      </c>
      <c r="G10" s="56">
        <v>7.5280100000000001</v>
      </c>
      <c r="H10" s="56">
        <v>5.6733000000000002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26.668990000000001</v>
      </c>
      <c r="Q10" s="174">
        <v>1.1035483057769999</v>
      </c>
    </row>
    <row r="11" spans="1:17" ht="14.4" customHeight="1" x14ac:dyDescent="0.3">
      <c r="A11" s="19" t="s">
        <v>26</v>
      </c>
      <c r="B11" s="55">
        <v>323.210944503203</v>
      </c>
      <c r="C11" s="56">
        <v>26.934245375265998</v>
      </c>
      <c r="D11" s="56">
        <v>22.301169999999999</v>
      </c>
      <c r="E11" s="56">
        <v>27.73808</v>
      </c>
      <c r="F11" s="56">
        <v>34.634970000000003</v>
      </c>
      <c r="G11" s="56">
        <v>23.448589999999999</v>
      </c>
      <c r="H11" s="56">
        <v>27.97315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136.09595999999999</v>
      </c>
      <c r="Q11" s="174">
        <v>1.0105793431650001</v>
      </c>
    </row>
    <row r="12" spans="1:17" ht="14.4" customHeight="1" x14ac:dyDescent="0.3">
      <c r="A12" s="19" t="s">
        <v>27</v>
      </c>
      <c r="B12" s="55">
        <v>59.436186645969997</v>
      </c>
      <c r="C12" s="56">
        <v>4.9530155538300003</v>
      </c>
      <c r="D12" s="56">
        <v>0.20319999999999999</v>
      </c>
      <c r="E12" s="56">
        <v>12.91337</v>
      </c>
      <c r="F12" s="56">
        <v>10.703659999999999</v>
      </c>
      <c r="G12" s="56">
        <v>19.314509999999999</v>
      </c>
      <c r="H12" s="56">
        <v>31.3507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74.485439999999997</v>
      </c>
      <c r="Q12" s="174">
        <v>3.007680439944</v>
      </c>
    </row>
    <row r="13" spans="1:17" ht="14.4" customHeight="1" x14ac:dyDescent="0.3">
      <c r="A13" s="19" t="s">
        <v>28</v>
      </c>
      <c r="B13" s="55">
        <v>126.230395954993</v>
      </c>
      <c r="C13" s="56">
        <v>10.519199662916</v>
      </c>
      <c r="D13" s="56">
        <v>6.5537099999999997</v>
      </c>
      <c r="E13" s="56">
        <v>8.6322600000000005</v>
      </c>
      <c r="F13" s="56">
        <v>14.400460000000001</v>
      </c>
      <c r="G13" s="56">
        <v>9.5947300000000002</v>
      </c>
      <c r="H13" s="56">
        <v>9.1120900000000002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48.29325</v>
      </c>
      <c r="Q13" s="174">
        <v>0.91819247751800004</v>
      </c>
    </row>
    <row r="14" spans="1:17" ht="14.4" customHeight="1" x14ac:dyDescent="0.3">
      <c r="A14" s="19" t="s">
        <v>29</v>
      </c>
      <c r="B14" s="55">
        <v>322.77884899141998</v>
      </c>
      <c r="C14" s="56">
        <v>26.898237415951002</v>
      </c>
      <c r="D14" s="56">
        <v>35.643000000000001</v>
      </c>
      <c r="E14" s="56">
        <v>30.004000000000001</v>
      </c>
      <c r="F14" s="56">
        <v>27.052</v>
      </c>
      <c r="G14" s="56">
        <v>22.821000000000002</v>
      </c>
      <c r="H14" s="56">
        <v>19.675000000000001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135.19499999999999</v>
      </c>
      <c r="Q14" s="174">
        <v>1.00523315271</v>
      </c>
    </row>
    <row r="15" spans="1:17" ht="14.4" customHeight="1" x14ac:dyDescent="0.3">
      <c r="A15" s="19" t="s">
        <v>30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2.4703282292062327E-323</v>
      </c>
      <c r="Q15" s="174" t="s">
        <v>295</v>
      </c>
    </row>
    <row r="16" spans="1:17" ht="14.4" customHeight="1" x14ac:dyDescent="0.3">
      <c r="A16" s="19" t="s">
        <v>31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2.4703282292062327E-323</v>
      </c>
      <c r="Q16" s="174" t="s">
        <v>295</v>
      </c>
    </row>
    <row r="17" spans="1:17" ht="14.4" customHeight="1" x14ac:dyDescent="0.3">
      <c r="A17" s="19" t="s">
        <v>32</v>
      </c>
      <c r="B17" s="55">
        <v>351.66175781058598</v>
      </c>
      <c r="C17" s="56">
        <v>29.305146484215001</v>
      </c>
      <c r="D17" s="56">
        <v>18.300989999999999</v>
      </c>
      <c r="E17" s="56">
        <v>78.216949999999997</v>
      </c>
      <c r="F17" s="56">
        <v>2.69814</v>
      </c>
      <c r="G17" s="56">
        <v>84.146460000000005</v>
      </c>
      <c r="H17" s="56">
        <v>93.57508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276.93761999999998</v>
      </c>
      <c r="Q17" s="174">
        <v>1.8900272015299999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9.1389999999999993</v>
      </c>
      <c r="E18" s="56">
        <v>4.9406564584124654E-324</v>
      </c>
      <c r="F18" s="56">
        <v>4.7679999999999998</v>
      </c>
      <c r="G18" s="56">
        <v>4.9406564584124654E-324</v>
      </c>
      <c r="H18" s="56">
        <v>1.095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15.002000000000001</v>
      </c>
      <c r="Q18" s="174" t="s">
        <v>295</v>
      </c>
    </row>
    <row r="19" spans="1:17" ht="14.4" customHeight="1" x14ac:dyDescent="0.3">
      <c r="A19" s="19" t="s">
        <v>34</v>
      </c>
      <c r="B19" s="55">
        <v>891.49599297832299</v>
      </c>
      <c r="C19" s="56">
        <v>74.291332748193</v>
      </c>
      <c r="D19" s="56">
        <v>64.847340000000003</v>
      </c>
      <c r="E19" s="56">
        <v>22.09104</v>
      </c>
      <c r="F19" s="56">
        <v>65.280659999999997</v>
      </c>
      <c r="G19" s="56">
        <v>22.606280000000002</v>
      </c>
      <c r="H19" s="56">
        <v>88.324269999999999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263.14958999999999</v>
      </c>
      <c r="Q19" s="174">
        <v>0.70842608488900005</v>
      </c>
    </row>
    <row r="20" spans="1:17" ht="14.4" customHeight="1" x14ac:dyDescent="0.3">
      <c r="A20" s="19" t="s">
        <v>35</v>
      </c>
      <c r="B20" s="55">
        <v>30448.149869839501</v>
      </c>
      <c r="C20" s="56">
        <v>2537.3458224866299</v>
      </c>
      <c r="D20" s="56">
        <v>2493.9939200000099</v>
      </c>
      <c r="E20" s="56">
        <v>2588.5005000000001</v>
      </c>
      <c r="F20" s="56">
        <v>2620.4636399999999</v>
      </c>
      <c r="G20" s="56">
        <v>2624.96333</v>
      </c>
      <c r="H20" s="56">
        <v>2656.81079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12984.732180000001</v>
      </c>
      <c r="Q20" s="174">
        <v>1.0234893537109999</v>
      </c>
    </row>
    <row r="21" spans="1:17" ht="14.4" customHeight="1" x14ac:dyDescent="0.3">
      <c r="A21" s="20" t="s">
        <v>36</v>
      </c>
      <c r="B21" s="55">
        <v>1811.98979524115</v>
      </c>
      <c r="C21" s="56">
        <v>150.999149603429</v>
      </c>
      <c r="D21" s="56">
        <v>156.746000000001</v>
      </c>
      <c r="E21" s="56">
        <v>156.744</v>
      </c>
      <c r="F21" s="56">
        <v>156.74199999999999</v>
      </c>
      <c r="G21" s="56">
        <v>153.40100000000001</v>
      </c>
      <c r="H21" s="56">
        <v>153.40100000000001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777.03400000000101</v>
      </c>
      <c r="Q21" s="174">
        <v>1.029189902116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2.4703282292062327E-323</v>
      </c>
      <c r="Q22" s="174" t="s">
        <v>295</v>
      </c>
    </row>
    <row r="23" spans="1:17" ht="14.4" customHeight="1" x14ac:dyDescent="0.3">
      <c r="A23" s="20" t="s">
        <v>38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9.8813129168249309E-323</v>
      </c>
      <c r="Q23" s="174" t="s">
        <v>295</v>
      </c>
    </row>
    <row r="24" spans="1:17" ht="14.4" customHeight="1" x14ac:dyDescent="0.3">
      <c r="A24" s="20" t="s">
        <v>39</v>
      </c>
      <c r="B24" s="55">
        <v>7.2759576141834308E-12</v>
      </c>
      <c r="C24" s="56">
        <v>4.5474735088646402E-13</v>
      </c>
      <c r="D24" s="56">
        <v>10.75163</v>
      </c>
      <c r="E24" s="56">
        <v>8.7000000000000001E-4</v>
      </c>
      <c r="F24" s="56">
        <v>7.9702299999989998</v>
      </c>
      <c r="G24" s="56">
        <v>24.212980000001998</v>
      </c>
      <c r="H24" s="56">
        <v>1.479999999E-3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42.937190000001998</v>
      </c>
      <c r="Q24" s="174"/>
    </row>
    <row r="25" spans="1:17" ht="14.4" customHeight="1" x14ac:dyDescent="0.3">
      <c r="A25" s="21" t="s">
        <v>40</v>
      </c>
      <c r="B25" s="58">
        <v>48695.520498576298</v>
      </c>
      <c r="C25" s="59">
        <v>4057.9600415480199</v>
      </c>
      <c r="D25" s="59">
        <v>3603.5951300000202</v>
      </c>
      <c r="E25" s="59">
        <v>4038.9765000000002</v>
      </c>
      <c r="F25" s="59">
        <v>4414.4896799999997</v>
      </c>
      <c r="G25" s="59">
        <v>4445.0524999999998</v>
      </c>
      <c r="H25" s="59">
        <v>4187.4562699999997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20689.570080000001</v>
      </c>
      <c r="Q25" s="175">
        <v>1.019702996982</v>
      </c>
    </row>
    <row r="26" spans="1:17" ht="14.4" customHeight="1" x14ac:dyDescent="0.3">
      <c r="A26" s="19" t="s">
        <v>41</v>
      </c>
      <c r="B26" s="55">
        <v>4619.0160192798403</v>
      </c>
      <c r="C26" s="56">
        <v>384.91800160665298</v>
      </c>
      <c r="D26" s="56">
        <v>471.54777999999999</v>
      </c>
      <c r="E26" s="56">
        <v>486.41426999999999</v>
      </c>
      <c r="F26" s="56">
        <v>515.77937999999995</v>
      </c>
      <c r="G26" s="56">
        <v>496.65030000000002</v>
      </c>
      <c r="H26" s="56">
        <v>529.26260000000002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2499.6543299999998</v>
      </c>
      <c r="Q26" s="174">
        <v>1.298798351631</v>
      </c>
    </row>
    <row r="27" spans="1:17" ht="14.4" customHeight="1" x14ac:dyDescent="0.3">
      <c r="A27" s="22" t="s">
        <v>42</v>
      </c>
      <c r="B27" s="58">
        <v>53314.536517856097</v>
      </c>
      <c r="C27" s="59">
        <v>4442.8780431546802</v>
      </c>
      <c r="D27" s="59">
        <v>4075.14291000002</v>
      </c>
      <c r="E27" s="59">
        <v>4525.39077</v>
      </c>
      <c r="F27" s="59">
        <v>4930.2690599999996</v>
      </c>
      <c r="G27" s="59">
        <v>4941.7028</v>
      </c>
      <c r="H27" s="59">
        <v>4716.7188699999997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23189.224409999999</v>
      </c>
      <c r="Q27" s="175">
        <v>1.043883004879</v>
      </c>
    </row>
    <row r="28" spans="1:17" ht="14.4" customHeight="1" x14ac:dyDescent="0.3">
      <c r="A28" s="20" t="s">
        <v>43</v>
      </c>
      <c r="B28" s="55">
        <v>0.73186149742499995</v>
      </c>
      <c r="C28" s="56">
        <v>6.0988458118000001E-2</v>
      </c>
      <c r="D28" s="56">
        <v>6.5299999999999997E-2</v>
      </c>
      <c r="E28" s="56">
        <v>7.8509999999999996E-2</v>
      </c>
      <c r="F28" s="56">
        <v>0.11075</v>
      </c>
      <c r="G28" s="56">
        <v>5.2900000000000003E-2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0.30746000000000001</v>
      </c>
      <c r="Q28" s="174">
        <v>1.008256347131</v>
      </c>
    </row>
    <row r="29" spans="1:17" ht="14.4" customHeight="1" x14ac:dyDescent="0.3">
      <c r="A29" s="20" t="s">
        <v>44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4.9406564584124654E-323</v>
      </c>
      <c r="Q29" s="174" t="s">
        <v>295</v>
      </c>
    </row>
    <row r="30" spans="1:17" ht="14.4" customHeight="1" x14ac:dyDescent="0.3">
      <c r="A30" s="20" t="s">
        <v>45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2.4703282292062327E-322</v>
      </c>
      <c r="Q30" s="174">
        <v>0</v>
      </c>
    </row>
    <row r="31" spans="1:17" ht="14.4" customHeight="1" thickBot="1" x14ac:dyDescent="0.35">
      <c r="A31" s="23" t="s">
        <v>46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1.2351641146031164E-322</v>
      </c>
      <c r="Q31" s="176" t="s">
        <v>295</v>
      </c>
    </row>
    <row r="32" spans="1:17" ht="14.4" customHeight="1" x14ac:dyDescent="0.3"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</row>
    <row r="33" spans="1:17" ht="14.4" customHeight="1" x14ac:dyDescent="0.3">
      <c r="A33" s="213" t="s">
        <v>177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</row>
    <row r="34" spans="1:17" ht="14.4" customHeight="1" x14ac:dyDescent="0.3">
      <c r="A34" s="247" t="s">
        <v>209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</row>
    <row r="35" spans="1:17" ht="14.4" customHeight="1" x14ac:dyDescent="0.3">
      <c r="A35" s="248" t="s">
        <v>47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1" customWidth="1"/>
    <col min="2" max="11" width="10" style="241" customWidth="1"/>
    <col min="12" max="16384" width="8.88671875" style="241"/>
  </cols>
  <sheetData>
    <row r="1" spans="1:11" s="64" customFormat="1" ht="18.600000000000001" customHeight="1" thickBot="1" x14ac:dyDescent="0.4">
      <c r="A1" s="445" t="s">
        <v>48</v>
      </c>
      <c r="B1" s="445"/>
      <c r="C1" s="445"/>
      <c r="D1" s="445"/>
      <c r="E1" s="445"/>
      <c r="F1" s="445"/>
      <c r="G1" s="445"/>
      <c r="H1" s="450"/>
      <c r="I1" s="450"/>
      <c r="J1" s="450"/>
      <c r="K1" s="450"/>
    </row>
    <row r="2" spans="1:11" s="64" customFormat="1" ht="14.4" customHeight="1" thickBot="1" x14ac:dyDescent="0.35">
      <c r="A2" s="364" t="s">
        <v>294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46" t="s">
        <v>49</v>
      </c>
      <c r="C3" s="447"/>
      <c r="D3" s="447"/>
      <c r="E3" s="447"/>
      <c r="F3" s="453" t="s">
        <v>50</v>
      </c>
      <c r="G3" s="447"/>
      <c r="H3" s="447"/>
      <c r="I3" s="447"/>
      <c r="J3" s="447"/>
      <c r="K3" s="454"/>
    </row>
    <row r="4" spans="1:11" ht="14.4" customHeight="1" x14ac:dyDescent="0.3">
      <c r="A4" s="93"/>
      <c r="B4" s="451"/>
      <c r="C4" s="452"/>
      <c r="D4" s="452"/>
      <c r="E4" s="452"/>
      <c r="F4" s="455" t="s">
        <v>200</v>
      </c>
      <c r="G4" s="457" t="s">
        <v>51</v>
      </c>
      <c r="H4" s="253" t="s">
        <v>164</v>
      </c>
      <c r="I4" s="455" t="s">
        <v>52</v>
      </c>
      <c r="J4" s="457" t="s">
        <v>202</v>
      </c>
      <c r="K4" s="458" t="s">
        <v>203</v>
      </c>
    </row>
    <row r="5" spans="1:11" ht="42" thickBot="1" x14ac:dyDescent="0.35">
      <c r="A5" s="94"/>
      <c r="B5" s="28" t="s">
        <v>196</v>
      </c>
      <c r="C5" s="29" t="s">
        <v>197</v>
      </c>
      <c r="D5" s="30" t="s">
        <v>198</v>
      </c>
      <c r="E5" s="30" t="s">
        <v>199</v>
      </c>
      <c r="F5" s="456"/>
      <c r="G5" s="456"/>
      <c r="H5" s="29" t="s">
        <v>201</v>
      </c>
      <c r="I5" s="456"/>
      <c r="J5" s="456"/>
      <c r="K5" s="459"/>
    </row>
    <row r="6" spans="1:11" ht="14.4" customHeight="1" thickBot="1" x14ac:dyDescent="0.35">
      <c r="A6" s="562" t="s">
        <v>297</v>
      </c>
      <c r="B6" s="544">
        <v>49090.116234739296</v>
      </c>
      <c r="C6" s="544">
        <v>51580.890670000001</v>
      </c>
      <c r="D6" s="545">
        <v>2490.7744352606601</v>
      </c>
      <c r="E6" s="546">
        <v>1.0507388172259999</v>
      </c>
      <c r="F6" s="544">
        <v>48695.520498576298</v>
      </c>
      <c r="G6" s="545">
        <v>20289.8002077401</v>
      </c>
      <c r="H6" s="547">
        <v>4187.4562699999997</v>
      </c>
      <c r="I6" s="544">
        <v>20689.570080000001</v>
      </c>
      <c r="J6" s="545">
        <v>399.76987225990899</v>
      </c>
      <c r="K6" s="548">
        <v>0.42487624874199997</v>
      </c>
    </row>
    <row r="7" spans="1:11" ht="14.4" customHeight="1" thickBot="1" x14ac:dyDescent="0.35">
      <c r="A7" s="563" t="s">
        <v>298</v>
      </c>
      <c r="B7" s="544">
        <v>16032.465254189299</v>
      </c>
      <c r="C7" s="544">
        <v>15450.136640000001</v>
      </c>
      <c r="D7" s="545">
        <v>-582.32861418934795</v>
      </c>
      <c r="E7" s="546">
        <v>0.96367816146999996</v>
      </c>
      <c r="F7" s="544">
        <v>15192.2230827067</v>
      </c>
      <c r="G7" s="545">
        <v>6330.09295112778</v>
      </c>
      <c r="H7" s="547">
        <v>1194.2501299999999</v>
      </c>
      <c r="I7" s="544">
        <v>6329.7806900000096</v>
      </c>
      <c r="J7" s="545">
        <v>-0.31226112777199999</v>
      </c>
      <c r="K7" s="548">
        <v>0.41664611265500001</v>
      </c>
    </row>
    <row r="8" spans="1:11" ht="14.4" customHeight="1" thickBot="1" x14ac:dyDescent="0.35">
      <c r="A8" s="564" t="s">
        <v>299</v>
      </c>
      <c r="B8" s="544">
        <v>15684.8734408826</v>
      </c>
      <c r="C8" s="544">
        <v>15111.33064</v>
      </c>
      <c r="D8" s="545">
        <v>-573.54280088260703</v>
      </c>
      <c r="E8" s="546">
        <v>0.96343338038100002</v>
      </c>
      <c r="F8" s="544">
        <v>14869.4442337152</v>
      </c>
      <c r="G8" s="545">
        <v>6195.6017640480204</v>
      </c>
      <c r="H8" s="547">
        <v>1174.5751299999999</v>
      </c>
      <c r="I8" s="544">
        <v>6194.5856899999999</v>
      </c>
      <c r="J8" s="545">
        <v>-1.016074048014</v>
      </c>
      <c r="K8" s="548">
        <v>0.41659833364499999</v>
      </c>
    </row>
    <row r="9" spans="1:11" ht="14.4" customHeight="1" thickBot="1" x14ac:dyDescent="0.35">
      <c r="A9" s="565" t="s">
        <v>300</v>
      </c>
      <c r="B9" s="549">
        <v>4.9406564584124654E-324</v>
      </c>
      <c r="C9" s="549">
        <v>5.8100000000000001E-3</v>
      </c>
      <c r="D9" s="550">
        <v>5.8100000000000001E-3</v>
      </c>
      <c r="E9" s="551" t="s">
        <v>301</v>
      </c>
      <c r="F9" s="549">
        <v>0</v>
      </c>
      <c r="G9" s="550">
        <v>0</v>
      </c>
      <c r="H9" s="552">
        <v>1.48E-3</v>
      </c>
      <c r="I9" s="549">
        <v>3.1900000000000001E-3</v>
      </c>
      <c r="J9" s="550">
        <v>3.1900000000000001E-3</v>
      </c>
      <c r="K9" s="553" t="s">
        <v>295</v>
      </c>
    </row>
    <row r="10" spans="1:11" ht="14.4" customHeight="1" thickBot="1" x14ac:dyDescent="0.35">
      <c r="A10" s="566" t="s">
        <v>302</v>
      </c>
      <c r="B10" s="544">
        <v>4.9406564584124654E-324</v>
      </c>
      <c r="C10" s="544">
        <v>5.8100000000000001E-3</v>
      </c>
      <c r="D10" s="545">
        <v>5.8100000000000001E-3</v>
      </c>
      <c r="E10" s="554" t="s">
        <v>301</v>
      </c>
      <c r="F10" s="544">
        <v>0</v>
      </c>
      <c r="G10" s="545">
        <v>0</v>
      </c>
      <c r="H10" s="547">
        <v>1.48E-3</v>
      </c>
      <c r="I10" s="544">
        <v>3.1900000000000001E-3</v>
      </c>
      <c r="J10" s="545">
        <v>3.1900000000000001E-3</v>
      </c>
      <c r="K10" s="555" t="s">
        <v>295</v>
      </c>
    </row>
    <row r="11" spans="1:11" ht="14.4" customHeight="1" thickBot="1" x14ac:dyDescent="0.35">
      <c r="A11" s="565" t="s">
        <v>303</v>
      </c>
      <c r="B11" s="549">
        <v>7593.9190081377801</v>
      </c>
      <c r="C11" s="549">
        <v>7492.75306</v>
      </c>
      <c r="D11" s="550">
        <v>-101.165948137776</v>
      </c>
      <c r="E11" s="556">
        <v>0.98667803172099999</v>
      </c>
      <c r="F11" s="549">
        <v>7364.3169119161103</v>
      </c>
      <c r="G11" s="550">
        <v>3068.46537996505</v>
      </c>
      <c r="H11" s="552">
        <v>688.13081999999997</v>
      </c>
      <c r="I11" s="549">
        <v>3329.3190199999999</v>
      </c>
      <c r="J11" s="550">
        <v>260.85364003495698</v>
      </c>
      <c r="K11" s="557">
        <v>0.45208796142500002</v>
      </c>
    </row>
    <row r="12" spans="1:11" ht="14.4" customHeight="1" thickBot="1" x14ac:dyDescent="0.35">
      <c r="A12" s="566" t="s">
        <v>304</v>
      </c>
      <c r="B12" s="544">
        <v>3995.9980111987302</v>
      </c>
      <c r="C12" s="544">
        <v>3482.0259999999998</v>
      </c>
      <c r="D12" s="545">
        <v>-513.97201119872705</v>
      </c>
      <c r="E12" s="546">
        <v>0.87137831156099999</v>
      </c>
      <c r="F12" s="544">
        <v>3514.8277298511198</v>
      </c>
      <c r="G12" s="545">
        <v>1464.51155410463</v>
      </c>
      <c r="H12" s="547">
        <v>324.60971999999998</v>
      </c>
      <c r="I12" s="544">
        <v>1343.4775400000001</v>
      </c>
      <c r="J12" s="545">
        <v>-121.034014104633</v>
      </c>
      <c r="K12" s="548">
        <v>0.38223140456900001</v>
      </c>
    </row>
    <row r="13" spans="1:11" ht="14.4" customHeight="1" thickBot="1" x14ac:dyDescent="0.35">
      <c r="A13" s="566" t="s">
        <v>305</v>
      </c>
      <c r="B13" s="544">
        <v>1439.5347154585399</v>
      </c>
      <c r="C13" s="544">
        <v>1543.90139</v>
      </c>
      <c r="D13" s="545">
        <v>104.366674541458</v>
      </c>
      <c r="E13" s="546">
        <v>1.072500283196</v>
      </c>
      <c r="F13" s="544">
        <v>1571.5947783716099</v>
      </c>
      <c r="G13" s="545">
        <v>654.83115765483797</v>
      </c>
      <c r="H13" s="547">
        <v>155.12288000000001</v>
      </c>
      <c r="I13" s="544">
        <v>694.87013000000002</v>
      </c>
      <c r="J13" s="545">
        <v>40.038972345162001</v>
      </c>
      <c r="K13" s="548">
        <v>0.442143318088</v>
      </c>
    </row>
    <row r="14" spans="1:11" ht="14.4" customHeight="1" thickBot="1" x14ac:dyDescent="0.35">
      <c r="A14" s="566" t="s">
        <v>306</v>
      </c>
      <c r="B14" s="544">
        <v>63.626758242942003</v>
      </c>
      <c r="C14" s="544">
        <v>27.062760000000001</v>
      </c>
      <c r="D14" s="545">
        <v>-36.563998242941999</v>
      </c>
      <c r="E14" s="546">
        <v>0.425336143901</v>
      </c>
      <c r="F14" s="544">
        <v>26.364851961125002</v>
      </c>
      <c r="G14" s="545">
        <v>10.985354983802001</v>
      </c>
      <c r="H14" s="547">
        <v>4.9406564584124654E-324</v>
      </c>
      <c r="I14" s="544">
        <v>2.4703282292062327E-323</v>
      </c>
      <c r="J14" s="545">
        <v>-10.985354983802001</v>
      </c>
      <c r="K14" s="548">
        <v>0</v>
      </c>
    </row>
    <row r="15" spans="1:11" ht="14.4" customHeight="1" thickBot="1" x14ac:dyDescent="0.35">
      <c r="A15" s="566" t="s">
        <v>307</v>
      </c>
      <c r="B15" s="544">
        <v>149.79259747347399</v>
      </c>
      <c r="C15" s="544">
        <v>360.54921000000002</v>
      </c>
      <c r="D15" s="545">
        <v>210.756612526526</v>
      </c>
      <c r="E15" s="546">
        <v>2.406989504697</v>
      </c>
      <c r="F15" s="544">
        <v>360.00316104062398</v>
      </c>
      <c r="G15" s="545">
        <v>150.00131710026</v>
      </c>
      <c r="H15" s="547">
        <v>21.113099999999999</v>
      </c>
      <c r="I15" s="544">
        <v>136.85648</v>
      </c>
      <c r="J15" s="545">
        <v>-13.144837100259</v>
      </c>
      <c r="K15" s="548">
        <v>0.380153550886</v>
      </c>
    </row>
    <row r="16" spans="1:11" ht="14.4" customHeight="1" thickBot="1" x14ac:dyDescent="0.35">
      <c r="A16" s="566" t="s">
        <v>308</v>
      </c>
      <c r="B16" s="544">
        <v>67.663492218779993</v>
      </c>
      <c r="C16" s="544">
        <v>17.746980000000001</v>
      </c>
      <c r="D16" s="545">
        <v>-49.916512218779999</v>
      </c>
      <c r="E16" s="546">
        <v>0.262282944879</v>
      </c>
      <c r="F16" s="544">
        <v>17.999999999999002</v>
      </c>
      <c r="G16" s="545">
        <v>7.4999999999989999</v>
      </c>
      <c r="H16" s="547">
        <v>4.9406564584124654E-324</v>
      </c>
      <c r="I16" s="544">
        <v>2.4703282292062327E-323</v>
      </c>
      <c r="J16" s="545">
        <v>-7.4999999999989999</v>
      </c>
      <c r="K16" s="548">
        <v>0</v>
      </c>
    </row>
    <row r="17" spans="1:11" ht="14.4" customHeight="1" thickBot="1" x14ac:dyDescent="0.35">
      <c r="A17" s="566" t="s">
        <v>309</v>
      </c>
      <c r="B17" s="544">
        <v>1497.3038787042201</v>
      </c>
      <c r="C17" s="544">
        <v>1496.9118699999999</v>
      </c>
      <c r="D17" s="545">
        <v>-0.39200870421700001</v>
      </c>
      <c r="E17" s="546">
        <v>0.99973819028300004</v>
      </c>
      <c r="F17" s="544">
        <v>974.99072414135105</v>
      </c>
      <c r="G17" s="545">
        <v>406.24613505889602</v>
      </c>
      <c r="H17" s="547">
        <v>59.365259999999999</v>
      </c>
      <c r="I17" s="544">
        <v>516.53058000000101</v>
      </c>
      <c r="J17" s="545">
        <v>110.284444941104</v>
      </c>
      <c r="K17" s="548">
        <v>0.529779994014</v>
      </c>
    </row>
    <row r="18" spans="1:11" ht="14.4" customHeight="1" thickBot="1" x14ac:dyDescent="0.35">
      <c r="A18" s="566" t="s">
        <v>310</v>
      </c>
      <c r="B18" s="544">
        <v>252.331954000873</v>
      </c>
      <c r="C18" s="544">
        <v>421.21330000000103</v>
      </c>
      <c r="D18" s="545">
        <v>168.88134599912701</v>
      </c>
      <c r="E18" s="546">
        <v>1.6692824405360001</v>
      </c>
      <c r="F18" s="544">
        <v>761.39776893289502</v>
      </c>
      <c r="G18" s="545">
        <v>317.249070388706</v>
      </c>
      <c r="H18" s="547">
        <v>115.56662</v>
      </c>
      <c r="I18" s="544">
        <v>574.44326000000001</v>
      </c>
      <c r="J18" s="545">
        <v>257.19418961129401</v>
      </c>
      <c r="K18" s="548">
        <v>0.75445881697899997</v>
      </c>
    </row>
    <row r="19" spans="1:11" ht="14.4" customHeight="1" thickBot="1" x14ac:dyDescent="0.35">
      <c r="A19" s="566" t="s">
        <v>311</v>
      </c>
      <c r="B19" s="544">
        <v>127.667600840219</v>
      </c>
      <c r="C19" s="544">
        <v>143.34155000000001</v>
      </c>
      <c r="D19" s="545">
        <v>15.673949159779999</v>
      </c>
      <c r="E19" s="546">
        <v>1.1227715493720001</v>
      </c>
      <c r="F19" s="544">
        <v>137.13789761737999</v>
      </c>
      <c r="G19" s="545">
        <v>57.140790673908</v>
      </c>
      <c r="H19" s="547">
        <v>12.35324</v>
      </c>
      <c r="I19" s="544">
        <v>63.141030000000001</v>
      </c>
      <c r="J19" s="545">
        <v>6.0002393260910001</v>
      </c>
      <c r="K19" s="548">
        <v>0.46041999401299999</v>
      </c>
    </row>
    <row r="20" spans="1:11" ht="14.4" customHeight="1" thickBot="1" x14ac:dyDescent="0.35">
      <c r="A20" s="565" t="s">
        <v>312</v>
      </c>
      <c r="B20" s="549">
        <v>3540.0635855801002</v>
      </c>
      <c r="C20" s="549">
        <v>3384.2579999999998</v>
      </c>
      <c r="D20" s="550">
        <v>-155.80558558010199</v>
      </c>
      <c r="E20" s="556">
        <v>0.95598791326300003</v>
      </c>
      <c r="F20" s="549">
        <v>3394.97988424399</v>
      </c>
      <c r="G20" s="550">
        <v>1414.57495176833</v>
      </c>
      <c r="H20" s="552">
        <v>184.977</v>
      </c>
      <c r="I20" s="549">
        <v>1377.249</v>
      </c>
      <c r="J20" s="550">
        <v>-37.325951768326</v>
      </c>
      <c r="K20" s="557">
        <v>0.40567221219499999</v>
      </c>
    </row>
    <row r="21" spans="1:11" ht="14.4" customHeight="1" thickBot="1" x14ac:dyDescent="0.35">
      <c r="A21" s="566" t="s">
        <v>313</v>
      </c>
      <c r="B21" s="544">
        <v>3041.29174018909</v>
      </c>
      <c r="C21" s="544">
        <v>2928.0120000000002</v>
      </c>
      <c r="D21" s="545">
        <v>-113.279740189091</v>
      </c>
      <c r="E21" s="546">
        <v>0.96275275446499997</v>
      </c>
      <c r="F21" s="544">
        <v>2934.9826097956102</v>
      </c>
      <c r="G21" s="545">
        <v>1222.9094207481701</v>
      </c>
      <c r="H21" s="547">
        <v>161.77699999999999</v>
      </c>
      <c r="I21" s="544">
        <v>1207.413</v>
      </c>
      <c r="J21" s="545">
        <v>-15.496420748169999</v>
      </c>
      <c r="K21" s="548">
        <v>0.41138676459899998</v>
      </c>
    </row>
    <row r="22" spans="1:11" ht="14.4" customHeight="1" thickBot="1" x14ac:dyDescent="0.35">
      <c r="A22" s="566" t="s">
        <v>314</v>
      </c>
      <c r="B22" s="544">
        <v>498.77184539101103</v>
      </c>
      <c r="C22" s="544">
        <v>456.24599999999998</v>
      </c>
      <c r="D22" s="545">
        <v>-42.525845391011003</v>
      </c>
      <c r="E22" s="546">
        <v>0.91473888154600003</v>
      </c>
      <c r="F22" s="544">
        <v>459.99727444837498</v>
      </c>
      <c r="G22" s="545">
        <v>191.66553102015601</v>
      </c>
      <c r="H22" s="547">
        <v>23.2</v>
      </c>
      <c r="I22" s="544">
        <v>169.83600000000001</v>
      </c>
      <c r="J22" s="545">
        <v>-21.829531020156001</v>
      </c>
      <c r="K22" s="548">
        <v>0.369210883268</v>
      </c>
    </row>
    <row r="23" spans="1:11" ht="14.4" customHeight="1" thickBot="1" x14ac:dyDescent="0.35">
      <c r="A23" s="565" t="s">
        <v>315</v>
      </c>
      <c r="B23" s="549">
        <v>3815.01892257497</v>
      </c>
      <c r="C23" s="549">
        <v>3613.6540799999998</v>
      </c>
      <c r="D23" s="550">
        <v>-201.36484257497199</v>
      </c>
      <c r="E23" s="556">
        <v>0.94721786531999996</v>
      </c>
      <c r="F23" s="549">
        <v>3543.2701150048802</v>
      </c>
      <c r="G23" s="550">
        <v>1476.3625479187001</v>
      </c>
      <c r="H23" s="552">
        <v>227.35659000000001</v>
      </c>
      <c r="I23" s="549">
        <v>1202.47084</v>
      </c>
      <c r="J23" s="550">
        <v>-273.89170791869901</v>
      </c>
      <c r="K23" s="557">
        <v>0.33936753365400002</v>
      </c>
    </row>
    <row r="24" spans="1:11" ht="14.4" customHeight="1" thickBot="1" x14ac:dyDescent="0.35">
      <c r="A24" s="566" t="s">
        <v>316</v>
      </c>
      <c r="B24" s="544">
        <v>372.49998328630301</v>
      </c>
      <c r="C24" s="544">
        <v>284.96645000000001</v>
      </c>
      <c r="D24" s="545">
        <v>-87.533533286302998</v>
      </c>
      <c r="E24" s="546">
        <v>0.76501063835200001</v>
      </c>
      <c r="F24" s="544">
        <v>509.96614817726402</v>
      </c>
      <c r="G24" s="545">
        <v>212.48589507386001</v>
      </c>
      <c r="H24" s="547">
        <v>0.91476000000000002</v>
      </c>
      <c r="I24" s="544">
        <v>120.33674000000001</v>
      </c>
      <c r="J24" s="545">
        <v>-92.149155073860001</v>
      </c>
      <c r="K24" s="548">
        <v>0.235970054934</v>
      </c>
    </row>
    <row r="25" spans="1:11" ht="14.4" customHeight="1" thickBot="1" x14ac:dyDescent="0.35">
      <c r="A25" s="566" t="s">
        <v>317</v>
      </c>
      <c r="B25" s="544">
        <v>0.94990943338099998</v>
      </c>
      <c r="C25" s="544">
        <v>0.73479000000000005</v>
      </c>
      <c r="D25" s="545">
        <v>-0.21511943338100001</v>
      </c>
      <c r="E25" s="546">
        <v>0.77353690170599998</v>
      </c>
      <c r="F25" s="544">
        <v>0.73483645211699999</v>
      </c>
      <c r="G25" s="545">
        <v>0.306181855048</v>
      </c>
      <c r="H25" s="547">
        <v>4.9406564584124654E-324</v>
      </c>
      <c r="I25" s="544">
        <v>0.15515999999999999</v>
      </c>
      <c r="J25" s="545">
        <v>-0.151021855048</v>
      </c>
      <c r="K25" s="548">
        <v>0.21114902445600001</v>
      </c>
    </row>
    <row r="26" spans="1:11" ht="14.4" customHeight="1" thickBot="1" x14ac:dyDescent="0.35">
      <c r="A26" s="566" t="s">
        <v>318</v>
      </c>
      <c r="B26" s="544">
        <v>366.672213054054</v>
      </c>
      <c r="C26" s="544">
        <v>372.91534000000001</v>
      </c>
      <c r="D26" s="545">
        <v>6.2431269459449998</v>
      </c>
      <c r="E26" s="546">
        <v>1.017026452301</v>
      </c>
      <c r="F26" s="544">
        <v>360.32113971040701</v>
      </c>
      <c r="G26" s="545">
        <v>150.13380821267</v>
      </c>
      <c r="H26" s="547">
        <v>31.663060000000002</v>
      </c>
      <c r="I26" s="544">
        <v>164.82364999999999</v>
      </c>
      <c r="J26" s="545">
        <v>14.68984178733</v>
      </c>
      <c r="K26" s="548">
        <v>0.45743541478700001</v>
      </c>
    </row>
    <row r="27" spans="1:11" ht="14.4" customHeight="1" thickBot="1" x14ac:dyDescent="0.35">
      <c r="A27" s="566" t="s">
        <v>319</v>
      </c>
      <c r="B27" s="544">
        <v>2570.1361796951201</v>
      </c>
      <c r="C27" s="544">
        <v>2335.6608000000001</v>
      </c>
      <c r="D27" s="545">
        <v>-234.47537969511501</v>
      </c>
      <c r="E27" s="546">
        <v>0.90876927784999995</v>
      </c>
      <c r="F27" s="544">
        <v>2123.8776199868098</v>
      </c>
      <c r="G27" s="545">
        <v>884.94900832783901</v>
      </c>
      <c r="H27" s="547">
        <v>150.83758</v>
      </c>
      <c r="I27" s="544">
        <v>722.32904000000099</v>
      </c>
      <c r="J27" s="545">
        <v>-162.619968327838</v>
      </c>
      <c r="K27" s="548">
        <v>0.34009918142200002</v>
      </c>
    </row>
    <row r="28" spans="1:11" ht="14.4" customHeight="1" thickBot="1" x14ac:dyDescent="0.35">
      <c r="A28" s="566" t="s">
        <v>320</v>
      </c>
      <c r="B28" s="544">
        <v>153.57745708972399</v>
      </c>
      <c r="C28" s="544">
        <v>207.81322</v>
      </c>
      <c r="D28" s="545">
        <v>54.235762910275</v>
      </c>
      <c r="E28" s="546">
        <v>1.353149244283</v>
      </c>
      <c r="F28" s="544">
        <v>169.96729750682999</v>
      </c>
      <c r="G28" s="545">
        <v>70.819707294512</v>
      </c>
      <c r="H28" s="547">
        <v>11.43</v>
      </c>
      <c r="I28" s="544">
        <v>45.85</v>
      </c>
      <c r="J28" s="545">
        <v>-24.969707294511998</v>
      </c>
      <c r="K28" s="548">
        <v>0.26975777500999998</v>
      </c>
    </row>
    <row r="29" spans="1:11" ht="14.4" customHeight="1" thickBot="1" x14ac:dyDescent="0.35">
      <c r="A29" s="566" t="s">
        <v>321</v>
      </c>
      <c r="B29" s="544">
        <v>17.605757069342999</v>
      </c>
      <c r="C29" s="544">
        <v>20.39629</v>
      </c>
      <c r="D29" s="545">
        <v>2.7905329306560001</v>
      </c>
      <c r="E29" s="546">
        <v>1.1585011607090001</v>
      </c>
      <c r="F29" s="544">
        <v>19.996926055149</v>
      </c>
      <c r="G29" s="545">
        <v>8.3320525229779996</v>
      </c>
      <c r="H29" s="547">
        <v>4.9406564584124654E-324</v>
      </c>
      <c r="I29" s="544">
        <v>2.4703282292062327E-323</v>
      </c>
      <c r="J29" s="545">
        <v>-8.3320525229779996</v>
      </c>
      <c r="K29" s="548">
        <v>0</v>
      </c>
    </row>
    <row r="30" spans="1:11" ht="14.4" customHeight="1" thickBot="1" x14ac:dyDescent="0.35">
      <c r="A30" s="566" t="s">
        <v>322</v>
      </c>
      <c r="B30" s="544">
        <v>26.878079302730001</v>
      </c>
      <c r="C30" s="544">
        <v>24.346779999999999</v>
      </c>
      <c r="D30" s="545">
        <v>-2.5312993027299999</v>
      </c>
      <c r="E30" s="546">
        <v>0.90582290965699996</v>
      </c>
      <c r="F30" s="544">
        <v>17.848147985781001</v>
      </c>
      <c r="G30" s="545">
        <v>7.4367283274089999</v>
      </c>
      <c r="H30" s="547">
        <v>1.85683</v>
      </c>
      <c r="I30" s="544">
        <v>7.57437</v>
      </c>
      <c r="J30" s="545">
        <v>0.13764167259000001</v>
      </c>
      <c r="K30" s="548">
        <v>0.42437848487300001</v>
      </c>
    </row>
    <row r="31" spans="1:11" ht="14.4" customHeight="1" thickBot="1" x14ac:dyDescent="0.35">
      <c r="A31" s="566" t="s">
        <v>323</v>
      </c>
      <c r="B31" s="544">
        <v>171.78704753045201</v>
      </c>
      <c r="C31" s="544">
        <v>179.51747</v>
      </c>
      <c r="D31" s="545">
        <v>7.7304224695470003</v>
      </c>
      <c r="E31" s="546">
        <v>1.0450000310300001</v>
      </c>
      <c r="F31" s="544">
        <v>166.84043106968701</v>
      </c>
      <c r="G31" s="545">
        <v>69.516846279036002</v>
      </c>
      <c r="H31" s="547">
        <v>13.8344</v>
      </c>
      <c r="I31" s="544">
        <v>74.347999999999999</v>
      </c>
      <c r="J31" s="545">
        <v>4.831153720963</v>
      </c>
      <c r="K31" s="548">
        <v>0.44562339909600002</v>
      </c>
    </row>
    <row r="32" spans="1:11" ht="14.4" customHeight="1" thickBot="1" x14ac:dyDescent="0.35">
      <c r="A32" s="566" t="s">
        <v>324</v>
      </c>
      <c r="B32" s="544">
        <v>133.91229611386601</v>
      </c>
      <c r="C32" s="544">
        <v>184.24444</v>
      </c>
      <c r="D32" s="545">
        <v>50.332143886132997</v>
      </c>
      <c r="E32" s="546">
        <v>1.3758590162869999</v>
      </c>
      <c r="F32" s="544">
        <v>170.594468383888</v>
      </c>
      <c r="G32" s="545">
        <v>71.081028493285999</v>
      </c>
      <c r="H32" s="547">
        <v>16.50996</v>
      </c>
      <c r="I32" s="544">
        <v>65.774879999999996</v>
      </c>
      <c r="J32" s="545">
        <v>-5.3061484932859999</v>
      </c>
      <c r="K32" s="548">
        <v>0.38556279475499999</v>
      </c>
    </row>
    <row r="33" spans="1:11" ht="14.4" customHeight="1" thickBot="1" x14ac:dyDescent="0.35">
      <c r="A33" s="566" t="s">
        <v>325</v>
      </c>
      <c r="B33" s="544">
        <v>1</v>
      </c>
      <c r="C33" s="544">
        <v>3.0585</v>
      </c>
      <c r="D33" s="545">
        <v>2.0585</v>
      </c>
      <c r="E33" s="546">
        <v>3.0585</v>
      </c>
      <c r="F33" s="544">
        <v>3.1230996769389998</v>
      </c>
      <c r="G33" s="545">
        <v>1.3012915320580001</v>
      </c>
      <c r="H33" s="547">
        <v>0.31</v>
      </c>
      <c r="I33" s="544">
        <v>1.2789999999999999</v>
      </c>
      <c r="J33" s="545">
        <v>-2.2291532058E-2</v>
      </c>
      <c r="K33" s="548">
        <v>0.40952903599000001</v>
      </c>
    </row>
    <row r="34" spans="1:11" ht="14.4" customHeight="1" thickBot="1" x14ac:dyDescent="0.35">
      <c r="A34" s="565" t="s">
        <v>326</v>
      </c>
      <c r="B34" s="549">
        <v>55.002182034937</v>
      </c>
      <c r="C34" s="549">
        <v>58.44106</v>
      </c>
      <c r="D34" s="550">
        <v>3.4388779650619998</v>
      </c>
      <c r="E34" s="556">
        <v>1.062522573429</v>
      </c>
      <c r="F34" s="549">
        <v>57.999795446105999</v>
      </c>
      <c r="G34" s="550">
        <v>24.166581435876999</v>
      </c>
      <c r="H34" s="552">
        <v>5.6733000000000002</v>
      </c>
      <c r="I34" s="549">
        <v>26.668990000000001</v>
      </c>
      <c r="J34" s="550">
        <v>2.5024085641220002</v>
      </c>
      <c r="K34" s="557">
        <v>0.45981179407400002</v>
      </c>
    </row>
    <row r="35" spans="1:11" ht="14.4" customHeight="1" thickBot="1" x14ac:dyDescent="0.35">
      <c r="A35" s="566" t="s">
        <v>327</v>
      </c>
      <c r="B35" s="544">
        <v>40.002701039649999</v>
      </c>
      <c r="C35" s="544">
        <v>44.691609999999997</v>
      </c>
      <c r="D35" s="545">
        <v>4.688908960349</v>
      </c>
      <c r="E35" s="546">
        <v>1.117214808962</v>
      </c>
      <c r="F35" s="544">
        <v>37.999865981931002</v>
      </c>
      <c r="G35" s="545">
        <v>15.833277492471</v>
      </c>
      <c r="H35" s="547">
        <v>4.7579799999999999</v>
      </c>
      <c r="I35" s="544">
        <v>20.719799999999999</v>
      </c>
      <c r="J35" s="545">
        <v>4.8865225075280003</v>
      </c>
      <c r="K35" s="548">
        <v>0.54525981775400001</v>
      </c>
    </row>
    <row r="36" spans="1:11" ht="14.4" customHeight="1" thickBot="1" x14ac:dyDescent="0.35">
      <c r="A36" s="566" t="s">
        <v>328</v>
      </c>
      <c r="B36" s="544">
        <v>14.999480995287</v>
      </c>
      <c r="C36" s="544">
        <v>13.74945</v>
      </c>
      <c r="D36" s="545">
        <v>-1.2500309952869999</v>
      </c>
      <c r="E36" s="546">
        <v>0.91666171678300001</v>
      </c>
      <c r="F36" s="544">
        <v>19.999929464173999</v>
      </c>
      <c r="G36" s="545">
        <v>8.3333039434059994</v>
      </c>
      <c r="H36" s="547">
        <v>0.91532000000000002</v>
      </c>
      <c r="I36" s="544">
        <v>5.9491899999999998</v>
      </c>
      <c r="J36" s="545">
        <v>-2.3841139434060001</v>
      </c>
      <c r="K36" s="548">
        <v>0.297460549081</v>
      </c>
    </row>
    <row r="37" spans="1:11" ht="14.4" customHeight="1" thickBot="1" x14ac:dyDescent="0.35">
      <c r="A37" s="565" t="s">
        <v>329</v>
      </c>
      <c r="B37" s="549">
        <v>270.86943004891901</v>
      </c>
      <c r="C37" s="549">
        <v>337.91016000000002</v>
      </c>
      <c r="D37" s="550">
        <v>67.040729951081005</v>
      </c>
      <c r="E37" s="556">
        <v>1.247502015782</v>
      </c>
      <c r="F37" s="549">
        <v>323.210944503203</v>
      </c>
      <c r="G37" s="550">
        <v>134.671226876335</v>
      </c>
      <c r="H37" s="552">
        <v>27.97315</v>
      </c>
      <c r="I37" s="549">
        <v>136.09595999999999</v>
      </c>
      <c r="J37" s="550">
        <v>1.424733123665</v>
      </c>
      <c r="K37" s="557">
        <v>0.421074726319</v>
      </c>
    </row>
    <row r="38" spans="1:11" ht="14.4" customHeight="1" thickBot="1" x14ac:dyDescent="0.35">
      <c r="A38" s="566" t="s">
        <v>330</v>
      </c>
      <c r="B38" s="544">
        <v>64.827605943910996</v>
      </c>
      <c r="C38" s="544">
        <v>1.6493</v>
      </c>
      <c r="D38" s="545">
        <v>-63.178305943910999</v>
      </c>
      <c r="E38" s="546">
        <v>2.5441322041000001E-2</v>
      </c>
      <c r="F38" s="544">
        <v>1.9034656814069999</v>
      </c>
      <c r="G38" s="545">
        <v>0.79311070058599997</v>
      </c>
      <c r="H38" s="547">
        <v>4.9406564584124654E-324</v>
      </c>
      <c r="I38" s="544">
        <v>2.4703282292062327E-323</v>
      </c>
      <c r="J38" s="545">
        <v>-0.79311070058599997</v>
      </c>
      <c r="K38" s="548">
        <v>1.4821969375237396E-323</v>
      </c>
    </row>
    <row r="39" spans="1:11" ht="14.4" customHeight="1" thickBot="1" x14ac:dyDescent="0.35">
      <c r="A39" s="566" t="s">
        <v>331</v>
      </c>
      <c r="B39" s="544">
        <v>3.4696875352990002</v>
      </c>
      <c r="C39" s="544">
        <v>5.2730199999999998</v>
      </c>
      <c r="D39" s="545">
        <v>1.8033324647</v>
      </c>
      <c r="E39" s="546">
        <v>1.519739154132</v>
      </c>
      <c r="F39" s="544">
        <v>5.3076004336900002</v>
      </c>
      <c r="G39" s="545">
        <v>2.2115001807039998</v>
      </c>
      <c r="H39" s="547">
        <v>0.39696999999999999</v>
      </c>
      <c r="I39" s="544">
        <v>1.8689100000000001</v>
      </c>
      <c r="J39" s="545">
        <v>-0.34259018070399999</v>
      </c>
      <c r="K39" s="548">
        <v>0.352119573307</v>
      </c>
    </row>
    <row r="40" spans="1:11" ht="14.4" customHeight="1" thickBot="1" x14ac:dyDescent="0.35">
      <c r="A40" s="566" t="s">
        <v>332</v>
      </c>
      <c r="B40" s="544">
        <v>127.38805109333001</v>
      </c>
      <c r="C40" s="544">
        <v>169.89512999999999</v>
      </c>
      <c r="D40" s="545">
        <v>42.507078906669001</v>
      </c>
      <c r="E40" s="546">
        <v>1.3336818370470001</v>
      </c>
      <c r="F40" s="544">
        <v>174.76231130044499</v>
      </c>
      <c r="G40" s="545">
        <v>72.817629708517998</v>
      </c>
      <c r="H40" s="547">
        <v>15.84376</v>
      </c>
      <c r="I40" s="544">
        <v>81.784040000000005</v>
      </c>
      <c r="J40" s="545">
        <v>8.9664102914810009</v>
      </c>
      <c r="K40" s="548">
        <v>0.46797298222599998</v>
      </c>
    </row>
    <row r="41" spans="1:11" ht="14.4" customHeight="1" thickBot="1" x14ac:dyDescent="0.35">
      <c r="A41" s="566" t="s">
        <v>333</v>
      </c>
      <c r="B41" s="544">
        <v>44.774924083598997</v>
      </c>
      <c r="C41" s="544">
        <v>50.555059999999997</v>
      </c>
      <c r="D41" s="545">
        <v>5.7801359163999999</v>
      </c>
      <c r="E41" s="546">
        <v>1.1290931483340001</v>
      </c>
      <c r="F41" s="544">
        <v>55.483672243809998</v>
      </c>
      <c r="G41" s="545">
        <v>23.118196768253998</v>
      </c>
      <c r="H41" s="547">
        <v>4.7790400000000002</v>
      </c>
      <c r="I41" s="544">
        <v>14.407679999999999</v>
      </c>
      <c r="J41" s="545">
        <v>-8.7105167682539992</v>
      </c>
      <c r="K41" s="548">
        <v>0.25967423238800003</v>
      </c>
    </row>
    <row r="42" spans="1:11" ht="14.4" customHeight="1" thickBot="1" x14ac:dyDescent="0.35">
      <c r="A42" s="566" t="s">
        <v>334</v>
      </c>
      <c r="B42" s="544">
        <v>1.398466479651</v>
      </c>
      <c r="C42" s="544">
        <v>5.4623699999999999</v>
      </c>
      <c r="D42" s="545">
        <v>4.0639035203480001</v>
      </c>
      <c r="E42" s="546">
        <v>3.90597134753</v>
      </c>
      <c r="F42" s="544">
        <v>2.9997569216720001</v>
      </c>
      <c r="G42" s="545">
        <v>1.2498987173630001</v>
      </c>
      <c r="H42" s="547">
        <v>4.9406564584124654E-324</v>
      </c>
      <c r="I42" s="544">
        <v>2.4703282292062327E-323</v>
      </c>
      <c r="J42" s="545">
        <v>-1.2498987173630001</v>
      </c>
      <c r="K42" s="548">
        <v>9.8813129168249309E-324</v>
      </c>
    </row>
    <row r="43" spans="1:11" ht="14.4" customHeight="1" thickBot="1" x14ac:dyDescent="0.35">
      <c r="A43" s="566" t="s">
        <v>335</v>
      </c>
      <c r="B43" s="544">
        <v>4.9406564584124654E-324</v>
      </c>
      <c r="C43" s="544">
        <v>1.7999999999999999E-2</v>
      </c>
      <c r="D43" s="545">
        <v>1.7999999999999999E-2</v>
      </c>
      <c r="E43" s="554" t="s">
        <v>301</v>
      </c>
      <c r="F43" s="544">
        <v>3.1257664639000003E-2</v>
      </c>
      <c r="G43" s="545">
        <v>1.3024026932999999E-2</v>
      </c>
      <c r="H43" s="547">
        <v>4.9406564584124654E-324</v>
      </c>
      <c r="I43" s="544">
        <v>2.4703282292062327E-323</v>
      </c>
      <c r="J43" s="545">
        <v>-1.3024026932999999E-2</v>
      </c>
      <c r="K43" s="548">
        <v>7.9050503334599447E-322</v>
      </c>
    </row>
    <row r="44" spans="1:11" ht="14.4" customHeight="1" thickBot="1" x14ac:dyDescent="0.35">
      <c r="A44" s="566" t="s">
        <v>336</v>
      </c>
      <c r="B44" s="544">
        <v>15.58604926292</v>
      </c>
      <c r="C44" s="544">
        <v>27.580690000000001</v>
      </c>
      <c r="D44" s="545">
        <v>11.994640737078999</v>
      </c>
      <c r="E44" s="546">
        <v>1.7695754411360001</v>
      </c>
      <c r="F44" s="544">
        <v>15.39611544922</v>
      </c>
      <c r="G44" s="545">
        <v>6.4150481038410003</v>
      </c>
      <c r="H44" s="547">
        <v>2.2360000000000002</v>
      </c>
      <c r="I44" s="544">
        <v>11.26515</v>
      </c>
      <c r="J44" s="545">
        <v>4.8501018961579998</v>
      </c>
      <c r="K44" s="548">
        <v>0.73168781028899998</v>
      </c>
    </row>
    <row r="45" spans="1:11" ht="14.4" customHeight="1" thickBot="1" x14ac:dyDescent="0.35">
      <c r="A45" s="566" t="s">
        <v>337</v>
      </c>
      <c r="B45" s="544">
        <v>12.425198657939999</v>
      </c>
      <c r="C45" s="544">
        <v>14.22838</v>
      </c>
      <c r="D45" s="545">
        <v>1.8031813420589999</v>
      </c>
      <c r="E45" s="546">
        <v>1.1451229386099999</v>
      </c>
      <c r="F45" s="544">
        <v>15.908621742915001</v>
      </c>
      <c r="G45" s="545">
        <v>6.628592392881</v>
      </c>
      <c r="H45" s="547">
        <v>1.1907700000000001</v>
      </c>
      <c r="I45" s="544">
        <v>3.6526000000000001</v>
      </c>
      <c r="J45" s="545">
        <v>-2.9759923928809999</v>
      </c>
      <c r="K45" s="548">
        <v>0.229598770969</v>
      </c>
    </row>
    <row r="46" spans="1:11" ht="14.4" customHeight="1" thickBot="1" x14ac:dyDescent="0.35">
      <c r="A46" s="566" t="s">
        <v>338</v>
      </c>
      <c r="B46" s="544">
        <v>4.9406564584124654E-324</v>
      </c>
      <c r="C46" s="544">
        <v>2.97</v>
      </c>
      <c r="D46" s="545">
        <v>2.97</v>
      </c>
      <c r="E46" s="554" t="s">
        <v>301</v>
      </c>
      <c r="F46" s="544">
        <v>0</v>
      </c>
      <c r="G46" s="545">
        <v>0</v>
      </c>
      <c r="H46" s="547">
        <v>4.9406564584124654E-324</v>
      </c>
      <c r="I46" s="544">
        <v>2.4703282292062327E-323</v>
      </c>
      <c r="J46" s="545">
        <v>2.4703282292062327E-323</v>
      </c>
      <c r="K46" s="555" t="s">
        <v>295</v>
      </c>
    </row>
    <row r="47" spans="1:11" ht="14.4" customHeight="1" thickBot="1" x14ac:dyDescent="0.35">
      <c r="A47" s="566" t="s">
        <v>339</v>
      </c>
      <c r="B47" s="544">
        <v>4.9406564584124654E-324</v>
      </c>
      <c r="C47" s="544">
        <v>0.12139999999999999</v>
      </c>
      <c r="D47" s="545">
        <v>0.12139999999999999</v>
      </c>
      <c r="E47" s="554" t="s">
        <v>301</v>
      </c>
      <c r="F47" s="544">
        <v>0.12345064811299999</v>
      </c>
      <c r="G47" s="545">
        <v>5.1437770047000002E-2</v>
      </c>
      <c r="H47" s="547">
        <v>4.9406564584124654E-324</v>
      </c>
      <c r="I47" s="544">
        <v>2.4703282292062327E-323</v>
      </c>
      <c r="J47" s="545">
        <v>-5.1437770047000002E-2</v>
      </c>
      <c r="K47" s="548">
        <v>2.0256691479491108E-322</v>
      </c>
    </row>
    <row r="48" spans="1:11" ht="14.4" customHeight="1" thickBot="1" x14ac:dyDescent="0.35">
      <c r="A48" s="566" t="s">
        <v>340</v>
      </c>
      <c r="B48" s="544">
        <v>4.9406564584124654E-324</v>
      </c>
      <c r="C48" s="544">
        <v>57.935009999999998</v>
      </c>
      <c r="D48" s="545">
        <v>57.935009999999998</v>
      </c>
      <c r="E48" s="554" t="s">
        <v>301</v>
      </c>
      <c r="F48" s="544">
        <v>48.881140920988003</v>
      </c>
      <c r="G48" s="545">
        <v>20.367142050411001</v>
      </c>
      <c r="H48" s="547">
        <v>3.5266099999999998</v>
      </c>
      <c r="I48" s="544">
        <v>23.11758</v>
      </c>
      <c r="J48" s="545">
        <v>2.750437949588</v>
      </c>
      <c r="K48" s="548">
        <v>0.47293454212399999</v>
      </c>
    </row>
    <row r="49" spans="1:11" ht="14.4" customHeight="1" thickBot="1" x14ac:dyDescent="0.35">
      <c r="A49" s="566" t="s">
        <v>341</v>
      </c>
      <c r="B49" s="544">
        <v>0.999446992265</v>
      </c>
      <c r="C49" s="544">
        <v>2.2218</v>
      </c>
      <c r="D49" s="545">
        <v>1.2223530077339999</v>
      </c>
      <c r="E49" s="546">
        <v>2.2230293524259999</v>
      </c>
      <c r="F49" s="544">
        <v>2.4135514962990001</v>
      </c>
      <c r="G49" s="545">
        <v>1.005646456791</v>
      </c>
      <c r="H49" s="547">
        <v>4.9406564584124654E-324</v>
      </c>
      <c r="I49" s="544">
        <v>2.4703282292062327E-323</v>
      </c>
      <c r="J49" s="545">
        <v>-1.005646456791</v>
      </c>
      <c r="K49" s="548">
        <v>9.8813129168249309E-324</v>
      </c>
    </row>
    <row r="50" spans="1:11" ht="14.4" customHeight="1" thickBot="1" x14ac:dyDescent="0.35">
      <c r="A50" s="565" t="s">
        <v>342</v>
      </c>
      <c r="B50" s="549">
        <v>267.303611409187</v>
      </c>
      <c r="C50" s="549">
        <v>84.74136</v>
      </c>
      <c r="D50" s="550">
        <v>-182.56225140918701</v>
      </c>
      <c r="E50" s="556">
        <v>0.31702287729299999</v>
      </c>
      <c r="F50" s="549">
        <v>59.436186645969997</v>
      </c>
      <c r="G50" s="550">
        <v>24.765077769154001</v>
      </c>
      <c r="H50" s="552">
        <v>31.3507</v>
      </c>
      <c r="I50" s="549">
        <v>74.485439999999997</v>
      </c>
      <c r="J50" s="550">
        <v>49.720362230844998</v>
      </c>
      <c r="K50" s="557">
        <v>1.2532001833099999</v>
      </c>
    </row>
    <row r="51" spans="1:11" ht="14.4" customHeight="1" thickBot="1" x14ac:dyDescent="0.35">
      <c r="A51" s="566" t="s">
        <v>343</v>
      </c>
      <c r="B51" s="544">
        <v>0</v>
      </c>
      <c r="C51" s="544">
        <v>4.9406564584124654E-324</v>
      </c>
      <c r="D51" s="545">
        <v>4.9406564584124654E-324</v>
      </c>
      <c r="E51" s="554" t="s">
        <v>295</v>
      </c>
      <c r="F51" s="544">
        <v>4.9406564584124654E-324</v>
      </c>
      <c r="G51" s="545">
        <v>0</v>
      </c>
      <c r="H51" s="547">
        <v>4.9406564584124654E-324</v>
      </c>
      <c r="I51" s="544">
        <v>0.25307000000000002</v>
      </c>
      <c r="J51" s="545">
        <v>0.25307000000000002</v>
      </c>
      <c r="K51" s="555" t="s">
        <v>301</v>
      </c>
    </row>
    <row r="52" spans="1:11" ht="14.4" customHeight="1" thickBot="1" x14ac:dyDescent="0.35">
      <c r="A52" s="566" t="s">
        <v>344</v>
      </c>
      <c r="B52" s="544">
        <v>0</v>
      </c>
      <c r="C52" s="544">
        <v>15.042999999999999</v>
      </c>
      <c r="D52" s="545">
        <v>15.042999999999999</v>
      </c>
      <c r="E52" s="554" t="s">
        <v>295</v>
      </c>
      <c r="F52" s="544">
        <v>12.185612237098001</v>
      </c>
      <c r="G52" s="545">
        <v>5.0773384321239998</v>
      </c>
      <c r="H52" s="547">
        <v>4.9406564584124654E-324</v>
      </c>
      <c r="I52" s="544">
        <v>2.4703282292062327E-323</v>
      </c>
      <c r="J52" s="545">
        <v>-5.0773384321239998</v>
      </c>
      <c r="K52" s="548">
        <v>0</v>
      </c>
    </row>
    <row r="53" spans="1:11" ht="14.4" customHeight="1" thickBot="1" x14ac:dyDescent="0.35">
      <c r="A53" s="566" t="s">
        <v>345</v>
      </c>
      <c r="B53" s="544">
        <v>264.51489095328299</v>
      </c>
      <c r="C53" s="544">
        <v>67.882900000000006</v>
      </c>
      <c r="D53" s="545">
        <v>-196.63199095328301</v>
      </c>
      <c r="E53" s="546">
        <v>0.25663167678499998</v>
      </c>
      <c r="F53" s="544">
        <v>45.250201412841001</v>
      </c>
      <c r="G53" s="545">
        <v>18.854250588683001</v>
      </c>
      <c r="H53" s="547">
        <v>31.2912</v>
      </c>
      <c r="I53" s="544">
        <v>73.969669999999994</v>
      </c>
      <c r="J53" s="545">
        <v>55.115419411315997</v>
      </c>
      <c r="K53" s="548">
        <v>1.634681563627</v>
      </c>
    </row>
    <row r="54" spans="1:11" ht="14.4" customHeight="1" thickBot="1" x14ac:dyDescent="0.35">
      <c r="A54" s="566" t="s">
        <v>346</v>
      </c>
      <c r="B54" s="544">
        <v>2.7887204559029999</v>
      </c>
      <c r="C54" s="544">
        <v>1.8154600000000001</v>
      </c>
      <c r="D54" s="545">
        <v>-0.97326045590300003</v>
      </c>
      <c r="E54" s="546">
        <v>0.65100106974000005</v>
      </c>
      <c r="F54" s="544">
        <v>2.0003729960299999</v>
      </c>
      <c r="G54" s="545">
        <v>0.83348874834499997</v>
      </c>
      <c r="H54" s="547">
        <v>5.9499999999999997E-2</v>
      </c>
      <c r="I54" s="544">
        <v>0.26269999999999999</v>
      </c>
      <c r="J54" s="545">
        <v>-0.57078874834500004</v>
      </c>
      <c r="K54" s="548">
        <v>0.131325508053</v>
      </c>
    </row>
    <row r="55" spans="1:11" ht="14.4" customHeight="1" thickBot="1" x14ac:dyDescent="0.35">
      <c r="A55" s="565" t="s">
        <v>347</v>
      </c>
      <c r="B55" s="549">
        <v>142.69670109671</v>
      </c>
      <c r="C55" s="549">
        <v>139.56711000000001</v>
      </c>
      <c r="D55" s="550">
        <v>-3.12959109671</v>
      </c>
      <c r="E55" s="556">
        <v>0.97806823092100004</v>
      </c>
      <c r="F55" s="549">
        <v>126.230395954993</v>
      </c>
      <c r="G55" s="550">
        <v>52.595998314580001</v>
      </c>
      <c r="H55" s="552">
        <v>9.1120900000000002</v>
      </c>
      <c r="I55" s="549">
        <v>48.29325</v>
      </c>
      <c r="J55" s="550">
        <v>-4.3027483145799996</v>
      </c>
      <c r="K55" s="557">
        <v>0.38258019896500001</v>
      </c>
    </row>
    <row r="56" spans="1:11" ht="14.4" customHeight="1" thickBot="1" x14ac:dyDescent="0.35">
      <c r="A56" s="566" t="s">
        <v>348</v>
      </c>
      <c r="B56" s="544">
        <v>15.211462959817</v>
      </c>
      <c r="C56" s="544">
        <v>23.747309999999999</v>
      </c>
      <c r="D56" s="545">
        <v>8.5358470401820004</v>
      </c>
      <c r="E56" s="546">
        <v>1.5611457006289999</v>
      </c>
      <c r="F56" s="544">
        <v>21.242690568518</v>
      </c>
      <c r="G56" s="545">
        <v>8.8511210702159993</v>
      </c>
      <c r="H56" s="547">
        <v>4.9406564584124654E-324</v>
      </c>
      <c r="I56" s="544">
        <v>1.9420200000000001</v>
      </c>
      <c r="J56" s="545">
        <v>-6.9091010702159998</v>
      </c>
      <c r="K56" s="548">
        <v>9.1420622718E-2</v>
      </c>
    </row>
    <row r="57" spans="1:11" ht="14.4" customHeight="1" thickBot="1" x14ac:dyDescent="0.35">
      <c r="A57" s="566" t="s">
        <v>349</v>
      </c>
      <c r="B57" s="544">
        <v>1.0782963312880001</v>
      </c>
      <c r="C57" s="544">
        <v>2.7842099999999999</v>
      </c>
      <c r="D57" s="545">
        <v>1.7059136687109999</v>
      </c>
      <c r="E57" s="546">
        <v>2.5820453239169998</v>
      </c>
      <c r="F57" s="544">
        <v>0</v>
      </c>
      <c r="G57" s="545">
        <v>0</v>
      </c>
      <c r="H57" s="547">
        <v>1.089</v>
      </c>
      <c r="I57" s="544">
        <v>2.80599</v>
      </c>
      <c r="J57" s="545">
        <v>2.80599</v>
      </c>
      <c r="K57" s="555" t="s">
        <v>295</v>
      </c>
    </row>
    <row r="58" spans="1:11" ht="14.4" customHeight="1" thickBot="1" x14ac:dyDescent="0.35">
      <c r="A58" s="566" t="s">
        <v>350</v>
      </c>
      <c r="B58" s="544">
        <v>4.1458153478790001</v>
      </c>
      <c r="C58" s="544">
        <v>4.6787400000000003</v>
      </c>
      <c r="D58" s="545">
        <v>0.53292465211999995</v>
      </c>
      <c r="E58" s="546">
        <v>1.128545197362</v>
      </c>
      <c r="F58" s="544">
        <v>0</v>
      </c>
      <c r="G58" s="545">
        <v>0</v>
      </c>
      <c r="H58" s="547">
        <v>4.9406564584124654E-324</v>
      </c>
      <c r="I58" s="544">
        <v>2.4703282292062327E-323</v>
      </c>
      <c r="J58" s="545">
        <v>2.4703282292062327E-323</v>
      </c>
      <c r="K58" s="555" t="s">
        <v>295</v>
      </c>
    </row>
    <row r="59" spans="1:11" ht="14.4" customHeight="1" thickBot="1" x14ac:dyDescent="0.35">
      <c r="A59" s="566" t="s">
        <v>351</v>
      </c>
      <c r="B59" s="544">
        <v>122.261126457725</v>
      </c>
      <c r="C59" s="544">
        <v>108.35684999999999</v>
      </c>
      <c r="D59" s="545">
        <v>-13.904276457725</v>
      </c>
      <c r="E59" s="546">
        <v>0.88627393791800002</v>
      </c>
      <c r="F59" s="544">
        <v>0</v>
      </c>
      <c r="G59" s="545">
        <v>0</v>
      </c>
      <c r="H59" s="547">
        <v>4.9406564584124654E-324</v>
      </c>
      <c r="I59" s="544">
        <v>2.4703282292062327E-323</v>
      </c>
      <c r="J59" s="545">
        <v>2.4703282292062327E-323</v>
      </c>
      <c r="K59" s="555" t="s">
        <v>295</v>
      </c>
    </row>
    <row r="60" spans="1:11" ht="14.4" customHeight="1" thickBot="1" x14ac:dyDescent="0.35">
      <c r="A60" s="566" t="s">
        <v>352</v>
      </c>
      <c r="B60" s="544">
        <v>4.9406564584124654E-324</v>
      </c>
      <c r="C60" s="544">
        <v>4.9406564584124654E-324</v>
      </c>
      <c r="D60" s="545">
        <v>0</v>
      </c>
      <c r="E60" s="546">
        <v>1</v>
      </c>
      <c r="F60" s="544">
        <v>5.0004809702859996</v>
      </c>
      <c r="G60" s="545">
        <v>2.0835337376190002</v>
      </c>
      <c r="H60" s="547">
        <v>0.30709999999999998</v>
      </c>
      <c r="I60" s="544">
        <v>2.97675</v>
      </c>
      <c r="J60" s="545">
        <v>0.89321626237999996</v>
      </c>
      <c r="K60" s="548">
        <v>0.595292736376</v>
      </c>
    </row>
    <row r="61" spans="1:11" ht="14.4" customHeight="1" thickBot="1" x14ac:dyDescent="0.35">
      <c r="A61" s="566" t="s">
        <v>353</v>
      </c>
      <c r="B61" s="544">
        <v>4.9406564584124654E-324</v>
      </c>
      <c r="C61" s="544">
        <v>4.9406564584124654E-324</v>
      </c>
      <c r="D61" s="545">
        <v>0</v>
      </c>
      <c r="E61" s="546">
        <v>1</v>
      </c>
      <c r="F61" s="544">
        <v>6.9998640777560004</v>
      </c>
      <c r="G61" s="545">
        <v>2.9166100323980002</v>
      </c>
      <c r="H61" s="547">
        <v>4.9406564584124654E-324</v>
      </c>
      <c r="I61" s="544">
        <v>1.5780000000000001</v>
      </c>
      <c r="J61" s="545">
        <v>-1.3386100323979999</v>
      </c>
      <c r="K61" s="548">
        <v>0.225432948764</v>
      </c>
    </row>
    <row r="62" spans="1:11" ht="14.4" customHeight="1" thickBot="1" x14ac:dyDescent="0.35">
      <c r="A62" s="566" t="s">
        <v>354</v>
      </c>
      <c r="B62" s="544">
        <v>4.9406564584124654E-324</v>
      </c>
      <c r="C62" s="544">
        <v>4.9406564584124654E-324</v>
      </c>
      <c r="D62" s="545">
        <v>0</v>
      </c>
      <c r="E62" s="546">
        <v>1</v>
      </c>
      <c r="F62" s="544">
        <v>92.987360338431003</v>
      </c>
      <c r="G62" s="545">
        <v>38.744733474345999</v>
      </c>
      <c r="H62" s="547">
        <v>7.7159899999999997</v>
      </c>
      <c r="I62" s="544">
        <v>38.990490000000001</v>
      </c>
      <c r="J62" s="545">
        <v>0.24575652565299999</v>
      </c>
      <c r="K62" s="548">
        <v>0.41930956915099998</v>
      </c>
    </row>
    <row r="63" spans="1:11" ht="14.4" customHeight="1" thickBot="1" x14ac:dyDescent="0.35">
      <c r="A63" s="564" t="s">
        <v>29</v>
      </c>
      <c r="B63" s="544">
        <v>347.59181330673999</v>
      </c>
      <c r="C63" s="544">
        <v>338.80599999999998</v>
      </c>
      <c r="D63" s="545">
        <v>-8.7858133067399997</v>
      </c>
      <c r="E63" s="546">
        <v>0.97472376226799995</v>
      </c>
      <c r="F63" s="544">
        <v>322.77884899141998</v>
      </c>
      <c r="G63" s="545">
        <v>134.49118707975799</v>
      </c>
      <c r="H63" s="547">
        <v>19.675000000000001</v>
      </c>
      <c r="I63" s="544">
        <v>135.19499999999999</v>
      </c>
      <c r="J63" s="545">
        <v>0.70381292024200004</v>
      </c>
      <c r="K63" s="548">
        <v>0.41884714696199998</v>
      </c>
    </row>
    <row r="64" spans="1:11" ht="14.4" customHeight="1" thickBot="1" x14ac:dyDescent="0.35">
      <c r="A64" s="565" t="s">
        <v>355</v>
      </c>
      <c r="B64" s="549">
        <v>347.59181330673999</v>
      </c>
      <c r="C64" s="549">
        <v>338.80599999999998</v>
      </c>
      <c r="D64" s="550">
        <v>-8.7858133067399997</v>
      </c>
      <c r="E64" s="556">
        <v>0.97472376226799995</v>
      </c>
      <c r="F64" s="549">
        <v>322.77884899141998</v>
      </c>
      <c r="G64" s="550">
        <v>134.49118707975799</v>
      </c>
      <c r="H64" s="552">
        <v>19.675000000000001</v>
      </c>
      <c r="I64" s="549">
        <v>135.19499999999999</v>
      </c>
      <c r="J64" s="550">
        <v>0.70381292024200004</v>
      </c>
      <c r="K64" s="557">
        <v>0.41884714696199998</v>
      </c>
    </row>
    <row r="65" spans="1:11" ht="14.4" customHeight="1" thickBot="1" x14ac:dyDescent="0.35">
      <c r="A65" s="566" t="s">
        <v>356</v>
      </c>
      <c r="B65" s="544">
        <v>122.575603571641</v>
      </c>
      <c r="C65" s="544">
        <v>123.93300000000001</v>
      </c>
      <c r="D65" s="545">
        <v>1.357396428358</v>
      </c>
      <c r="E65" s="546">
        <v>1.011073952636</v>
      </c>
      <c r="F65" s="544">
        <v>123.006750964783</v>
      </c>
      <c r="G65" s="545">
        <v>51.252812901993003</v>
      </c>
      <c r="H65" s="547">
        <v>8.1850000000000005</v>
      </c>
      <c r="I65" s="544">
        <v>41.652999999999999</v>
      </c>
      <c r="J65" s="545">
        <v>-9.5998129019919993</v>
      </c>
      <c r="K65" s="548">
        <v>0.33862369075900001</v>
      </c>
    </row>
    <row r="66" spans="1:11" ht="14.4" customHeight="1" thickBot="1" x14ac:dyDescent="0.35">
      <c r="A66" s="566" t="s">
        <v>357</v>
      </c>
      <c r="B66" s="544">
        <v>30.001289398349002</v>
      </c>
      <c r="C66" s="544">
        <v>29.372</v>
      </c>
      <c r="D66" s="545">
        <v>-0.629289398349</v>
      </c>
      <c r="E66" s="546">
        <v>0.97902458824299998</v>
      </c>
      <c r="F66" s="544">
        <v>30.006244685898</v>
      </c>
      <c r="G66" s="545">
        <v>12.502601952457001</v>
      </c>
      <c r="H66" s="547">
        <v>2.2010000000000001</v>
      </c>
      <c r="I66" s="544">
        <v>12.023999999999999</v>
      </c>
      <c r="J66" s="545">
        <v>-0.47860195245699999</v>
      </c>
      <c r="K66" s="548">
        <v>0.40071658835899998</v>
      </c>
    </row>
    <row r="67" spans="1:11" ht="14.4" customHeight="1" thickBot="1" x14ac:dyDescent="0.35">
      <c r="A67" s="566" t="s">
        <v>358</v>
      </c>
      <c r="B67" s="544">
        <v>195.01492033675001</v>
      </c>
      <c r="C67" s="544">
        <v>185.501</v>
      </c>
      <c r="D67" s="545">
        <v>-9.5139203367490008</v>
      </c>
      <c r="E67" s="546">
        <v>0.95121439774799998</v>
      </c>
      <c r="F67" s="544">
        <v>169.765853340738</v>
      </c>
      <c r="G67" s="545">
        <v>70.735772225307002</v>
      </c>
      <c r="H67" s="547">
        <v>9.2889999999999997</v>
      </c>
      <c r="I67" s="544">
        <v>81.518000000000001</v>
      </c>
      <c r="J67" s="545">
        <v>10.782227774692</v>
      </c>
      <c r="K67" s="548">
        <v>0.480179013599</v>
      </c>
    </row>
    <row r="68" spans="1:11" ht="14.4" customHeight="1" thickBot="1" x14ac:dyDescent="0.35">
      <c r="A68" s="567" t="s">
        <v>359</v>
      </c>
      <c r="B68" s="549">
        <v>1311.49161688803</v>
      </c>
      <c r="C68" s="549">
        <v>1468.4956999999999</v>
      </c>
      <c r="D68" s="550">
        <v>157.00408311196799</v>
      </c>
      <c r="E68" s="556">
        <v>1.1197141339600001</v>
      </c>
      <c r="F68" s="549">
        <v>1243.1577507889101</v>
      </c>
      <c r="G68" s="550">
        <v>517.98239616204603</v>
      </c>
      <c r="H68" s="552">
        <v>182.99435</v>
      </c>
      <c r="I68" s="549">
        <v>555.08920999999998</v>
      </c>
      <c r="J68" s="550">
        <v>37.106813837954</v>
      </c>
      <c r="K68" s="557">
        <v>0.44651550428499998</v>
      </c>
    </row>
    <row r="69" spans="1:11" ht="14.4" customHeight="1" thickBot="1" x14ac:dyDescent="0.35">
      <c r="A69" s="564" t="s">
        <v>32</v>
      </c>
      <c r="B69" s="544">
        <v>369.147707294209</v>
      </c>
      <c r="C69" s="544">
        <v>502.8886</v>
      </c>
      <c r="D69" s="545">
        <v>133.740892705791</v>
      </c>
      <c r="E69" s="546">
        <v>1.362296419734</v>
      </c>
      <c r="F69" s="544">
        <v>351.66175781058598</v>
      </c>
      <c r="G69" s="545">
        <v>146.525732421078</v>
      </c>
      <c r="H69" s="547">
        <v>93.57508</v>
      </c>
      <c r="I69" s="544">
        <v>276.93761999999998</v>
      </c>
      <c r="J69" s="545">
        <v>130.41188757892201</v>
      </c>
      <c r="K69" s="548">
        <v>0.78751133396999995</v>
      </c>
    </row>
    <row r="70" spans="1:11" ht="14.4" customHeight="1" thickBot="1" x14ac:dyDescent="0.35">
      <c r="A70" s="568" t="s">
        <v>360</v>
      </c>
      <c r="B70" s="544">
        <v>369.147707294209</v>
      </c>
      <c r="C70" s="544">
        <v>502.8886</v>
      </c>
      <c r="D70" s="545">
        <v>133.740892705791</v>
      </c>
      <c r="E70" s="546">
        <v>1.362296419734</v>
      </c>
      <c r="F70" s="544">
        <v>351.66175781058598</v>
      </c>
      <c r="G70" s="545">
        <v>146.525732421078</v>
      </c>
      <c r="H70" s="547">
        <v>93.57508</v>
      </c>
      <c r="I70" s="544">
        <v>276.93761999999998</v>
      </c>
      <c r="J70" s="545">
        <v>130.41188757892201</v>
      </c>
      <c r="K70" s="548">
        <v>0.78751133396999995</v>
      </c>
    </row>
    <row r="71" spans="1:11" ht="14.4" customHeight="1" thickBot="1" x14ac:dyDescent="0.35">
      <c r="A71" s="566" t="s">
        <v>361</v>
      </c>
      <c r="B71" s="544">
        <v>293.654558718224</v>
      </c>
      <c r="C71" s="544">
        <v>306.10527000000002</v>
      </c>
      <c r="D71" s="545">
        <v>12.450711281776</v>
      </c>
      <c r="E71" s="546">
        <v>1.042399175875</v>
      </c>
      <c r="F71" s="544">
        <v>282.27187136280099</v>
      </c>
      <c r="G71" s="545">
        <v>117.6132797345</v>
      </c>
      <c r="H71" s="547">
        <v>90.514700000000005</v>
      </c>
      <c r="I71" s="544">
        <v>260.66547000000003</v>
      </c>
      <c r="J71" s="545">
        <v>143.0521902655</v>
      </c>
      <c r="K71" s="548">
        <v>0.92345535083399999</v>
      </c>
    </row>
    <row r="72" spans="1:11" ht="14.4" customHeight="1" thickBot="1" x14ac:dyDescent="0.35">
      <c r="A72" s="566" t="s">
        <v>362</v>
      </c>
      <c r="B72" s="544">
        <v>4.9406564584124654E-324</v>
      </c>
      <c r="C72" s="544">
        <v>4.0540000000000003</v>
      </c>
      <c r="D72" s="545">
        <v>4.0540000000000003</v>
      </c>
      <c r="E72" s="554" t="s">
        <v>301</v>
      </c>
      <c r="F72" s="544">
        <v>0</v>
      </c>
      <c r="G72" s="545">
        <v>0</v>
      </c>
      <c r="H72" s="547">
        <v>4.9406564584124654E-324</v>
      </c>
      <c r="I72" s="544">
        <v>2.4703282292062327E-323</v>
      </c>
      <c r="J72" s="545">
        <v>2.4703282292062327E-323</v>
      </c>
      <c r="K72" s="555" t="s">
        <v>295</v>
      </c>
    </row>
    <row r="73" spans="1:11" ht="14.4" customHeight="1" thickBot="1" x14ac:dyDescent="0.35">
      <c r="A73" s="566" t="s">
        <v>363</v>
      </c>
      <c r="B73" s="544">
        <v>0.49899020546400003</v>
      </c>
      <c r="C73" s="544">
        <v>5.6252000000000004</v>
      </c>
      <c r="D73" s="545">
        <v>5.1262097945349998</v>
      </c>
      <c r="E73" s="546">
        <v>11.273167165208999</v>
      </c>
      <c r="F73" s="544">
        <v>6.54334379314</v>
      </c>
      <c r="G73" s="545">
        <v>2.726393247141</v>
      </c>
      <c r="H73" s="547">
        <v>4.9406564584124654E-324</v>
      </c>
      <c r="I73" s="544">
        <v>2.4703282292062327E-323</v>
      </c>
      <c r="J73" s="545">
        <v>-2.726393247141</v>
      </c>
      <c r="K73" s="548">
        <v>4.9406564584124654E-324</v>
      </c>
    </row>
    <row r="74" spans="1:11" ht="14.4" customHeight="1" thickBot="1" x14ac:dyDescent="0.35">
      <c r="A74" s="566" t="s">
        <v>364</v>
      </c>
      <c r="B74" s="544">
        <v>44.996371158099997</v>
      </c>
      <c r="C74" s="544">
        <v>166.51021</v>
      </c>
      <c r="D74" s="545">
        <v>121.5138388419</v>
      </c>
      <c r="E74" s="546">
        <v>3.7005253026939999</v>
      </c>
      <c r="F74" s="544">
        <v>44.999924026344999</v>
      </c>
      <c r="G74" s="545">
        <v>18.749968344309998</v>
      </c>
      <c r="H74" s="547">
        <v>4.9406564584124654E-324</v>
      </c>
      <c r="I74" s="544">
        <v>10.59327</v>
      </c>
      <c r="J74" s="545">
        <v>-8.1566983443099996</v>
      </c>
      <c r="K74" s="548">
        <v>0.23540639743700001</v>
      </c>
    </row>
    <row r="75" spans="1:11" ht="14.4" customHeight="1" thickBot="1" x14ac:dyDescent="0.35">
      <c r="A75" s="566" t="s">
        <v>365</v>
      </c>
      <c r="B75" s="544">
        <v>29.997787212420999</v>
      </c>
      <c r="C75" s="544">
        <v>20.593920000000001</v>
      </c>
      <c r="D75" s="545">
        <v>-9.4038672124209999</v>
      </c>
      <c r="E75" s="546">
        <v>0.68651463703500004</v>
      </c>
      <c r="F75" s="544">
        <v>17.846618628299002</v>
      </c>
      <c r="G75" s="545">
        <v>7.4360910951239996</v>
      </c>
      <c r="H75" s="547">
        <v>3.0603799999999999</v>
      </c>
      <c r="I75" s="544">
        <v>5.6788800000000004</v>
      </c>
      <c r="J75" s="545">
        <v>-1.7572110951240001</v>
      </c>
      <c r="K75" s="548">
        <v>0.31820481617700003</v>
      </c>
    </row>
    <row r="76" spans="1:11" ht="14.4" customHeight="1" thickBot="1" x14ac:dyDescent="0.35">
      <c r="A76" s="569" t="s">
        <v>33</v>
      </c>
      <c r="B76" s="549">
        <v>0</v>
      </c>
      <c r="C76" s="549">
        <v>57.143999999999998</v>
      </c>
      <c r="D76" s="550">
        <v>57.143999999999998</v>
      </c>
      <c r="E76" s="551" t="s">
        <v>295</v>
      </c>
      <c r="F76" s="549">
        <v>0</v>
      </c>
      <c r="G76" s="550">
        <v>0</v>
      </c>
      <c r="H76" s="552">
        <v>1.095</v>
      </c>
      <c r="I76" s="549">
        <v>15.002000000000001</v>
      </c>
      <c r="J76" s="550">
        <v>15.002000000000001</v>
      </c>
      <c r="K76" s="553" t="s">
        <v>295</v>
      </c>
    </row>
    <row r="77" spans="1:11" ht="14.4" customHeight="1" thickBot="1" x14ac:dyDescent="0.35">
      <c r="A77" s="565" t="s">
        <v>366</v>
      </c>
      <c r="B77" s="549">
        <v>0</v>
      </c>
      <c r="C77" s="549">
        <v>57.143999999999998</v>
      </c>
      <c r="D77" s="550">
        <v>57.143999999999998</v>
      </c>
      <c r="E77" s="551" t="s">
        <v>295</v>
      </c>
      <c r="F77" s="549">
        <v>0</v>
      </c>
      <c r="G77" s="550">
        <v>0</v>
      </c>
      <c r="H77" s="552">
        <v>1.095</v>
      </c>
      <c r="I77" s="549">
        <v>15.002000000000001</v>
      </c>
      <c r="J77" s="550">
        <v>15.002000000000001</v>
      </c>
      <c r="K77" s="553" t="s">
        <v>295</v>
      </c>
    </row>
    <row r="78" spans="1:11" ht="14.4" customHeight="1" thickBot="1" x14ac:dyDescent="0.35">
      <c r="A78" s="566" t="s">
        <v>367</v>
      </c>
      <c r="B78" s="544">
        <v>0</v>
      </c>
      <c r="C78" s="544">
        <v>26.224</v>
      </c>
      <c r="D78" s="545">
        <v>26.224</v>
      </c>
      <c r="E78" s="554" t="s">
        <v>295</v>
      </c>
      <c r="F78" s="544">
        <v>0</v>
      </c>
      <c r="G78" s="545">
        <v>0</v>
      </c>
      <c r="H78" s="547">
        <v>1.095</v>
      </c>
      <c r="I78" s="544">
        <v>8.8420000000000005</v>
      </c>
      <c r="J78" s="545">
        <v>8.8420000000000005</v>
      </c>
      <c r="K78" s="555" t="s">
        <v>295</v>
      </c>
    </row>
    <row r="79" spans="1:11" ht="14.4" customHeight="1" thickBot="1" x14ac:dyDescent="0.35">
      <c r="A79" s="566" t="s">
        <v>368</v>
      </c>
      <c r="B79" s="544">
        <v>0</v>
      </c>
      <c r="C79" s="544">
        <v>30.92</v>
      </c>
      <c r="D79" s="545">
        <v>30.92</v>
      </c>
      <c r="E79" s="554" t="s">
        <v>295</v>
      </c>
      <c r="F79" s="544">
        <v>0</v>
      </c>
      <c r="G79" s="545">
        <v>0</v>
      </c>
      <c r="H79" s="547">
        <v>4.9406564584124654E-324</v>
      </c>
      <c r="I79" s="544">
        <v>6.16</v>
      </c>
      <c r="J79" s="545">
        <v>6.16</v>
      </c>
      <c r="K79" s="555" t="s">
        <v>295</v>
      </c>
    </row>
    <row r="80" spans="1:11" ht="14.4" customHeight="1" thickBot="1" x14ac:dyDescent="0.35">
      <c r="A80" s="564" t="s">
        <v>34</v>
      </c>
      <c r="B80" s="544">
        <v>942.34390959382301</v>
      </c>
      <c r="C80" s="544">
        <v>908.46310000000096</v>
      </c>
      <c r="D80" s="545">
        <v>-33.880809593822001</v>
      </c>
      <c r="E80" s="546">
        <v>0.96404623699500003</v>
      </c>
      <c r="F80" s="544">
        <v>891.49599297832299</v>
      </c>
      <c r="G80" s="545">
        <v>371.456663740968</v>
      </c>
      <c r="H80" s="547">
        <v>88.324269999999999</v>
      </c>
      <c r="I80" s="544">
        <v>263.14958999999999</v>
      </c>
      <c r="J80" s="545">
        <v>-108.30707374096799</v>
      </c>
      <c r="K80" s="548">
        <v>0.29517753537000002</v>
      </c>
    </row>
    <row r="81" spans="1:11" ht="14.4" customHeight="1" thickBot="1" x14ac:dyDescent="0.35">
      <c r="A81" s="565" t="s">
        <v>369</v>
      </c>
      <c r="B81" s="549">
        <v>11.284946544835</v>
      </c>
      <c r="C81" s="549">
        <v>0.51800000000000002</v>
      </c>
      <c r="D81" s="550">
        <v>-10.766946544834999</v>
      </c>
      <c r="E81" s="556">
        <v>4.5901856773000002E-2</v>
      </c>
      <c r="F81" s="549">
        <v>0.20704397083500001</v>
      </c>
      <c r="G81" s="550">
        <v>8.6268321181000002E-2</v>
      </c>
      <c r="H81" s="552">
        <v>4.9406564584124654E-324</v>
      </c>
      <c r="I81" s="549">
        <v>0.20699999999999999</v>
      </c>
      <c r="J81" s="550">
        <v>0.120731678818</v>
      </c>
      <c r="K81" s="557">
        <v>0</v>
      </c>
    </row>
    <row r="82" spans="1:11" ht="14.4" customHeight="1" thickBot="1" x14ac:dyDescent="0.35">
      <c r="A82" s="566" t="s">
        <v>370</v>
      </c>
      <c r="B82" s="544">
        <v>11.284946544835</v>
      </c>
      <c r="C82" s="544">
        <v>0.51800000000000002</v>
      </c>
      <c r="D82" s="545">
        <v>-10.766946544834999</v>
      </c>
      <c r="E82" s="546">
        <v>4.5901856773000002E-2</v>
      </c>
      <c r="F82" s="544">
        <v>0.20704397083500001</v>
      </c>
      <c r="G82" s="545">
        <v>8.6268321181000002E-2</v>
      </c>
      <c r="H82" s="547">
        <v>4.9406564584124654E-324</v>
      </c>
      <c r="I82" s="544">
        <v>0.20699999999999999</v>
      </c>
      <c r="J82" s="545">
        <v>0.120731678818</v>
      </c>
      <c r="K82" s="548">
        <v>0</v>
      </c>
    </row>
    <row r="83" spans="1:11" ht="14.4" customHeight="1" thickBot="1" x14ac:dyDescent="0.35">
      <c r="A83" s="565" t="s">
        <v>371</v>
      </c>
      <c r="B83" s="549">
        <v>6.4491310371879997</v>
      </c>
      <c r="C83" s="549">
        <v>7.03878</v>
      </c>
      <c r="D83" s="550">
        <v>0.58964896281099999</v>
      </c>
      <c r="E83" s="556">
        <v>1.0914307616650001</v>
      </c>
      <c r="F83" s="549">
        <v>6.7003989996410001</v>
      </c>
      <c r="G83" s="550">
        <v>2.7918329165169999</v>
      </c>
      <c r="H83" s="552">
        <v>0.69816</v>
      </c>
      <c r="I83" s="549">
        <v>2.3270599999999999</v>
      </c>
      <c r="J83" s="550">
        <v>-0.46477291651699998</v>
      </c>
      <c r="K83" s="557">
        <v>0.34730170548400002</v>
      </c>
    </row>
    <row r="84" spans="1:11" ht="14.4" customHeight="1" thickBot="1" x14ac:dyDescent="0.35">
      <c r="A84" s="566" t="s">
        <v>372</v>
      </c>
      <c r="B84" s="544">
        <v>1.60928824368</v>
      </c>
      <c r="C84" s="544">
        <v>1.0697000000000001</v>
      </c>
      <c r="D84" s="545">
        <v>-0.53958824368000002</v>
      </c>
      <c r="E84" s="546">
        <v>0.66470379324499995</v>
      </c>
      <c r="F84" s="544">
        <v>1.0942883678140001</v>
      </c>
      <c r="G84" s="545">
        <v>0.45595348658899998</v>
      </c>
      <c r="H84" s="547">
        <v>8.1699999999999995E-2</v>
      </c>
      <c r="I84" s="544">
        <v>0.55669999999999997</v>
      </c>
      <c r="J84" s="545">
        <v>0.10074651341</v>
      </c>
      <c r="K84" s="548">
        <v>0.50873244783799998</v>
      </c>
    </row>
    <row r="85" spans="1:11" ht="14.4" customHeight="1" thickBot="1" x14ac:dyDescent="0.35">
      <c r="A85" s="566" t="s">
        <v>373</v>
      </c>
      <c r="B85" s="544">
        <v>4.8398427935079997</v>
      </c>
      <c r="C85" s="544">
        <v>5.9690799999999999</v>
      </c>
      <c r="D85" s="545">
        <v>1.1292372064909999</v>
      </c>
      <c r="E85" s="546">
        <v>1.2333210508420001</v>
      </c>
      <c r="F85" s="544">
        <v>5.6061106318259997</v>
      </c>
      <c r="G85" s="545">
        <v>2.335879429927</v>
      </c>
      <c r="H85" s="547">
        <v>0.61646000000000001</v>
      </c>
      <c r="I85" s="544">
        <v>1.7703599999999999</v>
      </c>
      <c r="J85" s="545">
        <v>-0.56551942992699999</v>
      </c>
      <c r="K85" s="548">
        <v>0.315791127979</v>
      </c>
    </row>
    <row r="86" spans="1:11" ht="14.4" customHeight="1" thickBot="1" x14ac:dyDescent="0.35">
      <c r="A86" s="565" t="s">
        <v>374</v>
      </c>
      <c r="B86" s="549">
        <v>26.288204153319999</v>
      </c>
      <c r="C86" s="549">
        <v>32.188769999999998</v>
      </c>
      <c r="D86" s="550">
        <v>5.9005658466790001</v>
      </c>
      <c r="E86" s="556">
        <v>1.224456787244</v>
      </c>
      <c r="F86" s="549">
        <v>30.480234060506</v>
      </c>
      <c r="G86" s="550">
        <v>12.700097525211</v>
      </c>
      <c r="H86" s="552">
        <v>1.7520800000000001</v>
      </c>
      <c r="I86" s="549">
        <v>15.9932</v>
      </c>
      <c r="J86" s="550">
        <v>3.2931024747879998</v>
      </c>
      <c r="K86" s="557">
        <v>0.52470725678300001</v>
      </c>
    </row>
    <row r="87" spans="1:11" ht="14.4" customHeight="1" thickBot="1" x14ac:dyDescent="0.35">
      <c r="A87" s="566" t="s">
        <v>375</v>
      </c>
      <c r="B87" s="544">
        <v>13.996366320678</v>
      </c>
      <c r="C87" s="544">
        <v>13.095000000000001</v>
      </c>
      <c r="D87" s="545">
        <v>-0.90136632067800004</v>
      </c>
      <c r="E87" s="546">
        <v>0.93559997644899995</v>
      </c>
      <c r="F87" s="544">
        <v>13.001786673335999</v>
      </c>
      <c r="G87" s="545">
        <v>5.4174111138900001</v>
      </c>
      <c r="H87" s="547">
        <v>4.9406564584124654E-324</v>
      </c>
      <c r="I87" s="544">
        <v>6.48</v>
      </c>
      <c r="J87" s="545">
        <v>1.0625888861099999</v>
      </c>
      <c r="K87" s="548">
        <v>0.49839304110999999</v>
      </c>
    </row>
    <row r="88" spans="1:11" ht="14.4" customHeight="1" thickBot="1" x14ac:dyDescent="0.35">
      <c r="A88" s="566" t="s">
        <v>376</v>
      </c>
      <c r="B88" s="544">
        <v>12.291837832642001</v>
      </c>
      <c r="C88" s="544">
        <v>19.093769999999999</v>
      </c>
      <c r="D88" s="545">
        <v>6.8019321673570001</v>
      </c>
      <c r="E88" s="546">
        <v>1.5533698263810001</v>
      </c>
      <c r="F88" s="544">
        <v>17.47844738717</v>
      </c>
      <c r="G88" s="545">
        <v>7.2826864113210004</v>
      </c>
      <c r="H88" s="547">
        <v>1.7520800000000001</v>
      </c>
      <c r="I88" s="544">
        <v>9.5131999999999994</v>
      </c>
      <c r="J88" s="545">
        <v>2.2305135886779999</v>
      </c>
      <c r="K88" s="548">
        <v>0.54428175393699996</v>
      </c>
    </row>
    <row r="89" spans="1:11" ht="14.4" customHeight="1" thickBot="1" x14ac:dyDescent="0.35">
      <c r="A89" s="565" t="s">
        <v>377</v>
      </c>
      <c r="B89" s="549">
        <v>409.00041530669603</v>
      </c>
      <c r="C89" s="549">
        <v>436.35645</v>
      </c>
      <c r="D89" s="550">
        <v>27.356034693304</v>
      </c>
      <c r="E89" s="556">
        <v>1.0668851024820001</v>
      </c>
      <c r="F89" s="549">
        <v>439.79805378141299</v>
      </c>
      <c r="G89" s="550">
        <v>183.24918907558899</v>
      </c>
      <c r="H89" s="552">
        <v>78.875879999999995</v>
      </c>
      <c r="I89" s="549">
        <v>155.72407999999999</v>
      </c>
      <c r="J89" s="550">
        <v>-27.525109075587999</v>
      </c>
      <c r="K89" s="557">
        <v>0.35408087566699997</v>
      </c>
    </row>
    <row r="90" spans="1:11" ht="14.4" customHeight="1" thickBot="1" x14ac:dyDescent="0.35">
      <c r="A90" s="566" t="s">
        <v>378</v>
      </c>
      <c r="B90" s="544">
        <v>409.00041530669603</v>
      </c>
      <c r="C90" s="544">
        <v>436.35645</v>
      </c>
      <c r="D90" s="545">
        <v>27.356034693304</v>
      </c>
      <c r="E90" s="546">
        <v>1.0668851024820001</v>
      </c>
      <c r="F90" s="544">
        <v>439.79805378141299</v>
      </c>
      <c r="G90" s="545">
        <v>183.24918907558899</v>
      </c>
      <c r="H90" s="547">
        <v>78.875879999999995</v>
      </c>
      <c r="I90" s="544">
        <v>155.72407999999999</v>
      </c>
      <c r="J90" s="545">
        <v>-27.525109075587999</v>
      </c>
      <c r="K90" s="548">
        <v>0.35408087566699997</v>
      </c>
    </row>
    <row r="91" spans="1:11" ht="14.4" customHeight="1" thickBot="1" x14ac:dyDescent="0.35">
      <c r="A91" s="565" t="s">
        <v>379</v>
      </c>
      <c r="B91" s="549">
        <v>489.32121255178299</v>
      </c>
      <c r="C91" s="549">
        <v>417.16210000000001</v>
      </c>
      <c r="D91" s="550">
        <v>-72.159112551782002</v>
      </c>
      <c r="E91" s="556">
        <v>0.85253222075599999</v>
      </c>
      <c r="F91" s="549">
        <v>414.31026216592699</v>
      </c>
      <c r="G91" s="550">
        <v>172.62927590247</v>
      </c>
      <c r="H91" s="552">
        <v>6.9981499999999999</v>
      </c>
      <c r="I91" s="549">
        <v>88.898250000000004</v>
      </c>
      <c r="J91" s="550">
        <v>-83.731025902469</v>
      </c>
      <c r="K91" s="557">
        <v>0.214569268777</v>
      </c>
    </row>
    <row r="92" spans="1:11" ht="14.4" customHeight="1" thickBot="1" x14ac:dyDescent="0.35">
      <c r="A92" s="566" t="s">
        <v>380</v>
      </c>
      <c r="B92" s="544">
        <v>1.001306779394</v>
      </c>
      <c r="C92" s="544">
        <v>14.260999999999999</v>
      </c>
      <c r="D92" s="545">
        <v>13.259693220605</v>
      </c>
      <c r="E92" s="546">
        <v>14.242388340392999</v>
      </c>
      <c r="F92" s="544">
        <v>14.636300222075</v>
      </c>
      <c r="G92" s="545">
        <v>6.098458425864</v>
      </c>
      <c r="H92" s="547">
        <v>4.9406564584124654E-324</v>
      </c>
      <c r="I92" s="544">
        <v>2.4703282292062327E-323</v>
      </c>
      <c r="J92" s="545">
        <v>-6.098458425864</v>
      </c>
      <c r="K92" s="548">
        <v>0</v>
      </c>
    </row>
    <row r="93" spans="1:11" ht="14.4" customHeight="1" thickBot="1" x14ac:dyDescent="0.35">
      <c r="A93" s="566" t="s">
        <v>381</v>
      </c>
      <c r="B93" s="544">
        <v>331.99047281781702</v>
      </c>
      <c r="C93" s="544">
        <v>336.57229999999998</v>
      </c>
      <c r="D93" s="545">
        <v>4.5818271821829999</v>
      </c>
      <c r="E93" s="546">
        <v>1.0138010803240001</v>
      </c>
      <c r="F93" s="544">
        <v>332.75676696885898</v>
      </c>
      <c r="G93" s="545">
        <v>138.64865290369099</v>
      </c>
      <c r="H93" s="547">
        <v>10.79425</v>
      </c>
      <c r="I93" s="544">
        <v>67.178749999999994</v>
      </c>
      <c r="J93" s="545">
        <v>-71.469902903690993</v>
      </c>
      <c r="K93" s="548">
        <v>0.20188545108100001</v>
      </c>
    </row>
    <row r="94" spans="1:11" ht="14.4" customHeight="1" thickBot="1" x14ac:dyDescent="0.35">
      <c r="A94" s="566" t="s">
        <v>382</v>
      </c>
      <c r="B94" s="544">
        <v>8.9953601129309995</v>
      </c>
      <c r="C94" s="544">
        <v>9.9930000000000003</v>
      </c>
      <c r="D94" s="545">
        <v>0.997639887068</v>
      </c>
      <c r="E94" s="546">
        <v>1.110906053181</v>
      </c>
      <c r="F94" s="544">
        <v>1.0003644167400001</v>
      </c>
      <c r="G94" s="545">
        <v>0.416818506975</v>
      </c>
      <c r="H94" s="547">
        <v>4.9406564584124654E-324</v>
      </c>
      <c r="I94" s="544">
        <v>1.742</v>
      </c>
      <c r="J94" s="545">
        <v>1.325181493024</v>
      </c>
      <c r="K94" s="548">
        <v>1.7413654172899999</v>
      </c>
    </row>
    <row r="95" spans="1:11" ht="14.4" customHeight="1" thickBot="1" x14ac:dyDescent="0.35">
      <c r="A95" s="566" t="s">
        <v>383</v>
      </c>
      <c r="B95" s="544">
        <v>4.9146522645899999</v>
      </c>
      <c r="C95" s="544">
        <v>4.9406564584124654E-324</v>
      </c>
      <c r="D95" s="545">
        <v>-4.9146522645899999</v>
      </c>
      <c r="E95" s="546">
        <v>0</v>
      </c>
      <c r="F95" s="544">
        <v>4.9406564584124654E-324</v>
      </c>
      <c r="G95" s="545">
        <v>0</v>
      </c>
      <c r="H95" s="547">
        <v>4.9406564584124654E-324</v>
      </c>
      <c r="I95" s="544">
        <v>1.1979</v>
      </c>
      <c r="J95" s="545">
        <v>1.1979</v>
      </c>
      <c r="K95" s="555" t="s">
        <v>301</v>
      </c>
    </row>
    <row r="96" spans="1:11" ht="14.4" customHeight="1" thickBot="1" x14ac:dyDescent="0.35">
      <c r="A96" s="566" t="s">
        <v>384</v>
      </c>
      <c r="B96" s="544">
        <v>142.41942057705</v>
      </c>
      <c r="C96" s="544">
        <v>56.335799999999999</v>
      </c>
      <c r="D96" s="545">
        <v>-86.083620577049004</v>
      </c>
      <c r="E96" s="546">
        <v>0.39556262602199999</v>
      </c>
      <c r="F96" s="544">
        <v>65.916830558252002</v>
      </c>
      <c r="G96" s="545">
        <v>27.465346065938</v>
      </c>
      <c r="H96" s="547">
        <v>-3.7961</v>
      </c>
      <c r="I96" s="544">
        <v>18.779599999999999</v>
      </c>
      <c r="J96" s="545">
        <v>-8.6857460659379999</v>
      </c>
      <c r="K96" s="548">
        <v>0.28489840668799998</v>
      </c>
    </row>
    <row r="97" spans="1:11" ht="14.4" customHeight="1" thickBot="1" x14ac:dyDescent="0.35">
      <c r="A97" s="565" t="s">
        <v>385</v>
      </c>
      <c r="B97" s="549">
        <v>0</v>
      </c>
      <c r="C97" s="549">
        <v>15.199</v>
      </c>
      <c r="D97" s="550">
        <v>15.199</v>
      </c>
      <c r="E97" s="551" t="s">
        <v>295</v>
      </c>
      <c r="F97" s="549">
        <v>0</v>
      </c>
      <c r="G97" s="550">
        <v>0</v>
      </c>
      <c r="H97" s="552">
        <v>4.9406564584124654E-324</v>
      </c>
      <c r="I97" s="549">
        <v>2.4703282292062327E-323</v>
      </c>
      <c r="J97" s="550">
        <v>2.4703282292062327E-323</v>
      </c>
      <c r="K97" s="553" t="s">
        <v>295</v>
      </c>
    </row>
    <row r="98" spans="1:11" ht="14.4" customHeight="1" thickBot="1" x14ac:dyDescent="0.35">
      <c r="A98" s="566" t="s">
        <v>386</v>
      </c>
      <c r="B98" s="544">
        <v>4.9406564584124654E-324</v>
      </c>
      <c r="C98" s="544">
        <v>15.199</v>
      </c>
      <c r="D98" s="545">
        <v>15.199</v>
      </c>
      <c r="E98" s="554" t="s">
        <v>301</v>
      </c>
      <c r="F98" s="544">
        <v>0</v>
      </c>
      <c r="G98" s="545">
        <v>0</v>
      </c>
      <c r="H98" s="547">
        <v>4.9406564584124654E-324</v>
      </c>
      <c r="I98" s="544">
        <v>2.4703282292062327E-323</v>
      </c>
      <c r="J98" s="545">
        <v>2.4703282292062327E-323</v>
      </c>
      <c r="K98" s="555" t="s">
        <v>295</v>
      </c>
    </row>
    <row r="99" spans="1:11" ht="14.4" customHeight="1" thickBot="1" x14ac:dyDescent="0.35">
      <c r="A99" s="563" t="s">
        <v>35</v>
      </c>
      <c r="B99" s="544">
        <v>29946.159363661998</v>
      </c>
      <c r="C99" s="544">
        <v>32314.10053</v>
      </c>
      <c r="D99" s="545">
        <v>2367.9411663379601</v>
      </c>
      <c r="E99" s="546">
        <v>1.0790732840749999</v>
      </c>
      <c r="F99" s="544">
        <v>30448.149869839501</v>
      </c>
      <c r="G99" s="545">
        <v>12686.7291124331</v>
      </c>
      <c r="H99" s="547">
        <v>2656.81079</v>
      </c>
      <c r="I99" s="544">
        <v>12984.732180000001</v>
      </c>
      <c r="J99" s="545">
        <v>298.00306756687303</v>
      </c>
      <c r="K99" s="548">
        <v>0.42645389737900002</v>
      </c>
    </row>
    <row r="100" spans="1:11" ht="14.4" customHeight="1" thickBot="1" x14ac:dyDescent="0.35">
      <c r="A100" s="569" t="s">
        <v>387</v>
      </c>
      <c r="B100" s="549">
        <v>22282.749999998901</v>
      </c>
      <c r="C100" s="549">
        <v>23999.949000000001</v>
      </c>
      <c r="D100" s="550">
        <v>1717.1990000011399</v>
      </c>
      <c r="E100" s="556">
        <v>1.0770640517879999</v>
      </c>
      <c r="F100" s="549">
        <v>22610.9999999996</v>
      </c>
      <c r="G100" s="550">
        <v>9421.2499999998308</v>
      </c>
      <c r="H100" s="552">
        <v>1968.287</v>
      </c>
      <c r="I100" s="549">
        <v>9627.4740000000093</v>
      </c>
      <c r="J100" s="550">
        <v>206.224000000177</v>
      </c>
      <c r="K100" s="557">
        <v>0.425787183229</v>
      </c>
    </row>
    <row r="101" spans="1:11" ht="14.4" customHeight="1" thickBot="1" x14ac:dyDescent="0.35">
      <c r="A101" s="565" t="s">
        <v>388</v>
      </c>
      <c r="B101" s="549">
        <v>21896.749999998901</v>
      </c>
      <c r="C101" s="549">
        <v>23698.026999999998</v>
      </c>
      <c r="D101" s="550">
        <v>1801.2770000011201</v>
      </c>
      <c r="E101" s="556">
        <v>1.0822622991990001</v>
      </c>
      <c r="F101" s="549">
        <v>22392.9999999996</v>
      </c>
      <c r="G101" s="550">
        <v>9330.4166666665005</v>
      </c>
      <c r="H101" s="552">
        <v>1954.223</v>
      </c>
      <c r="I101" s="549">
        <v>9530.0940000000101</v>
      </c>
      <c r="J101" s="550">
        <v>199.67733333350799</v>
      </c>
      <c r="K101" s="557">
        <v>0.42558361988100002</v>
      </c>
    </row>
    <row r="102" spans="1:11" ht="14.4" customHeight="1" thickBot="1" x14ac:dyDescent="0.35">
      <c r="A102" s="566" t="s">
        <v>389</v>
      </c>
      <c r="B102" s="544">
        <v>21896.749999998901</v>
      </c>
      <c r="C102" s="544">
        <v>23698.026999999998</v>
      </c>
      <c r="D102" s="545">
        <v>1801.2770000011201</v>
      </c>
      <c r="E102" s="546">
        <v>1.0822622991990001</v>
      </c>
      <c r="F102" s="544">
        <v>22392.9999999996</v>
      </c>
      <c r="G102" s="545">
        <v>9330.4166666665005</v>
      </c>
      <c r="H102" s="547">
        <v>1954.223</v>
      </c>
      <c r="I102" s="544">
        <v>9530.0940000000101</v>
      </c>
      <c r="J102" s="545">
        <v>199.67733333350799</v>
      </c>
      <c r="K102" s="548">
        <v>0.42558361988100002</v>
      </c>
    </row>
    <row r="103" spans="1:11" ht="14.4" customHeight="1" thickBot="1" x14ac:dyDescent="0.35">
      <c r="A103" s="565" t="s">
        <v>390</v>
      </c>
      <c r="B103" s="549">
        <v>385.99999999997902</v>
      </c>
      <c r="C103" s="549">
        <v>236</v>
      </c>
      <c r="D103" s="550">
        <v>-149.999999999979</v>
      </c>
      <c r="E103" s="556">
        <v>0.61139896373000002</v>
      </c>
      <c r="F103" s="549">
        <v>141.99999999999699</v>
      </c>
      <c r="G103" s="550">
        <v>59.166666666665002</v>
      </c>
      <c r="H103" s="552">
        <v>13.35</v>
      </c>
      <c r="I103" s="549">
        <v>62.9</v>
      </c>
      <c r="J103" s="550">
        <v>3.733333333334</v>
      </c>
      <c r="K103" s="557">
        <v>0.44295774647800001</v>
      </c>
    </row>
    <row r="104" spans="1:11" ht="14.4" customHeight="1" thickBot="1" x14ac:dyDescent="0.35">
      <c r="A104" s="566" t="s">
        <v>391</v>
      </c>
      <c r="B104" s="544">
        <v>385.99999999997902</v>
      </c>
      <c r="C104" s="544">
        <v>236</v>
      </c>
      <c r="D104" s="545">
        <v>-149.999999999979</v>
      </c>
      <c r="E104" s="546">
        <v>0.61139896373000002</v>
      </c>
      <c r="F104" s="544">
        <v>141.99999999999699</v>
      </c>
      <c r="G104" s="545">
        <v>59.166666666665002</v>
      </c>
      <c r="H104" s="547">
        <v>13.35</v>
      </c>
      <c r="I104" s="544">
        <v>62.9</v>
      </c>
      <c r="J104" s="545">
        <v>3.733333333334</v>
      </c>
      <c r="K104" s="548">
        <v>0.44295774647800001</v>
      </c>
    </row>
    <row r="105" spans="1:11" ht="14.4" customHeight="1" thickBot="1" x14ac:dyDescent="0.35">
      <c r="A105" s="565" t="s">
        <v>392</v>
      </c>
      <c r="B105" s="549">
        <v>0</v>
      </c>
      <c r="C105" s="549">
        <v>65.921999999999997</v>
      </c>
      <c r="D105" s="550">
        <v>65.921999999999997</v>
      </c>
      <c r="E105" s="551" t="s">
        <v>295</v>
      </c>
      <c r="F105" s="549">
        <v>75.999999999997996</v>
      </c>
      <c r="G105" s="550">
        <v>31.666666666666</v>
      </c>
      <c r="H105" s="552">
        <v>0.71399999999999997</v>
      </c>
      <c r="I105" s="549">
        <v>34.479999999999997</v>
      </c>
      <c r="J105" s="550">
        <v>2.813333333333</v>
      </c>
      <c r="K105" s="557">
        <v>0.453684210526</v>
      </c>
    </row>
    <row r="106" spans="1:11" ht="14.4" customHeight="1" thickBot="1" x14ac:dyDescent="0.35">
      <c r="A106" s="566" t="s">
        <v>393</v>
      </c>
      <c r="B106" s="544">
        <v>0</v>
      </c>
      <c r="C106" s="544">
        <v>65.921999999999997</v>
      </c>
      <c r="D106" s="545">
        <v>65.921999999999997</v>
      </c>
      <c r="E106" s="554" t="s">
        <v>295</v>
      </c>
      <c r="F106" s="544">
        <v>75.999999999997996</v>
      </c>
      <c r="G106" s="545">
        <v>31.666666666666</v>
      </c>
      <c r="H106" s="547">
        <v>0.71399999999999997</v>
      </c>
      <c r="I106" s="544">
        <v>34.479999999999997</v>
      </c>
      <c r="J106" s="545">
        <v>2.813333333333</v>
      </c>
      <c r="K106" s="548">
        <v>0.453684210526</v>
      </c>
    </row>
    <row r="107" spans="1:11" ht="14.4" customHeight="1" thickBot="1" x14ac:dyDescent="0.35">
      <c r="A107" s="564" t="s">
        <v>394</v>
      </c>
      <c r="B107" s="544">
        <v>7445.4093636631897</v>
      </c>
      <c r="C107" s="544">
        <v>8076.5103799999997</v>
      </c>
      <c r="D107" s="545">
        <v>631.10101633681597</v>
      </c>
      <c r="E107" s="546">
        <v>1.084763776645</v>
      </c>
      <c r="F107" s="544">
        <v>7613.14986983995</v>
      </c>
      <c r="G107" s="545">
        <v>3172.1457790999798</v>
      </c>
      <c r="H107" s="547">
        <v>668.97424999999998</v>
      </c>
      <c r="I107" s="544">
        <v>3261.6125000000002</v>
      </c>
      <c r="J107" s="545">
        <v>89.466720900024995</v>
      </c>
      <c r="K107" s="548">
        <v>0.42841827046100001</v>
      </c>
    </row>
    <row r="108" spans="1:11" ht="14.4" customHeight="1" thickBot="1" x14ac:dyDescent="0.35">
      <c r="A108" s="565" t="s">
        <v>395</v>
      </c>
      <c r="B108" s="549">
        <v>1971.2499861359299</v>
      </c>
      <c r="C108" s="549">
        <v>2154.0570400000001</v>
      </c>
      <c r="D108" s="550">
        <v>182.80705386407399</v>
      </c>
      <c r="E108" s="556">
        <v>1.092736616436</v>
      </c>
      <c r="F108" s="549">
        <v>2015.1498698400601</v>
      </c>
      <c r="G108" s="550">
        <v>839.64577910002401</v>
      </c>
      <c r="H108" s="552">
        <v>177.08099999999999</v>
      </c>
      <c r="I108" s="549">
        <v>863.36400000000106</v>
      </c>
      <c r="J108" s="550">
        <v>23.718220899976998</v>
      </c>
      <c r="K108" s="557">
        <v>0.42843662048199999</v>
      </c>
    </row>
    <row r="109" spans="1:11" ht="14.4" customHeight="1" thickBot="1" x14ac:dyDescent="0.35">
      <c r="A109" s="566" t="s">
        <v>396</v>
      </c>
      <c r="B109" s="544">
        <v>1971.2499861359299</v>
      </c>
      <c r="C109" s="544">
        <v>2154.0570400000001</v>
      </c>
      <c r="D109" s="545">
        <v>182.80705386407399</v>
      </c>
      <c r="E109" s="546">
        <v>1.092736616436</v>
      </c>
      <c r="F109" s="544">
        <v>2015.1498698400601</v>
      </c>
      <c r="G109" s="545">
        <v>839.64577910002401</v>
      </c>
      <c r="H109" s="547">
        <v>177.08099999999999</v>
      </c>
      <c r="I109" s="544">
        <v>863.36400000000106</v>
      </c>
      <c r="J109" s="545">
        <v>23.718220899976998</v>
      </c>
      <c r="K109" s="548">
        <v>0.42843662048199999</v>
      </c>
    </row>
    <row r="110" spans="1:11" ht="14.4" customHeight="1" thickBot="1" x14ac:dyDescent="0.35">
      <c r="A110" s="565" t="s">
        <v>397</v>
      </c>
      <c r="B110" s="549">
        <v>5474.1593775272604</v>
      </c>
      <c r="C110" s="549">
        <v>5922.45334</v>
      </c>
      <c r="D110" s="550">
        <v>448.29396247274298</v>
      </c>
      <c r="E110" s="556">
        <v>1.081892749471</v>
      </c>
      <c r="F110" s="549">
        <v>5597.99999999989</v>
      </c>
      <c r="G110" s="550">
        <v>2332.49999999995</v>
      </c>
      <c r="H110" s="552">
        <v>491.89325000000002</v>
      </c>
      <c r="I110" s="549">
        <v>2398.2485000000001</v>
      </c>
      <c r="J110" s="550">
        <v>65.748500000047997</v>
      </c>
      <c r="K110" s="557">
        <v>0.42841166487999999</v>
      </c>
    </row>
    <row r="111" spans="1:11" ht="14.4" customHeight="1" thickBot="1" x14ac:dyDescent="0.35">
      <c r="A111" s="566" t="s">
        <v>398</v>
      </c>
      <c r="B111" s="544">
        <v>5474.1593775272604</v>
      </c>
      <c r="C111" s="544">
        <v>5922.45334</v>
      </c>
      <c r="D111" s="545">
        <v>448.29396247274298</v>
      </c>
      <c r="E111" s="546">
        <v>1.081892749471</v>
      </c>
      <c r="F111" s="544">
        <v>5597.99999999989</v>
      </c>
      <c r="G111" s="545">
        <v>2332.49999999995</v>
      </c>
      <c r="H111" s="547">
        <v>491.89325000000002</v>
      </c>
      <c r="I111" s="544">
        <v>2398.2485000000001</v>
      </c>
      <c r="J111" s="545">
        <v>65.748500000047997</v>
      </c>
      <c r="K111" s="548">
        <v>0.42841166487999999</v>
      </c>
    </row>
    <row r="112" spans="1:11" ht="14.4" customHeight="1" thickBot="1" x14ac:dyDescent="0.35">
      <c r="A112" s="564" t="s">
        <v>399</v>
      </c>
      <c r="B112" s="544">
        <v>217.99999999998801</v>
      </c>
      <c r="C112" s="544">
        <v>237.64115000000001</v>
      </c>
      <c r="D112" s="545">
        <v>19.641150000010999</v>
      </c>
      <c r="E112" s="546">
        <v>1.0900970183480001</v>
      </c>
      <c r="F112" s="544">
        <v>223.99999999999599</v>
      </c>
      <c r="G112" s="545">
        <v>93.333333333330998</v>
      </c>
      <c r="H112" s="547">
        <v>19.54954</v>
      </c>
      <c r="I112" s="544">
        <v>95.645679999999999</v>
      </c>
      <c r="J112" s="545">
        <v>2.3123466666680002</v>
      </c>
      <c r="K112" s="548">
        <v>0.42698964285699997</v>
      </c>
    </row>
    <row r="113" spans="1:11" ht="14.4" customHeight="1" thickBot="1" x14ac:dyDescent="0.35">
      <c r="A113" s="565" t="s">
        <v>400</v>
      </c>
      <c r="B113" s="549">
        <v>217.99999999998801</v>
      </c>
      <c r="C113" s="549">
        <v>237.64115000000001</v>
      </c>
      <c r="D113" s="550">
        <v>19.641150000010999</v>
      </c>
      <c r="E113" s="556">
        <v>1.0900970183480001</v>
      </c>
      <c r="F113" s="549">
        <v>223.99999999999599</v>
      </c>
      <c r="G113" s="550">
        <v>93.333333333330998</v>
      </c>
      <c r="H113" s="552">
        <v>19.54954</v>
      </c>
      <c r="I113" s="549">
        <v>95.645679999999999</v>
      </c>
      <c r="J113" s="550">
        <v>2.3123466666680002</v>
      </c>
      <c r="K113" s="557">
        <v>0.42698964285699997</v>
      </c>
    </row>
    <row r="114" spans="1:11" ht="14.4" customHeight="1" thickBot="1" x14ac:dyDescent="0.35">
      <c r="A114" s="566" t="s">
        <v>401</v>
      </c>
      <c r="B114" s="544">
        <v>217.99999999998801</v>
      </c>
      <c r="C114" s="544">
        <v>237.64115000000001</v>
      </c>
      <c r="D114" s="545">
        <v>19.641150000010999</v>
      </c>
      <c r="E114" s="546">
        <v>1.0900970183480001</v>
      </c>
      <c r="F114" s="544">
        <v>223.99999999999599</v>
      </c>
      <c r="G114" s="545">
        <v>93.333333333330998</v>
      </c>
      <c r="H114" s="547">
        <v>19.54954</v>
      </c>
      <c r="I114" s="544">
        <v>95.645679999999999</v>
      </c>
      <c r="J114" s="545">
        <v>2.3123466666680002</v>
      </c>
      <c r="K114" s="548">
        <v>0.42698964285699997</v>
      </c>
    </row>
    <row r="115" spans="1:11" ht="14.4" customHeight="1" thickBot="1" x14ac:dyDescent="0.35">
      <c r="A115" s="563" t="s">
        <v>402</v>
      </c>
      <c r="B115" s="544">
        <v>0</v>
      </c>
      <c r="C115" s="544">
        <v>429.02379999999999</v>
      </c>
      <c r="D115" s="545">
        <v>429.02379999999999</v>
      </c>
      <c r="E115" s="554" t="s">
        <v>295</v>
      </c>
      <c r="F115" s="544">
        <v>0</v>
      </c>
      <c r="G115" s="545">
        <v>0</v>
      </c>
      <c r="H115" s="547">
        <v>4.9406564584124654E-324</v>
      </c>
      <c r="I115" s="544">
        <v>42.933999999999997</v>
      </c>
      <c r="J115" s="545">
        <v>42.933999999999997</v>
      </c>
      <c r="K115" s="555" t="s">
        <v>295</v>
      </c>
    </row>
    <row r="116" spans="1:11" ht="14.4" customHeight="1" thickBot="1" x14ac:dyDescent="0.35">
      <c r="A116" s="564" t="s">
        <v>403</v>
      </c>
      <c r="B116" s="544">
        <v>0</v>
      </c>
      <c r="C116" s="544">
        <v>194.18799999999999</v>
      </c>
      <c r="D116" s="545">
        <v>194.18799999999999</v>
      </c>
      <c r="E116" s="554" t="s">
        <v>295</v>
      </c>
      <c r="F116" s="544">
        <v>0</v>
      </c>
      <c r="G116" s="545">
        <v>0</v>
      </c>
      <c r="H116" s="547">
        <v>4.9406564584124654E-324</v>
      </c>
      <c r="I116" s="544">
        <v>2.4703282292062327E-323</v>
      </c>
      <c r="J116" s="545">
        <v>2.4703282292062327E-323</v>
      </c>
      <c r="K116" s="555" t="s">
        <v>295</v>
      </c>
    </row>
    <row r="117" spans="1:11" ht="14.4" customHeight="1" thickBot="1" x14ac:dyDescent="0.35">
      <c r="A117" s="565" t="s">
        <v>404</v>
      </c>
      <c r="B117" s="549">
        <v>0</v>
      </c>
      <c r="C117" s="549">
        <v>194.18799999999999</v>
      </c>
      <c r="D117" s="550">
        <v>194.18799999999999</v>
      </c>
      <c r="E117" s="551" t="s">
        <v>295</v>
      </c>
      <c r="F117" s="549">
        <v>0</v>
      </c>
      <c r="G117" s="550">
        <v>0</v>
      </c>
      <c r="H117" s="552">
        <v>4.9406564584124654E-324</v>
      </c>
      <c r="I117" s="549">
        <v>2.4703282292062327E-323</v>
      </c>
      <c r="J117" s="550">
        <v>2.4703282292062327E-323</v>
      </c>
      <c r="K117" s="553" t="s">
        <v>295</v>
      </c>
    </row>
    <row r="118" spans="1:11" ht="14.4" customHeight="1" thickBot="1" x14ac:dyDescent="0.35">
      <c r="A118" s="566" t="s">
        <v>405</v>
      </c>
      <c r="B118" s="544">
        <v>0</v>
      </c>
      <c r="C118" s="544">
        <v>194.18799999999999</v>
      </c>
      <c r="D118" s="545">
        <v>194.18799999999999</v>
      </c>
      <c r="E118" s="554" t="s">
        <v>295</v>
      </c>
      <c r="F118" s="544">
        <v>0</v>
      </c>
      <c r="G118" s="545">
        <v>0</v>
      </c>
      <c r="H118" s="547">
        <v>4.9406564584124654E-324</v>
      </c>
      <c r="I118" s="544">
        <v>2.4703282292062327E-323</v>
      </c>
      <c r="J118" s="545">
        <v>2.4703282292062327E-323</v>
      </c>
      <c r="K118" s="555" t="s">
        <v>295</v>
      </c>
    </row>
    <row r="119" spans="1:11" ht="14.4" customHeight="1" thickBot="1" x14ac:dyDescent="0.35">
      <c r="A119" s="564" t="s">
        <v>406</v>
      </c>
      <c r="B119" s="544">
        <v>0</v>
      </c>
      <c r="C119" s="544">
        <v>234.83580000000001</v>
      </c>
      <c r="D119" s="545">
        <v>234.83580000000001</v>
      </c>
      <c r="E119" s="554" t="s">
        <v>295</v>
      </c>
      <c r="F119" s="544">
        <v>0</v>
      </c>
      <c r="G119" s="545">
        <v>0</v>
      </c>
      <c r="H119" s="547">
        <v>4.9406564584124654E-324</v>
      </c>
      <c r="I119" s="544">
        <v>42.933999999999997</v>
      </c>
      <c r="J119" s="545">
        <v>42.933999999999997</v>
      </c>
      <c r="K119" s="555" t="s">
        <v>295</v>
      </c>
    </row>
    <row r="120" spans="1:11" ht="14.4" customHeight="1" thickBot="1" x14ac:dyDescent="0.35">
      <c r="A120" s="565" t="s">
        <v>407</v>
      </c>
      <c r="B120" s="549">
        <v>0</v>
      </c>
      <c r="C120" s="549">
        <v>215.46180000000001</v>
      </c>
      <c r="D120" s="550">
        <v>215.46180000000001</v>
      </c>
      <c r="E120" s="551" t="s">
        <v>295</v>
      </c>
      <c r="F120" s="549">
        <v>0</v>
      </c>
      <c r="G120" s="550">
        <v>0</v>
      </c>
      <c r="H120" s="552">
        <v>4.9406564584124654E-324</v>
      </c>
      <c r="I120" s="549">
        <v>15.922000000000001</v>
      </c>
      <c r="J120" s="550">
        <v>15.922000000000001</v>
      </c>
      <c r="K120" s="553" t="s">
        <v>295</v>
      </c>
    </row>
    <row r="121" spans="1:11" ht="14.4" customHeight="1" thickBot="1" x14ac:dyDescent="0.35">
      <c r="A121" s="566" t="s">
        <v>408</v>
      </c>
      <c r="B121" s="544">
        <v>4.9406564584124654E-324</v>
      </c>
      <c r="C121" s="544">
        <v>4.1420000000000003</v>
      </c>
      <c r="D121" s="545">
        <v>4.1420000000000003</v>
      </c>
      <c r="E121" s="554" t="s">
        <v>301</v>
      </c>
      <c r="F121" s="544">
        <v>0</v>
      </c>
      <c r="G121" s="545">
        <v>0</v>
      </c>
      <c r="H121" s="547">
        <v>4.9406564584124654E-324</v>
      </c>
      <c r="I121" s="544">
        <v>2.4703282292062327E-323</v>
      </c>
      <c r="J121" s="545">
        <v>2.4703282292062327E-323</v>
      </c>
      <c r="K121" s="555" t="s">
        <v>295</v>
      </c>
    </row>
    <row r="122" spans="1:11" ht="14.4" customHeight="1" thickBot="1" x14ac:dyDescent="0.35">
      <c r="A122" s="566" t="s">
        <v>409</v>
      </c>
      <c r="B122" s="544">
        <v>0</v>
      </c>
      <c r="C122" s="544">
        <v>211.21979999999999</v>
      </c>
      <c r="D122" s="545">
        <v>211.21979999999999</v>
      </c>
      <c r="E122" s="554" t="s">
        <v>295</v>
      </c>
      <c r="F122" s="544">
        <v>0</v>
      </c>
      <c r="G122" s="545">
        <v>0</v>
      </c>
      <c r="H122" s="547">
        <v>4.9406564584124654E-324</v>
      </c>
      <c r="I122" s="544">
        <v>15.922000000000001</v>
      </c>
      <c r="J122" s="545">
        <v>15.922000000000001</v>
      </c>
      <c r="K122" s="555" t="s">
        <v>295</v>
      </c>
    </row>
    <row r="123" spans="1:11" ht="14.4" customHeight="1" thickBot="1" x14ac:dyDescent="0.35">
      <c r="A123" s="566" t="s">
        <v>410</v>
      </c>
      <c r="B123" s="544">
        <v>4.9406564584124654E-324</v>
      </c>
      <c r="C123" s="544">
        <v>9.9999999999E-2</v>
      </c>
      <c r="D123" s="545">
        <v>9.9999999999E-2</v>
      </c>
      <c r="E123" s="554" t="s">
        <v>301</v>
      </c>
      <c r="F123" s="544">
        <v>0</v>
      </c>
      <c r="G123" s="545">
        <v>0</v>
      </c>
      <c r="H123" s="547">
        <v>4.9406564584124654E-324</v>
      </c>
      <c r="I123" s="544">
        <v>2.4703282292062327E-323</v>
      </c>
      <c r="J123" s="545">
        <v>2.4703282292062327E-323</v>
      </c>
      <c r="K123" s="555" t="s">
        <v>295</v>
      </c>
    </row>
    <row r="124" spans="1:11" ht="14.4" customHeight="1" thickBot="1" x14ac:dyDescent="0.35">
      <c r="A124" s="565" t="s">
        <v>411</v>
      </c>
      <c r="B124" s="549">
        <v>4.9406564584124654E-324</v>
      </c>
      <c r="C124" s="549">
        <v>1.48</v>
      </c>
      <c r="D124" s="550">
        <v>1.48</v>
      </c>
      <c r="E124" s="551" t="s">
        <v>301</v>
      </c>
      <c r="F124" s="549">
        <v>0</v>
      </c>
      <c r="G124" s="550">
        <v>0</v>
      </c>
      <c r="H124" s="552">
        <v>4.9406564584124654E-324</v>
      </c>
      <c r="I124" s="549">
        <v>2.6</v>
      </c>
      <c r="J124" s="550">
        <v>2.6</v>
      </c>
      <c r="K124" s="553" t="s">
        <v>295</v>
      </c>
    </row>
    <row r="125" spans="1:11" ht="14.4" customHeight="1" thickBot="1" x14ac:dyDescent="0.35">
      <c r="A125" s="566" t="s">
        <v>412</v>
      </c>
      <c r="B125" s="544">
        <v>4.9406564584124654E-324</v>
      </c>
      <c r="C125" s="544">
        <v>1.48</v>
      </c>
      <c r="D125" s="545">
        <v>1.48</v>
      </c>
      <c r="E125" s="554" t="s">
        <v>301</v>
      </c>
      <c r="F125" s="544">
        <v>0</v>
      </c>
      <c r="G125" s="545">
        <v>0</v>
      </c>
      <c r="H125" s="547">
        <v>4.9406564584124654E-324</v>
      </c>
      <c r="I125" s="544">
        <v>2.6</v>
      </c>
      <c r="J125" s="545">
        <v>2.6</v>
      </c>
      <c r="K125" s="555" t="s">
        <v>295</v>
      </c>
    </row>
    <row r="126" spans="1:11" ht="14.4" customHeight="1" thickBot="1" x14ac:dyDescent="0.35">
      <c r="A126" s="568" t="s">
        <v>413</v>
      </c>
      <c r="B126" s="544">
        <v>4.9406564584124654E-324</v>
      </c>
      <c r="C126" s="544">
        <v>14.394</v>
      </c>
      <c r="D126" s="545">
        <v>14.394</v>
      </c>
      <c r="E126" s="554" t="s">
        <v>301</v>
      </c>
      <c r="F126" s="544">
        <v>0</v>
      </c>
      <c r="G126" s="545">
        <v>0</v>
      </c>
      <c r="H126" s="547">
        <v>4.9406564584124654E-324</v>
      </c>
      <c r="I126" s="544">
        <v>21.611999999999998</v>
      </c>
      <c r="J126" s="545">
        <v>21.611999999999998</v>
      </c>
      <c r="K126" s="555" t="s">
        <v>295</v>
      </c>
    </row>
    <row r="127" spans="1:11" ht="14.4" customHeight="1" thickBot="1" x14ac:dyDescent="0.35">
      <c r="A127" s="566" t="s">
        <v>414</v>
      </c>
      <c r="B127" s="544">
        <v>4.9406564584124654E-324</v>
      </c>
      <c r="C127" s="544">
        <v>14.394</v>
      </c>
      <c r="D127" s="545">
        <v>14.394</v>
      </c>
      <c r="E127" s="554" t="s">
        <v>301</v>
      </c>
      <c r="F127" s="544">
        <v>0</v>
      </c>
      <c r="G127" s="545">
        <v>0</v>
      </c>
      <c r="H127" s="547">
        <v>4.9406564584124654E-324</v>
      </c>
      <c r="I127" s="544">
        <v>21.611999999999998</v>
      </c>
      <c r="J127" s="545">
        <v>21.611999999999998</v>
      </c>
      <c r="K127" s="555" t="s">
        <v>295</v>
      </c>
    </row>
    <row r="128" spans="1:11" ht="14.4" customHeight="1" thickBot="1" x14ac:dyDescent="0.35">
      <c r="A128" s="568" t="s">
        <v>415</v>
      </c>
      <c r="B128" s="544">
        <v>0</v>
      </c>
      <c r="C128" s="544">
        <v>3.5</v>
      </c>
      <c r="D128" s="545">
        <v>3.5</v>
      </c>
      <c r="E128" s="554" t="s">
        <v>295</v>
      </c>
      <c r="F128" s="544">
        <v>0</v>
      </c>
      <c r="G128" s="545">
        <v>0</v>
      </c>
      <c r="H128" s="547">
        <v>4.9406564584124654E-324</v>
      </c>
      <c r="I128" s="544">
        <v>2.8</v>
      </c>
      <c r="J128" s="545">
        <v>2.8</v>
      </c>
      <c r="K128" s="555" t="s">
        <v>295</v>
      </c>
    </row>
    <row r="129" spans="1:11" ht="14.4" customHeight="1" thickBot="1" x14ac:dyDescent="0.35">
      <c r="A129" s="566" t="s">
        <v>416</v>
      </c>
      <c r="B129" s="544">
        <v>0</v>
      </c>
      <c r="C129" s="544">
        <v>3.5</v>
      </c>
      <c r="D129" s="545">
        <v>3.5</v>
      </c>
      <c r="E129" s="554" t="s">
        <v>295</v>
      </c>
      <c r="F129" s="544">
        <v>0</v>
      </c>
      <c r="G129" s="545">
        <v>0</v>
      </c>
      <c r="H129" s="547">
        <v>4.9406564584124654E-324</v>
      </c>
      <c r="I129" s="544">
        <v>2.8</v>
      </c>
      <c r="J129" s="545">
        <v>2.8</v>
      </c>
      <c r="K129" s="555" t="s">
        <v>295</v>
      </c>
    </row>
    <row r="130" spans="1:11" ht="14.4" customHeight="1" thickBot="1" x14ac:dyDescent="0.35">
      <c r="A130" s="563" t="s">
        <v>417</v>
      </c>
      <c r="B130" s="544">
        <v>1799.9999999999</v>
      </c>
      <c r="C130" s="544">
        <v>1919.134</v>
      </c>
      <c r="D130" s="545">
        <v>119.1340000001</v>
      </c>
      <c r="E130" s="546">
        <v>1.0661855555549999</v>
      </c>
      <c r="F130" s="544">
        <v>1811.98979524115</v>
      </c>
      <c r="G130" s="545">
        <v>754.99574801714596</v>
      </c>
      <c r="H130" s="547">
        <v>153.40100000000001</v>
      </c>
      <c r="I130" s="544">
        <v>777.03400000000101</v>
      </c>
      <c r="J130" s="545">
        <v>22.038251982854</v>
      </c>
      <c r="K130" s="548">
        <v>0.42882912588099997</v>
      </c>
    </row>
    <row r="131" spans="1:11" ht="14.4" customHeight="1" thickBot="1" x14ac:dyDescent="0.35">
      <c r="A131" s="564" t="s">
        <v>418</v>
      </c>
      <c r="B131" s="544">
        <v>1799.9999999999</v>
      </c>
      <c r="C131" s="544">
        <v>1803.848</v>
      </c>
      <c r="D131" s="545">
        <v>3.8480000000989998</v>
      </c>
      <c r="E131" s="546">
        <v>1.002137777777</v>
      </c>
      <c r="F131" s="544">
        <v>1811.98979524115</v>
      </c>
      <c r="G131" s="545">
        <v>754.99574801714596</v>
      </c>
      <c r="H131" s="547">
        <v>153.40100000000001</v>
      </c>
      <c r="I131" s="544">
        <v>777.03400000000101</v>
      </c>
      <c r="J131" s="545">
        <v>22.038251982854</v>
      </c>
      <c r="K131" s="548">
        <v>0.42882912588099997</v>
      </c>
    </row>
    <row r="132" spans="1:11" ht="14.4" customHeight="1" thickBot="1" x14ac:dyDescent="0.35">
      <c r="A132" s="565" t="s">
        <v>419</v>
      </c>
      <c r="B132" s="549">
        <v>1799.9999999999</v>
      </c>
      <c r="C132" s="549">
        <v>1790.5429999999999</v>
      </c>
      <c r="D132" s="550">
        <v>-9.4569999999000007</v>
      </c>
      <c r="E132" s="556">
        <v>0.99474611111099998</v>
      </c>
      <c r="F132" s="549">
        <v>1811.98979524115</v>
      </c>
      <c r="G132" s="550">
        <v>754.99574801714596</v>
      </c>
      <c r="H132" s="552">
        <v>153.40100000000001</v>
      </c>
      <c r="I132" s="549">
        <v>777.03400000000101</v>
      </c>
      <c r="J132" s="550">
        <v>22.038251982854</v>
      </c>
      <c r="K132" s="557">
        <v>0.42882912588099997</v>
      </c>
    </row>
    <row r="133" spans="1:11" ht="14.4" customHeight="1" thickBot="1" x14ac:dyDescent="0.35">
      <c r="A133" s="566" t="s">
        <v>420</v>
      </c>
      <c r="B133" s="544">
        <v>65.999999999996007</v>
      </c>
      <c r="C133" s="544">
        <v>70.944999999999993</v>
      </c>
      <c r="D133" s="545">
        <v>4.9450000000029997</v>
      </c>
      <c r="E133" s="546">
        <v>1.074924242424</v>
      </c>
      <c r="F133" s="544">
        <v>72.997099726174</v>
      </c>
      <c r="G133" s="545">
        <v>30.415458219239</v>
      </c>
      <c r="H133" s="547">
        <v>6.0460000000000003</v>
      </c>
      <c r="I133" s="544">
        <v>30.23</v>
      </c>
      <c r="J133" s="545">
        <v>-0.18545821923899999</v>
      </c>
      <c r="K133" s="548">
        <v>0.41412604217600002</v>
      </c>
    </row>
    <row r="134" spans="1:11" ht="14.4" customHeight="1" thickBot="1" x14ac:dyDescent="0.35">
      <c r="A134" s="566" t="s">
        <v>421</v>
      </c>
      <c r="B134" s="544">
        <v>871.99999999995202</v>
      </c>
      <c r="C134" s="544">
        <v>821.20399999999995</v>
      </c>
      <c r="D134" s="545">
        <v>-50.795999999951</v>
      </c>
      <c r="E134" s="546">
        <v>0.94174770642200001</v>
      </c>
      <c r="F134" s="544">
        <v>860.99999999998397</v>
      </c>
      <c r="G134" s="545">
        <v>358.74999999999301</v>
      </c>
      <c r="H134" s="547">
        <v>72.587000000000003</v>
      </c>
      <c r="I134" s="544">
        <v>372.48</v>
      </c>
      <c r="J134" s="545">
        <v>13.730000000005999</v>
      </c>
      <c r="K134" s="548">
        <v>0.43261324041799998</v>
      </c>
    </row>
    <row r="135" spans="1:11" ht="14.4" customHeight="1" thickBot="1" x14ac:dyDescent="0.35">
      <c r="A135" s="566" t="s">
        <v>422</v>
      </c>
      <c r="B135" s="544">
        <v>548.99999999996999</v>
      </c>
      <c r="C135" s="544">
        <v>581.81600000000003</v>
      </c>
      <c r="D135" s="545">
        <v>32.816000000030002</v>
      </c>
      <c r="E135" s="546">
        <v>1.05977413479</v>
      </c>
      <c r="F135" s="544">
        <v>592.99269551499697</v>
      </c>
      <c r="G135" s="545">
        <v>247.08028979791601</v>
      </c>
      <c r="H135" s="547">
        <v>49.387</v>
      </c>
      <c r="I135" s="544">
        <v>246.935</v>
      </c>
      <c r="J135" s="545">
        <v>-0.14528979791499999</v>
      </c>
      <c r="K135" s="548">
        <v>0.416421655557</v>
      </c>
    </row>
    <row r="136" spans="1:11" ht="14.4" customHeight="1" thickBot="1" x14ac:dyDescent="0.35">
      <c r="A136" s="566" t="s">
        <v>423</v>
      </c>
      <c r="B136" s="544">
        <v>312.999999999983</v>
      </c>
      <c r="C136" s="544">
        <v>316.57799999999997</v>
      </c>
      <c r="D136" s="545">
        <v>3.578000000017</v>
      </c>
      <c r="E136" s="546">
        <v>1.011431309904</v>
      </c>
      <c r="F136" s="544">
        <v>284.999999999995</v>
      </c>
      <c r="G136" s="545">
        <v>118.749999999998</v>
      </c>
      <c r="H136" s="547">
        <v>25.381</v>
      </c>
      <c r="I136" s="544">
        <v>127.389</v>
      </c>
      <c r="J136" s="545">
        <v>8.6390000000019995</v>
      </c>
      <c r="K136" s="548">
        <v>0.44697894736799998</v>
      </c>
    </row>
    <row r="137" spans="1:11" ht="14.4" customHeight="1" thickBot="1" x14ac:dyDescent="0.35">
      <c r="A137" s="565" t="s">
        <v>424</v>
      </c>
      <c r="B137" s="549">
        <v>0</v>
      </c>
      <c r="C137" s="549">
        <v>13.305</v>
      </c>
      <c r="D137" s="550">
        <v>13.305</v>
      </c>
      <c r="E137" s="551" t="s">
        <v>295</v>
      </c>
      <c r="F137" s="549">
        <v>0</v>
      </c>
      <c r="G137" s="550">
        <v>0</v>
      </c>
      <c r="H137" s="552">
        <v>4.9406564584124654E-324</v>
      </c>
      <c r="I137" s="549">
        <v>2.4703282292062327E-323</v>
      </c>
      <c r="J137" s="550">
        <v>2.4703282292062327E-323</v>
      </c>
      <c r="K137" s="553" t="s">
        <v>295</v>
      </c>
    </row>
    <row r="138" spans="1:11" ht="14.4" customHeight="1" thickBot="1" x14ac:dyDescent="0.35">
      <c r="A138" s="566" t="s">
        <v>425</v>
      </c>
      <c r="B138" s="544">
        <v>0</v>
      </c>
      <c r="C138" s="544">
        <v>13.305</v>
      </c>
      <c r="D138" s="545">
        <v>13.305</v>
      </c>
      <c r="E138" s="554" t="s">
        <v>295</v>
      </c>
      <c r="F138" s="544">
        <v>0</v>
      </c>
      <c r="G138" s="545">
        <v>0</v>
      </c>
      <c r="H138" s="547">
        <v>4.9406564584124654E-324</v>
      </c>
      <c r="I138" s="544">
        <v>2.4703282292062327E-323</v>
      </c>
      <c r="J138" s="545">
        <v>2.4703282292062327E-323</v>
      </c>
      <c r="K138" s="555" t="s">
        <v>295</v>
      </c>
    </row>
    <row r="139" spans="1:11" ht="14.4" customHeight="1" thickBot="1" x14ac:dyDescent="0.35">
      <c r="A139" s="564" t="s">
        <v>426</v>
      </c>
      <c r="B139" s="544">
        <v>0</v>
      </c>
      <c r="C139" s="544">
        <v>115.286</v>
      </c>
      <c r="D139" s="545">
        <v>115.286</v>
      </c>
      <c r="E139" s="554" t="s">
        <v>295</v>
      </c>
      <c r="F139" s="544">
        <v>0</v>
      </c>
      <c r="G139" s="545">
        <v>0</v>
      </c>
      <c r="H139" s="547">
        <v>4.9406564584124654E-324</v>
      </c>
      <c r="I139" s="544">
        <v>2.4703282292062327E-323</v>
      </c>
      <c r="J139" s="545">
        <v>2.4703282292062327E-323</v>
      </c>
      <c r="K139" s="555" t="s">
        <v>295</v>
      </c>
    </row>
    <row r="140" spans="1:11" ht="14.4" customHeight="1" thickBot="1" x14ac:dyDescent="0.35">
      <c r="A140" s="565" t="s">
        <v>427</v>
      </c>
      <c r="B140" s="549">
        <v>0</v>
      </c>
      <c r="C140" s="549">
        <v>111.55200000000001</v>
      </c>
      <c r="D140" s="550">
        <v>111.55200000000001</v>
      </c>
      <c r="E140" s="551" t="s">
        <v>295</v>
      </c>
      <c r="F140" s="549">
        <v>0</v>
      </c>
      <c r="G140" s="550">
        <v>0</v>
      </c>
      <c r="H140" s="552">
        <v>4.9406564584124654E-324</v>
      </c>
      <c r="I140" s="549">
        <v>2.4703282292062327E-323</v>
      </c>
      <c r="J140" s="550">
        <v>2.4703282292062327E-323</v>
      </c>
      <c r="K140" s="553" t="s">
        <v>295</v>
      </c>
    </row>
    <row r="141" spans="1:11" ht="14.4" customHeight="1" thickBot="1" x14ac:dyDescent="0.35">
      <c r="A141" s="566" t="s">
        <v>428</v>
      </c>
      <c r="B141" s="544">
        <v>0</v>
      </c>
      <c r="C141" s="544">
        <v>5.79</v>
      </c>
      <c r="D141" s="545">
        <v>5.79</v>
      </c>
      <c r="E141" s="554" t="s">
        <v>295</v>
      </c>
      <c r="F141" s="544">
        <v>0</v>
      </c>
      <c r="G141" s="545">
        <v>0</v>
      </c>
      <c r="H141" s="547">
        <v>4.9406564584124654E-324</v>
      </c>
      <c r="I141" s="544">
        <v>2.4703282292062327E-323</v>
      </c>
      <c r="J141" s="545">
        <v>2.4703282292062327E-323</v>
      </c>
      <c r="K141" s="555" t="s">
        <v>295</v>
      </c>
    </row>
    <row r="142" spans="1:11" ht="14.4" customHeight="1" thickBot="1" x14ac:dyDescent="0.35">
      <c r="A142" s="566" t="s">
        <v>429</v>
      </c>
      <c r="B142" s="544">
        <v>4.9406564584124654E-324</v>
      </c>
      <c r="C142" s="544">
        <v>105.762</v>
      </c>
      <c r="D142" s="545">
        <v>105.762</v>
      </c>
      <c r="E142" s="554" t="s">
        <v>301</v>
      </c>
      <c r="F142" s="544">
        <v>0</v>
      </c>
      <c r="G142" s="545">
        <v>0</v>
      </c>
      <c r="H142" s="547">
        <v>4.9406564584124654E-324</v>
      </c>
      <c r="I142" s="544">
        <v>2.4703282292062327E-323</v>
      </c>
      <c r="J142" s="545">
        <v>2.4703282292062327E-323</v>
      </c>
      <c r="K142" s="555" t="s">
        <v>295</v>
      </c>
    </row>
    <row r="143" spans="1:11" ht="14.4" customHeight="1" thickBot="1" x14ac:dyDescent="0.35">
      <c r="A143" s="565" t="s">
        <v>430</v>
      </c>
      <c r="B143" s="549">
        <v>0</v>
      </c>
      <c r="C143" s="549">
        <v>3.734</v>
      </c>
      <c r="D143" s="550">
        <v>3.734</v>
      </c>
      <c r="E143" s="551" t="s">
        <v>295</v>
      </c>
      <c r="F143" s="549">
        <v>0</v>
      </c>
      <c r="G143" s="550">
        <v>0</v>
      </c>
      <c r="H143" s="552">
        <v>4.9406564584124654E-324</v>
      </c>
      <c r="I143" s="549">
        <v>2.4703282292062327E-323</v>
      </c>
      <c r="J143" s="550">
        <v>2.4703282292062327E-323</v>
      </c>
      <c r="K143" s="553" t="s">
        <v>295</v>
      </c>
    </row>
    <row r="144" spans="1:11" ht="14.4" customHeight="1" thickBot="1" x14ac:dyDescent="0.35">
      <c r="A144" s="566" t="s">
        <v>431</v>
      </c>
      <c r="B144" s="544">
        <v>0</v>
      </c>
      <c r="C144" s="544">
        <v>3.734</v>
      </c>
      <c r="D144" s="545">
        <v>3.734</v>
      </c>
      <c r="E144" s="554" t="s">
        <v>295</v>
      </c>
      <c r="F144" s="544">
        <v>0</v>
      </c>
      <c r="G144" s="545">
        <v>0</v>
      </c>
      <c r="H144" s="547">
        <v>4.9406564584124654E-324</v>
      </c>
      <c r="I144" s="544">
        <v>2.4703282292062327E-323</v>
      </c>
      <c r="J144" s="545">
        <v>2.4703282292062327E-323</v>
      </c>
      <c r="K144" s="555" t="s">
        <v>295</v>
      </c>
    </row>
    <row r="145" spans="1:11" ht="14.4" customHeight="1" thickBot="1" x14ac:dyDescent="0.35">
      <c r="A145" s="562" t="s">
        <v>432</v>
      </c>
      <c r="B145" s="544">
        <v>47539.789909440799</v>
      </c>
      <c r="C145" s="544">
        <v>51891.531589999999</v>
      </c>
      <c r="D145" s="545">
        <v>4351.7416805591602</v>
      </c>
      <c r="E145" s="546">
        <v>1.0915389337820001</v>
      </c>
      <c r="F145" s="544">
        <v>46797.731861497399</v>
      </c>
      <c r="G145" s="545">
        <v>19499.054942290601</v>
      </c>
      <c r="H145" s="547">
        <v>3767.23191</v>
      </c>
      <c r="I145" s="544">
        <v>19880.84722</v>
      </c>
      <c r="J145" s="545">
        <v>381.79227770940298</v>
      </c>
      <c r="K145" s="548">
        <v>0.42482501670799999</v>
      </c>
    </row>
    <row r="146" spans="1:11" ht="14.4" customHeight="1" thickBot="1" x14ac:dyDescent="0.35">
      <c r="A146" s="563" t="s">
        <v>433</v>
      </c>
      <c r="B146" s="544">
        <v>47170.656048515899</v>
      </c>
      <c r="C146" s="544">
        <v>51324.227209999997</v>
      </c>
      <c r="D146" s="545">
        <v>4153.5711614840602</v>
      </c>
      <c r="E146" s="546">
        <v>1.088054131729</v>
      </c>
      <c r="F146" s="544">
        <v>46797.731861497399</v>
      </c>
      <c r="G146" s="545">
        <v>19499.054942290601</v>
      </c>
      <c r="H146" s="547">
        <v>3743.01991</v>
      </c>
      <c r="I146" s="544">
        <v>19856.515220000001</v>
      </c>
      <c r="J146" s="545">
        <v>357.46027770940401</v>
      </c>
      <c r="K146" s="548">
        <v>0.42430507697999997</v>
      </c>
    </row>
    <row r="147" spans="1:11" ht="14.4" customHeight="1" thickBot="1" x14ac:dyDescent="0.35">
      <c r="A147" s="564" t="s">
        <v>434</v>
      </c>
      <c r="B147" s="544">
        <v>47170.656048515899</v>
      </c>
      <c r="C147" s="544">
        <v>51324.227209999997</v>
      </c>
      <c r="D147" s="545">
        <v>4153.5711614840602</v>
      </c>
      <c r="E147" s="546">
        <v>1.088054131729</v>
      </c>
      <c r="F147" s="544">
        <v>46797.731861497399</v>
      </c>
      <c r="G147" s="545">
        <v>19499.054942290601</v>
      </c>
      <c r="H147" s="547">
        <v>3743.01991</v>
      </c>
      <c r="I147" s="544">
        <v>19856.515220000001</v>
      </c>
      <c r="J147" s="545">
        <v>357.46027770940401</v>
      </c>
      <c r="K147" s="548">
        <v>0.42430507697999997</v>
      </c>
    </row>
    <row r="148" spans="1:11" ht="14.4" customHeight="1" thickBot="1" x14ac:dyDescent="0.35">
      <c r="A148" s="565" t="s">
        <v>435</v>
      </c>
      <c r="B148" s="549">
        <v>0.65494229075800003</v>
      </c>
      <c r="C148" s="549">
        <v>330.09640000000002</v>
      </c>
      <c r="D148" s="550">
        <v>329.441457709242</v>
      </c>
      <c r="E148" s="556">
        <v>504.00837548266202</v>
      </c>
      <c r="F148" s="549">
        <v>0.73186149742499995</v>
      </c>
      <c r="G148" s="550">
        <v>0.30494229059299999</v>
      </c>
      <c r="H148" s="552">
        <v>4.9406564584124654E-324</v>
      </c>
      <c r="I148" s="549">
        <v>0.30746000000000001</v>
      </c>
      <c r="J148" s="550">
        <v>2.517709406E-3</v>
      </c>
      <c r="K148" s="557">
        <v>0.42010681130400002</v>
      </c>
    </row>
    <row r="149" spans="1:11" ht="14.4" customHeight="1" thickBot="1" x14ac:dyDescent="0.35">
      <c r="A149" s="566" t="s">
        <v>436</v>
      </c>
      <c r="B149" s="544">
        <v>0.33163004944300001</v>
      </c>
      <c r="C149" s="544">
        <v>4.9406564584124654E-324</v>
      </c>
      <c r="D149" s="545">
        <v>-0.33163004944300001</v>
      </c>
      <c r="E149" s="546">
        <v>1.4821969375237396E-323</v>
      </c>
      <c r="F149" s="544">
        <v>4.9406564584124654E-324</v>
      </c>
      <c r="G149" s="545">
        <v>0</v>
      </c>
      <c r="H149" s="547">
        <v>4.9406564584124654E-324</v>
      </c>
      <c r="I149" s="544">
        <v>0.30746000000000001</v>
      </c>
      <c r="J149" s="545">
        <v>0.30746000000000001</v>
      </c>
      <c r="K149" s="555" t="s">
        <v>301</v>
      </c>
    </row>
    <row r="150" spans="1:11" ht="14.4" customHeight="1" thickBot="1" x14ac:dyDescent="0.35">
      <c r="A150" s="566" t="s">
        <v>437</v>
      </c>
      <c r="B150" s="544">
        <v>6.1190644598999998E-2</v>
      </c>
      <c r="C150" s="544">
        <v>0.308</v>
      </c>
      <c r="D150" s="545">
        <v>0.24680935540000001</v>
      </c>
      <c r="E150" s="546">
        <v>5.03344918188</v>
      </c>
      <c r="F150" s="544">
        <v>0.32732594891900002</v>
      </c>
      <c r="G150" s="545">
        <v>0.13638581204899999</v>
      </c>
      <c r="H150" s="547">
        <v>4.9406564584124654E-324</v>
      </c>
      <c r="I150" s="544">
        <v>2.4703282292062327E-323</v>
      </c>
      <c r="J150" s="545">
        <v>-0.13638581204899999</v>
      </c>
      <c r="K150" s="548">
        <v>7.4109846876186982E-323</v>
      </c>
    </row>
    <row r="151" spans="1:11" ht="14.4" customHeight="1" thickBot="1" x14ac:dyDescent="0.35">
      <c r="A151" s="566" t="s">
        <v>438</v>
      </c>
      <c r="B151" s="544">
        <v>4.9406564584124654E-324</v>
      </c>
      <c r="C151" s="544">
        <v>329.41568000000001</v>
      </c>
      <c r="D151" s="545">
        <v>329.41568000000001</v>
      </c>
      <c r="E151" s="554" t="s">
        <v>301</v>
      </c>
      <c r="F151" s="544">
        <v>4.9406564584124654E-324</v>
      </c>
      <c r="G151" s="545">
        <v>0</v>
      </c>
      <c r="H151" s="547">
        <v>4.9406564584124654E-324</v>
      </c>
      <c r="I151" s="544">
        <v>2.4703282292062327E-323</v>
      </c>
      <c r="J151" s="545">
        <v>2.4703282292062327E-323</v>
      </c>
      <c r="K151" s="548">
        <v>5</v>
      </c>
    </row>
    <row r="152" spans="1:11" ht="14.4" customHeight="1" thickBot="1" x14ac:dyDescent="0.35">
      <c r="A152" s="566" t="s">
        <v>439</v>
      </c>
      <c r="B152" s="544">
        <v>0.26212159671500002</v>
      </c>
      <c r="C152" s="544">
        <v>0.37272</v>
      </c>
      <c r="D152" s="545">
        <v>0.110598403284</v>
      </c>
      <c r="E152" s="546">
        <v>1.421935485938</v>
      </c>
      <c r="F152" s="544">
        <v>0.40453554850500001</v>
      </c>
      <c r="G152" s="545">
        <v>0.16855647854399999</v>
      </c>
      <c r="H152" s="547">
        <v>4.9406564584124654E-324</v>
      </c>
      <c r="I152" s="544">
        <v>2.4703282292062327E-323</v>
      </c>
      <c r="J152" s="545">
        <v>-0.16855647854399999</v>
      </c>
      <c r="K152" s="548">
        <v>5.9287877500949585E-323</v>
      </c>
    </row>
    <row r="153" spans="1:11" ht="14.4" customHeight="1" thickBot="1" x14ac:dyDescent="0.35">
      <c r="A153" s="565" t="s">
        <v>440</v>
      </c>
      <c r="B153" s="549">
        <v>556.00775513628002</v>
      </c>
      <c r="C153" s="549">
        <v>12.8344</v>
      </c>
      <c r="D153" s="550">
        <v>-543.17335513628097</v>
      </c>
      <c r="E153" s="556">
        <v>2.3083131271E-2</v>
      </c>
      <c r="F153" s="549">
        <v>0</v>
      </c>
      <c r="G153" s="550">
        <v>0</v>
      </c>
      <c r="H153" s="552">
        <v>4.9406564584124654E-324</v>
      </c>
      <c r="I153" s="549">
        <v>2.4703282292062327E-323</v>
      </c>
      <c r="J153" s="550">
        <v>2.4703282292062327E-323</v>
      </c>
      <c r="K153" s="553" t="s">
        <v>295</v>
      </c>
    </row>
    <row r="154" spans="1:11" ht="14.4" customHeight="1" thickBot="1" x14ac:dyDescent="0.35">
      <c r="A154" s="566" t="s">
        <v>441</v>
      </c>
      <c r="B154" s="544">
        <v>556.00775513628002</v>
      </c>
      <c r="C154" s="544">
        <v>12.8344</v>
      </c>
      <c r="D154" s="545">
        <v>-543.17335513628097</v>
      </c>
      <c r="E154" s="546">
        <v>2.3083131271E-2</v>
      </c>
      <c r="F154" s="544">
        <v>0</v>
      </c>
      <c r="G154" s="545">
        <v>0</v>
      </c>
      <c r="H154" s="547">
        <v>4.9406564584124654E-324</v>
      </c>
      <c r="I154" s="544">
        <v>2.4703282292062327E-323</v>
      </c>
      <c r="J154" s="545">
        <v>2.4703282292062327E-323</v>
      </c>
      <c r="K154" s="555" t="s">
        <v>295</v>
      </c>
    </row>
    <row r="155" spans="1:11" ht="14.4" customHeight="1" thickBot="1" x14ac:dyDescent="0.35">
      <c r="A155" s="565" t="s">
        <v>442</v>
      </c>
      <c r="B155" s="549">
        <v>191.993505072403</v>
      </c>
      <c r="C155" s="549">
        <v>4.9406564584124654E-324</v>
      </c>
      <c r="D155" s="550">
        <v>-191.993505072403</v>
      </c>
      <c r="E155" s="556">
        <v>0</v>
      </c>
      <c r="F155" s="549">
        <v>4.9406564584124654E-324</v>
      </c>
      <c r="G155" s="550">
        <v>0</v>
      </c>
      <c r="H155" s="552">
        <v>4.9406564584124654E-324</v>
      </c>
      <c r="I155" s="549">
        <v>53.070030000000003</v>
      </c>
      <c r="J155" s="550">
        <v>53.070030000000003</v>
      </c>
      <c r="K155" s="553" t="s">
        <v>301</v>
      </c>
    </row>
    <row r="156" spans="1:11" ht="14.4" customHeight="1" thickBot="1" x14ac:dyDescent="0.35">
      <c r="A156" s="566" t="s">
        <v>443</v>
      </c>
      <c r="B156" s="544">
        <v>4.9406564584124654E-324</v>
      </c>
      <c r="C156" s="544">
        <v>4.9406564584124654E-324</v>
      </c>
      <c r="D156" s="545">
        <v>0</v>
      </c>
      <c r="E156" s="546">
        <v>1</v>
      </c>
      <c r="F156" s="544">
        <v>4.9406564584124654E-324</v>
      </c>
      <c r="G156" s="545">
        <v>0</v>
      </c>
      <c r="H156" s="547">
        <v>4.9406564584124654E-324</v>
      </c>
      <c r="I156" s="544">
        <v>53.070030000000003</v>
      </c>
      <c r="J156" s="545">
        <v>53.070030000000003</v>
      </c>
      <c r="K156" s="555" t="s">
        <v>301</v>
      </c>
    </row>
    <row r="157" spans="1:11" ht="14.4" customHeight="1" thickBot="1" x14ac:dyDescent="0.35">
      <c r="A157" s="565" t="s">
        <v>444</v>
      </c>
      <c r="B157" s="549">
        <v>4.9406564584124654E-324</v>
      </c>
      <c r="C157" s="549">
        <v>-1.32321</v>
      </c>
      <c r="D157" s="550">
        <v>-1.32321</v>
      </c>
      <c r="E157" s="551" t="s">
        <v>301</v>
      </c>
      <c r="F157" s="549">
        <v>0</v>
      </c>
      <c r="G157" s="550">
        <v>0</v>
      </c>
      <c r="H157" s="552">
        <v>4.9406564584124654E-324</v>
      </c>
      <c r="I157" s="549">
        <v>2.4703282292062327E-323</v>
      </c>
      <c r="J157" s="550">
        <v>2.4703282292062327E-323</v>
      </c>
      <c r="K157" s="553" t="s">
        <v>295</v>
      </c>
    </row>
    <row r="158" spans="1:11" ht="14.4" customHeight="1" thickBot="1" x14ac:dyDescent="0.35">
      <c r="A158" s="566" t="s">
        <v>445</v>
      </c>
      <c r="B158" s="544">
        <v>4.9406564584124654E-324</v>
      </c>
      <c r="C158" s="544">
        <v>-1.32321</v>
      </c>
      <c r="D158" s="545">
        <v>-1.32321</v>
      </c>
      <c r="E158" s="554" t="s">
        <v>301</v>
      </c>
      <c r="F158" s="544">
        <v>0</v>
      </c>
      <c r="G158" s="545">
        <v>0</v>
      </c>
      <c r="H158" s="547">
        <v>4.9406564584124654E-324</v>
      </c>
      <c r="I158" s="544">
        <v>2.4703282292062327E-323</v>
      </c>
      <c r="J158" s="545">
        <v>2.4703282292062327E-323</v>
      </c>
      <c r="K158" s="555" t="s">
        <v>295</v>
      </c>
    </row>
    <row r="159" spans="1:11" ht="14.4" customHeight="1" thickBot="1" x14ac:dyDescent="0.35">
      <c r="A159" s="565" t="s">
        <v>446</v>
      </c>
      <c r="B159" s="549">
        <v>46421.999846016501</v>
      </c>
      <c r="C159" s="549">
        <v>48500.482600000003</v>
      </c>
      <c r="D159" s="550">
        <v>2078.4827539835201</v>
      </c>
      <c r="E159" s="556">
        <v>1.0447736581980001</v>
      </c>
      <c r="F159" s="549">
        <v>46797</v>
      </c>
      <c r="G159" s="550">
        <v>19498.75</v>
      </c>
      <c r="H159" s="552">
        <v>3743.01991</v>
      </c>
      <c r="I159" s="549">
        <v>19612.111440000001</v>
      </c>
      <c r="J159" s="550">
        <v>113.361439999993</v>
      </c>
      <c r="K159" s="557">
        <v>0.41908907493999997</v>
      </c>
    </row>
    <row r="160" spans="1:11" ht="14.4" customHeight="1" thickBot="1" x14ac:dyDescent="0.35">
      <c r="A160" s="566" t="s">
        <v>447</v>
      </c>
      <c r="B160" s="544">
        <v>23345.999929617599</v>
      </c>
      <c r="C160" s="544">
        <v>24709.30932</v>
      </c>
      <c r="D160" s="545">
        <v>1363.3093903824199</v>
      </c>
      <c r="E160" s="546">
        <v>1.058395844876</v>
      </c>
      <c r="F160" s="544">
        <v>25542</v>
      </c>
      <c r="G160" s="545">
        <v>10642.5</v>
      </c>
      <c r="H160" s="547">
        <v>2254.5944199999999</v>
      </c>
      <c r="I160" s="544">
        <v>10548.18023</v>
      </c>
      <c r="J160" s="545">
        <v>-94.319770000006997</v>
      </c>
      <c r="K160" s="548">
        <v>0.41297393430399998</v>
      </c>
    </row>
    <row r="161" spans="1:11" ht="14.4" customHeight="1" thickBot="1" x14ac:dyDescent="0.35">
      <c r="A161" s="566" t="s">
        <v>448</v>
      </c>
      <c r="B161" s="544">
        <v>23075.999916398901</v>
      </c>
      <c r="C161" s="544">
        <v>23791.173279999999</v>
      </c>
      <c r="D161" s="545">
        <v>715.17336360110096</v>
      </c>
      <c r="E161" s="546">
        <v>1.030992085551</v>
      </c>
      <c r="F161" s="544">
        <v>21255</v>
      </c>
      <c r="G161" s="545">
        <v>8856.25</v>
      </c>
      <c r="H161" s="547">
        <v>1488.4254900000001</v>
      </c>
      <c r="I161" s="544">
        <v>9063.9312100000006</v>
      </c>
      <c r="J161" s="545">
        <v>207.681209999999</v>
      </c>
      <c r="K161" s="548">
        <v>0.426437601035</v>
      </c>
    </row>
    <row r="162" spans="1:11" ht="14.4" customHeight="1" thickBot="1" x14ac:dyDescent="0.35">
      <c r="A162" s="565" t="s">
        <v>449</v>
      </c>
      <c r="B162" s="549">
        <v>0</v>
      </c>
      <c r="C162" s="549">
        <v>2482.1370200000001</v>
      </c>
      <c r="D162" s="550">
        <v>2482.1370200000001</v>
      </c>
      <c r="E162" s="551" t="s">
        <v>295</v>
      </c>
      <c r="F162" s="549">
        <v>0</v>
      </c>
      <c r="G162" s="550">
        <v>0</v>
      </c>
      <c r="H162" s="552">
        <v>4.9406564584124654E-324</v>
      </c>
      <c r="I162" s="549">
        <v>191.02628999999999</v>
      </c>
      <c r="J162" s="550">
        <v>191.02628999999999</v>
      </c>
      <c r="K162" s="553" t="s">
        <v>295</v>
      </c>
    </row>
    <row r="163" spans="1:11" ht="14.4" customHeight="1" thickBot="1" x14ac:dyDescent="0.35">
      <c r="A163" s="566" t="s">
        <v>450</v>
      </c>
      <c r="B163" s="544">
        <v>4.9406564584124654E-324</v>
      </c>
      <c r="C163" s="544">
        <v>1747.1069600000001</v>
      </c>
      <c r="D163" s="545">
        <v>1747.1069600000001</v>
      </c>
      <c r="E163" s="554" t="s">
        <v>301</v>
      </c>
      <c r="F163" s="544">
        <v>0</v>
      </c>
      <c r="G163" s="545">
        <v>0</v>
      </c>
      <c r="H163" s="547">
        <v>4.9406564584124654E-324</v>
      </c>
      <c r="I163" s="544">
        <v>127.02262</v>
      </c>
      <c r="J163" s="545">
        <v>127.02262</v>
      </c>
      <c r="K163" s="555" t="s">
        <v>295</v>
      </c>
    </row>
    <row r="164" spans="1:11" ht="14.4" customHeight="1" thickBot="1" x14ac:dyDescent="0.35">
      <c r="A164" s="566" t="s">
        <v>451</v>
      </c>
      <c r="B164" s="544">
        <v>0</v>
      </c>
      <c r="C164" s="544">
        <v>735.03006000000005</v>
      </c>
      <c r="D164" s="545">
        <v>735.03006000000005</v>
      </c>
      <c r="E164" s="554" t="s">
        <v>295</v>
      </c>
      <c r="F164" s="544">
        <v>0</v>
      </c>
      <c r="G164" s="545">
        <v>0</v>
      </c>
      <c r="H164" s="547">
        <v>4.9406564584124654E-324</v>
      </c>
      <c r="I164" s="544">
        <v>64.00367</v>
      </c>
      <c r="J164" s="545">
        <v>64.00367</v>
      </c>
      <c r="K164" s="555" t="s">
        <v>295</v>
      </c>
    </row>
    <row r="165" spans="1:11" ht="14.4" customHeight="1" thickBot="1" x14ac:dyDescent="0.35">
      <c r="A165" s="563" t="s">
        <v>452</v>
      </c>
      <c r="B165" s="544">
        <v>369.13386092489702</v>
      </c>
      <c r="C165" s="544">
        <v>567.30438000000004</v>
      </c>
      <c r="D165" s="545">
        <v>198.17051907510299</v>
      </c>
      <c r="E165" s="546">
        <v>1.536852724858</v>
      </c>
      <c r="F165" s="544">
        <v>0</v>
      </c>
      <c r="G165" s="545">
        <v>0</v>
      </c>
      <c r="H165" s="547">
        <v>24.212</v>
      </c>
      <c r="I165" s="544">
        <v>24.332000000000001</v>
      </c>
      <c r="J165" s="545">
        <v>24.332000000000001</v>
      </c>
      <c r="K165" s="555" t="s">
        <v>295</v>
      </c>
    </row>
    <row r="166" spans="1:11" ht="14.4" customHeight="1" thickBot="1" x14ac:dyDescent="0.35">
      <c r="A166" s="564" t="s">
        <v>453</v>
      </c>
      <c r="B166" s="544">
        <v>369.13386092489702</v>
      </c>
      <c r="C166" s="544">
        <v>441.25544000000002</v>
      </c>
      <c r="D166" s="545">
        <v>72.121579075102005</v>
      </c>
      <c r="E166" s="546">
        <v>1.195380556241</v>
      </c>
      <c r="F166" s="544">
        <v>0</v>
      </c>
      <c r="G166" s="545">
        <v>0</v>
      </c>
      <c r="H166" s="547">
        <v>4.9406564584124654E-324</v>
      </c>
      <c r="I166" s="544">
        <v>2.4703282292062327E-323</v>
      </c>
      <c r="J166" s="545">
        <v>2.4703282292062327E-323</v>
      </c>
      <c r="K166" s="555" t="s">
        <v>295</v>
      </c>
    </row>
    <row r="167" spans="1:11" ht="14.4" customHeight="1" thickBot="1" x14ac:dyDescent="0.35">
      <c r="A167" s="565" t="s">
        <v>454</v>
      </c>
      <c r="B167" s="549">
        <v>369.13386092489702</v>
      </c>
      <c r="C167" s="549">
        <v>441.25544000000002</v>
      </c>
      <c r="D167" s="550">
        <v>72.121579075102005</v>
      </c>
      <c r="E167" s="556">
        <v>1.195380556241</v>
      </c>
      <c r="F167" s="549">
        <v>0</v>
      </c>
      <c r="G167" s="550">
        <v>0</v>
      </c>
      <c r="H167" s="552">
        <v>4.9406564584124654E-324</v>
      </c>
      <c r="I167" s="549">
        <v>2.4703282292062327E-323</v>
      </c>
      <c r="J167" s="550">
        <v>2.4703282292062327E-323</v>
      </c>
      <c r="K167" s="553" t="s">
        <v>295</v>
      </c>
    </row>
    <row r="168" spans="1:11" ht="14.4" customHeight="1" thickBot="1" x14ac:dyDescent="0.35">
      <c r="A168" s="566" t="s">
        <v>455</v>
      </c>
      <c r="B168" s="544">
        <v>0</v>
      </c>
      <c r="C168" s="544">
        <v>296.77427</v>
      </c>
      <c r="D168" s="545">
        <v>296.77427</v>
      </c>
      <c r="E168" s="554" t="s">
        <v>295</v>
      </c>
      <c r="F168" s="544">
        <v>0</v>
      </c>
      <c r="G168" s="545">
        <v>0</v>
      </c>
      <c r="H168" s="547">
        <v>4.9406564584124654E-324</v>
      </c>
      <c r="I168" s="544">
        <v>2.4703282292062327E-323</v>
      </c>
      <c r="J168" s="545">
        <v>2.4703282292062327E-323</v>
      </c>
      <c r="K168" s="555" t="s">
        <v>295</v>
      </c>
    </row>
    <row r="169" spans="1:11" ht="14.4" customHeight="1" thickBot="1" x14ac:dyDescent="0.35">
      <c r="A169" s="566" t="s">
        <v>456</v>
      </c>
      <c r="B169" s="544">
        <v>4.9406564584124654E-324</v>
      </c>
      <c r="C169" s="544">
        <v>4.0540000000000003</v>
      </c>
      <c r="D169" s="545">
        <v>4.0540000000000003</v>
      </c>
      <c r="E169" s="554" t="s">
        <v>301</v>
      </c>
      <c r="F169" s="544">
        <v>0</v>
      </c>
      <c r="G169" s="545">
        <v>0</v>
      </c>
      <c r="H169" s="547">
        <v>4.9406564584124654E-324</v>
      </c>
      <c r="I169" s="544">
        <v>2.4703282292062327E-323</v>
      </c>
      <c r="J169" s="545">
        <v>2.4703282292062327E-323</v>
      </c>
      <c r="K169" s="555" t="s">
        <v>295</v>
      </c>
    </row>
    <row r="170" spans="1:11" ht="14.4" customHeight="1" thickBot="1" x14ac:dyDescent="0.35">
      <c r="A170" s="566" t="s">
        <v>457</v>
      </c>
      <c r="B170" s="544">
        <v>0</v>
      </c>
      <c r="C170" s="544">
        <v>5.0321999999999996</v>
      </c>
      <c r="D170" s="545">
        <v>5.0321999999999996</v>
      </c>
      <c r="E170" s="554" t="s">
        <v>295</v>
      </c>
      <c r="F170" s="544">
        <v>0</v>
      </c>
      <c r="G170" s="545">
        <v>0</v>
      </c>
      <c r="H170" s="547">
        <v>4.9406564584124654E-324</v>
      </c>
      <c r="I170" s="544">
        <v>2.4703282292062327E-323</v>
      </c>
      <c r="J170" s="545">
        <v>2.4703282292062327E-323</v>
      </c>
      <c r="K170" s="555" t="s">
        <v>295</v>
      </c>
    </row>
    <row r="171" spans="1:11" ht="14.4" customHeight="1" thickBot="1" x14ac:dyDescent="0.35">
      <c r="A171" s="566" t="s">
        <v>458</v>
      </c>
      <c r="B171" s="544">
        <v>0</v>
      </c>
      <c r="C171" s="544">
        <v>119.05304</v>
      </c>
      <c r="D171" s="545">
        <v>119.05304</v>
      </c>
      <c r="E171" s="554" t="s">
        <v>295</v>
      </c>
      <c r="F171" s="544">
        <v>0</v>
      </c>
      <c r="G171" s="545">
        <v>0</v>
      </c>
      <c r="H171" s="547">
        <v>4.9406564584124654E-324</v>
      </c>
      <c r="I171" s="544">
        <v>2.4703282292062327E-323</v>
      </c>
      <c r="J171" s="545">
        <v>2.4703282292062327E-323</v>
      </c>
      <c r="K171" s="555" t="s">
        <v>295</v>
      </c>
    </row>
    <row r="172" spans="1:11" ht="14.4" customHeight="1" thickBot="1" x14ac:dyDescent="0.35">
      <c r="A172" s="566" t="s">
        <v>459</v>
      </c>
      <c r="B172" s="544">
        <v>0</v>
      </c>
      <c r="C172" s="544">
        <v>16.341930000000001</v>
      </c>
      <c r="D172" s="545">
        <v>16.341930000000001</v>
      </c>
      <c r="E172" s="554" t="s">
        <v>295</v>
      </c>
      <c r="F172" s="544">
        <v>0</v>
      </c>
      <c r="G172" s="545">
        <v>0</v>
      </c>
      <c r="H172" s="547">
        <v>4.9406564584124654E-324</v>
      </c>
      <c r="I172" s="544">
        <v>2.4703282292062327E-323</v>
      </c>
      <c r="J172" s="545">
        <v>2.4703282292062327E-323</v>
      </c>
      <c r="K172" s="555" t="s">
        <v>295</v>
      </c>
    </row>
    <row r="173" spans="1:11" ht="14.4" customHeight="1" thickBot="1" x14ac:dyDescent="0.35">
      <c r="A173" s="569" t="s">
        <v>460</v>
      </c>
      <c r="B173" s="549">
        <v>0</v>
      </c>
      <c r="C173" s="549">
        <v>126.04894</v>
      </c>
      <c r="D173" s="550">
        <v>126.04894</v>
      </c>
      <c r="E173" s="551" t="s">
        <v>295</v>
      </c>
      <c r="F173" s="549">
        <v>0</v>
      </c>
      <c r="G173" s="550">
        <v>0</v>
      </c>
      <c r="H173" s="552">
        <v>24.212</v>
      </c>
      <c r="I173" s="549">
        <v>24.332000000000001</v>
      </c>
      <c r="J173" s="550">
        <v>24.332000000000001</v>
      </c>
      <c r="K173" s="553" t="s">
        <v>295</v>
      </c>
    </row>
    <row r="174" spans="1:11" ht="14.4" customHeight="1" thickBot="1" x14ac:dyDescent="0.35">
      <c r="A174" s="565" t="s">
        <v>461</v>
      </c>
      <c r="B174" s="549">
        <v>0</v>
      </c>
      <c r="C174" s="549">
        <v>15.873939999999999</v>
      </c>
      <c r="D174" s="550">
        <v>15.873939999999999</v>
      </c>
      <c r="E174" s="551" t="s">
        <v>295</v>
      </c>
      <c r="F174" s="549">
        <v>0</v>
      </c>
      <c r="G174" s="550">
        <v>0</v>
      </c>
      <c r="H174" s="552">
        <v>24.212</v>
      </c>
      <c r="I174" s="549">
        <v>24.212</v>
      </c>
      <c r="J174" s="550">
        <v>24.212</v>
      </c>
      <c r="K174" s="553" t="s">
        <v>295</v>
      </c>
    </row>
    <row r="175" spans="1:11" ht="14.4" customHeight="1" thickBot="1" x14ac:dyDescent="0.35">
      <c r="A175" s="566" t="s">
        <v>462</v>
      </c>
      <c r="B175" s="544">
        <v>0</v>
      </c>
      <c r="C175" s="544">
        <v>-6.0000000000000002E-5</v>
      </c>
      <c r="D175" s="545">
        <v>-6.0000000000000002E-5</v>
      </c>
      <c r="E175" s="554" t="s">
        <v>295</v>
      </c>
      <c r="F175" s="544">
        <v>0</v>
      </c>
      <c r="G175" s="545">
        <v>0</v>
      </c>
      <c r="H175" s="547">
        <v>4.9406564584124654E-324</v>
      </c>
      <c r="I175" s="544">
        <v>2.4703282292062327E-323</v>
      </c>
      <c r="J175" s="545">
        <v>2.4703282292062327E-323</v>
      </c>
      <c r="K175" s="555" t="s">
        <v>295</v>
      </c>
    </row>
    <row r="176" spans="1:11" ht="14.4" customHeight="1" thickBot="1" x14ac:dyDescent="0.35">
      <c r="A176" s="566" t="s">
        <v>463</v>
      </c>
      <c r="B176" s="544">
        <v>4.9406564584124654E-324</v>
      </c>
      <c r="C176" s="544">
        <v>15.874000000000001</v>
      </c>
      <c r="D176" s="545">
        <v>15.874000000000001</v>
      </c>
      <c r="E176" s="554" t="s">
        <v>301</v>
      </c>
      <c r="F176" s="544">
        <v>0</v>
      </c>
      <c r="G176" s="545">
        <v>0</v>
      </c>
      <c r="H176" s="547">
        <v>24.212</v>
      </c>
      <c r="I176" s="544">
        <v>24.212</v>
      </c>
      <c r="J176" s="545">
        <v>24.212</v>
      </c>
      <c r="K176" s="555" t="s">
        <v>295</v>
      </c>
    </row>
    <row r="177" spans="1:11" ht="14.4" customHeight="1" thickBot="1" x14ac:dyDescent="0.35">
      <c r="A177" s="565" t="s">
        <v>464</v>
      </c>
      <c r="B177" s="549">
        <v>0</v>
      </c>
      <c r="C177" s="549">
        <v>0.67900000000000005</v>
      </c>
      <c r="D177" s="550">
        <v>0.67900000000000005</v>
      </c>
      <c r="E177" s="551" t="s">
        <v>295</v>
      </c>
      <c r="F177" s="549">
        <v>0</v>
      </c>
      <c r="G177" s="550">
        <v>0</v>
      </c>
      <c r="H177" s="552">
        <v>4.9406564584124654E-324</v>
      </c>
      <c r="I177" s="549">
        <v>0.12</v>
      </c>
      <c r="J177" s="550">
        <v>0.12</v>
      </c>
      <c r="K177" s="553" t="s">
        <v>295</v>
      </c>
    </row>
    <row r="178" spans="1:11" ht="14.4" customHeight="1" thickBot="1" x14ac:dyDescent="0.35">
      <c r="A178" s="566" t="s">
        <v>465</v>
      </c>
      <c r="B178" s="544">
        <v>0</v>
      </c>
      <c r="C178" s="544">
        <v>0.67900000000000005</v>
      </c>
      <c r="D178" s="545">
        <v>0.67900000000000005</v>
      </c>
      <c r="E178" s="554" t="s">
        <v>295</v>
      </c>
      <c r="F178" s="544">
        <v>0</v>
      </c>
      <c r="G178" s="545">
        <v>0</v>
      </c>
      <c r="H178" s="547">
        <v>4.9406564584124654E-324</v>
      </c>
      <c r="I178" s="544">
        <v>0.12</v>
      </c>
      <c r="J178" s="545">
        <v>0.12</v>
      </c>
      <c r="K178" s="555" t="s">
        <v>295</v>
      </c>
    </row>
    <row r="179" spans="1:11" ht="14.4" customHeight="1" thickBot="1" x14ac:dyDescent="0.35">
      <c r="A179" s="565" t="s">
        <v>466</v>
      </c>
      <c r="B179" s="549">
        <v>0</v>
      </c>
      <c r="C179" s="549">
        <v>109.496</v>
      </c>
      <c r="D179" s="550">
        <v>109.496</v>
      </c>
      <c r="E179" s="551" t="s">
        <v>295</v>
      </c>
      <c r="F179" s="549">
        <v>0</v>
      </c>
      <c r="G179" s="550">
        <v>0</v>
      </c>
      <c r="H179" s="552">
        <v>4.9406564584124654E-324</v>
      </c>
      <c r="I179" s="549">
        <v>2.4703282292062327E-323</v>
      </c>
      <c r="J179" s="550">
        <v>2.4703282292062327E-323</v>
      </c>
      <c r="K179" s="553" t="s">
        <v>295</v>
      </c>
    </row>
    <row r="180" spans="1:11" ht="14.4" customHeight="1" thickBot="1" x14ac:dyDescent="0.35">
      <c r="A180" s="566" t="s">
        <v>467</v>
      </c>
      <c r="B180" s="544">
        <v>0</v>
      </c>
      <c r="C180" s="544">
        <v>109.496</v>
      </c>
      <c r="D180" s="545">
        <v>109.496</v>
      </c>
      <c r="E180" s="554" t="s">
        <v>295</v>
      </c>
      <c r="F180" s="544">
        <v>0</v>
      </c>
      <c r="G180" s="545">
        <v>0</v>
      </c>
      <c r="H180" s="547">
        <v>4.9406564584124654E-324</v>
      </c>
      <c r="I180" s="544">
        <v>2.4703282292062327E-323</v>
      </c>
      <c r="J180" s="545">
        <v>2.4703282292062327E-323</v>
      </c>
      <c r="K180" s="555" t="s">
        <v>295</v>
      </c>
    </row>
    <row r="181" spans="1:11" ht="14.4" customHeight="1" thickBot="1" x14ac:dyDescent="0.35">
      <c r="A181" s="562" t="s">
        <v>468</v>
      </c>
      <c r="B181" s="544">
        <v>4928.5239242703401</v>
      </c>
      <c r="C181" s="544">
        <v>5797.0298000000003</v>
      </c>
      <c r="D181" s="545">
        <v>868.50587572966197</v>
      </c>
      <c r="E181" s="546">
        <v>1.1762202819900001</v>
      </c>
      <c r="F181" s="544">
        <v>4619.0160192798403</v>
      </c>
      <c r="G181" s="545">
        <v>1924.5900080332699</v>
      </c>
      <c r="H181" s="547">
        <v>529.26260000000002</v>
      </c>
      <c r="I181" s="544">
        <v>2499.6543299999998</v>
      </c>
      <c r="J181" s="545">
        <v>575.06432196673302</v>
      </c>
      <c r="K181" s="548">
        <v>0.54116597984600001</v>
      </c>
    </row>
    <row r="182" spans="1:11" ht="14.4" customHeight="1" thickBot="1" x14ac:dyDescent="0.35">
      <c r="A182" s="567" t="s">
        <v>469</v>
      </c>
      <c r="B182" s="549">
        <v>4928.5239242703401</v>
      </c>
      <c r="C182" s="549">
        <v>5797.0298000000003</v>
      </c>
      <c r="D182" s="550">
        <v>868.50587572966197</v>
      </c>
      <c r="E182" s="556">
        <v>1.1762202819900001</v>
      </c>
      <c r="F182" s="549">
        <v>4619.0160192798403</v>
      </c>
      <c r="G182" s="550">
        <v>1924.5900080332699</v>
      </c>
      <c r="H182" s="552">
        <v>529.26260000000002</v>
      </c>
      <c r="I182" s="549">
        <v>2499.6543299999998</v>
      </c>
      <c r="J182" s="550">
        <v>575.06432196673302</v>
      </c>
      <c r="K182" s="557">
        <v>0.54116597984600001</v>
      </c>
    </row>
    <row r="183" spans="1:11" ht="14.4" customHeight="1" thickBot="1" x14ac:dyDescent="0.35">
      <c r="A183" s="569" t="s">
        <v>41</v>
      </c>
      <c r="B183" s="549">
        <v>4928.5239242703401</v>
      </c>
      <c r="C183" s="549">
        <v>5797.0298000000003</v>
      </c>
      <c r="D183" s="550">
        <v>868.50587572966197</v>
      </c>
      <c r="E183" s="556">
        <v>1.1762202819900001</v>
      </c>
      <c r="F183" s="549">
        <v>4619.0160192798403</v>
      </c>
      <c r="G183" s="550">
        <v>1924.5900080332699</v>
      </c>
      <c r="H183" s="552">
        <v>529.26260000000002</v>
      </c>
      <c r="I183" s="549">
        <v>2499.6543299999998</v>
      </c>
      <c r="J183" s="550">
        <v>575.06432196673302</v>
      </c>
      <c r="K183" s="557">
        <v>0.54116597984600001</v>
      </c>
    </row>
    <row r="184" spans="1:11" ht="14.4" customHeight="1" thickBot="1" x14ac:dyDescent="0.35">
      <c r="A184" s="565" t="s">
        <v>470</v>
      </c>
      <c r="B184" s="549">
        <v>24.999999999999002</v>
      </c>
      <c r="C184" s="549">
        <v>52.566360000000003</v>
      </c>
      <c r="D184" s="550">
        <v>27.56636</v>
      </c>
      <c r="E184" s="556">
        <v>2.1026544</v>
      </c>
      <c r="F184" s="549">
        <v>25</v>
      </c>
      <c r="G184" s="550">
        <v>10.416666666666</v>
      </c>
      <c r="H184" s="552">
        <v>4.0655999999999999</v>
      </c>
      <c r="I184" s="549">
        <v>20.327999999999999</v>
      </c>
      <c r="J184" s="550">
        <v>9.9113333333329994</v>
      </c>
      <c r="K184" s="557">
        <v>0.81311999999999995</v>
      </c>
    </row>
    <row r="185" spans="1:11" ht="14.4" customHeight="1" thickBot="1" x14ac:dyDescent="0.35">
      <c r="A185" s="566" t="s">
        <v>471</v>
      </c>
      <c r="B185" s="544">
        <v>24.999999999999002</v>
      </c>
      <c r="C185" s="544">
        <v>52.566360000000003</v>
      </c>
      <c r="D185" s="545">
        <v>27.56636</v>
      </c>
      <c r="E185" s="546">
        <v>2.1026544</v>
      </c>
      <c r="F185" s="544">
        <v>25</v>
      </c>
      <c r="G185" s="545">
        <v>10.416666666666</v>
      </c>
      <c r="H185" s="547">
        <v>4.0655999999999999</v>
      </c>
      <c r="I185" s="544">
        <v>20.327999999999999</v>
      </c>
      <c r="J185" s="545">
        <v>9.9113333333329994</v>
      </c>
      <c r="K185" s="548">
        <v>0.81311999999999995</v>
      </c>
    </row>
    <row r="186" spans="1:11" ht="14.4" customHeight="1" thickBot="1" x14ac:dyDescent="0.35">
      <c r="A186" s="565" t="s">
        <v>472</v>
      </c>
      <c r="B186" s="549">
        <v>110.50354723422301</v>
      </c>
      <c r="C186" s="549">
        <v>100.67</v>
      </c>
      <c r="D186" s="550">
        <v>-9.8335472342219994</v>
      </c>
      <c r="E186" s="556">
        <v>0.91101147899400003</v>
      </c>
      <c r="F186" s="549">
        <v>113.016019279841</v>
      </c>
      <c r="G186" s="550">
        <v>47.090008033266997</v>
      </c>
      <c r="H186" s="552">
        <v>10.188000000000001</v>
      </c>
      <c r="I186" s="549">
        <v>40.414000000000001</v>
      </c>
      <c r="J186" s="550">
        <v>-6.6760080332670002</v>
      </c>
      <c r="K186" s="557">
        <v>0.35759532372000002</v>
      </c>
    </row>
    <row r="187" spans="1:11" ht="14.4" customHeight="1" thickBot="1" x14ac:dyDescent="0.35">
      <c r="A187" s="566" t="s">
        <v>473</v>
      </c>
      <c r="B187" s="544">
        <v>110.50354723422301</v>
      </c>
      <c r="C187" s="544">
        <v>100.67</v>
      </c>
      <c r="D187" s="545">
        <v>-9.8335472342219994</v>
      </c>
      <c r="E187" s="546">
        <v>0.91101147899400003</v>
      </c>
      <c r="F187" s="544">
        <v>113.016019279841</v>
      </c>
      <c r="G187" s="545">
        <v>47.090008033266997</v>
      </c>
      <c r="H187" s="547">
        <v>10.188000000000001</v>
      </c>
      <c r="I187" s="544">
        <v>40.414000000000001</v>
      </c>
      <c r="J187" s="545">
        <v>-6.6760080332670002</v>
      </c>
      <c r="K187" s="548">
        <v>0.35759532372000002</v>
      </c>
    </row>
    <row r="188" spans="1:11" ht="14.4" customHeight="1" thickBot="1" x14ac:dyDescent="0.35">
      <c r="A188" s="565" t="s">
        <v>474</v>
      </c>
      <c r="B188" s="549">
        <v>571.020377036171</v>
      </c>
      <c r="C188" s="549">
        <v>756.63189999999997</v>
      </c>
      <c r="D188" s="550">
        <v>185.611522963829</v>
      </c>
      <c r="E188" s="556">
        <v>1.3250523631519999</v>
      </c>
      <c r="F188" s="549">
        <v>826</v>
      </c>
      <c r="G188" s="550">
        <v>344.16666666666703</v>
      </c>
      <c r="H188" s="552">
        <v>72.713399999999993</v>
      </c>
      <c r="I188" s="549">
        <v>326.9058</v>
      </c>
      <c r="J188" s="550">
        <v>-17.260866666666001</v>
      </c>
      <c r="K188" s="557">
        <v>0.39576973365599999</v>
      </c>
    </row>
    <row r="189" spans="1:11" ht="14.4" customHeight="1" thickBot="1" x14ac:dyDescent="0.35">
      <c r="A189" s="566" t="s">
        <v>475</v>
      </c>
      <c r="B189" s="544">
        <v>571.020377036171</v>
      </c>
      <c r="C189" s="544">
        <v>756.63189999999997</v>
      </c>
      <c r="D189" s="545">
        <v>185.611522963829</v>
      </c>
      <c r="E189" s="546">
        <v>1.3250523631519999</v>
      </c>
      <c r="F189" s="544">
        <v>826</v>
      </c>
      <c r="G189" s="545">
        <v>344.16666666666703</v>
      </c>
      <c r="H189" s="547">
        <v>72.713399999999993</v>
      </c>
      <c r="I189" s="544">
        <v>326.9058</v>
      </c>
      <c r="J189" s="545">
        <v>-17.260866666666001</v>
      </c>
      <c r="K189" s="548">
        <v>0.39576973365599999</v>
      </c>
    </row>
    <row r="190" spans="1:11" ht="14.4" customHeight="1" thickBot="1" x14ac:dyDescent="0.35">
      <c r="A190" s="565" t="s">
        <v>476</v>
      </c>
      <c r="B190" s="549">
        <v>0</v>
      </c>
      <c r="C190" s="549">
        <v>5.22</v>
      </c>
      <c r="D190" s="550">
        <v>5.22</v>
      </c>
      <c r="E190" s="551" t="s">
        <v>295</v>
      </c>
      <c r="F190" s="549">
        <v>4.9406564584124654E-324</v>
      </c>
      <c r="G190" s="550">
        <v>0</v>
      </c>
      <c r="H190" s="552">
        <v>0.249</v>
      </c>
      <c r="I190" s="549">
        <v>1.4379999999999999</v>
      </c>
      <c r="J190" s="550">
        <v>1.4379999999999999</v>
      </c>
      <c r="K190" s="553" t="s">
        <v>301</v>
      </c>
    </row>
    <row r="191" spans="1:11" ht="14.4" customHeight="1" thickBot="1" x14ac:dyDescent="0.35">
      <c r="A191" s="566" t="s">
        <v>477</v>
      </c>
      <c r="B191" s="544">
        <v>0</v>
      </c>
      <c r="C191" s="544">
        <v>5.22</v>
      </c>
      <c r="D191" s="545">
        <v>5.22</v>
      </c>
      <c r="E191" s="554" t="s">
        <v>295</v>
      </c>
      <c r="F191" s="544">
        <v>4.9406564584124654E-324</v>
      </c>
      <c r="G191" s="545">
        <v>0</v>
      </c>
      <c r="H191" s="547">
        <v>0.249</v>
      </c>
      <c r="I191" s="544">
        <v>1.4379999999999999</v>
      </c>
      <c r="J191" s="545">
        <v>1.4379999999999999</v>
      </c>
      <c r="K191" s="555" t="s">
        <v>301</v>
      </c>
    </row>
    <row r="192" spans="1:11" ht="14.4" customHeight="1" thickBot="1" x14ac:dyDescent="0.35">
      <c r="A192" s="565" t="s">
        <v>478</v>
      </c>
      <c r="B192" s="549">
        <v>213.99999999999699</v>
      </c>
      <c r="C192" s="549">
        <v>189.58769000000001</v>
      </c>
      <c r="D192" s="550">
        <v>-24.412309999996999</v>
      </c>
      <c r="E192" s="556">
        <v>0.885923785046</v>
      </c>
      <c r="F192" s="549">
        <v>228</v>
      </c>
      <c r="G192" s="550">
        <v>95</v>
      </c>
      <c r="H192" s="552">
        <v>15.29393</v>
      </c>
      <c r="I192" s="549">
        <v>68.540649999999999</v>
      </c>
      <c r="J192" s="550">
        <v>-26.459350000000001</v>
      </c>
      <c r="K192" s="557">
        <v>0.30061688596399999</v>
      </c>
    </row>
    <row r="193" spans="1:11" ht="14.4" customHeight="1" thickBot="1" x14ac:dyDescent="0.35">
      <c r="A193" s="566" t="s">
        <v>479</v>
      </c>
      <c r="B193" s="544">
        <v>213.99999999999699</v>
      </c>
      <c r="C193" s="544">
        <v>189.43817000000001</v>
      </c>
      <c r="D193" s="545">
        <v>-24.561829999996998</v>
      </c>
      <c r="E193" s="546">
        <v>0.88522509345699996</v>
      </c>
      <c r="F193" s="544">
        <v>220</v>
      </c>
      <c r="G193" s="545">
        <v>91.666666666666003</v>
      </c>
      <c r="H193" s="547">
        <v>14.611969999999999</v>
      </c>
      <c r="I193" s="544">
        <v>65.130790000000005</v>
      </c>
      <c r="J193" s="545">
        <v>-26.535876666665999</v>
      </c>
      <c r="K193" s="548">
        <v>0.29604904545400001</v>
      </c>
    </row>
    <row r="194" spans="1:11" ht="14.4" customHeight="1" thickBot="1" x14ac:dyDescent="0.35">
      <c r="A194" s="566" t="s">
        <v>480</v>
      </c>
      <c r="B194" s="544">
        <v>0</v>
      </c>
      <c r="C194" s="544">
        <v>0.14951999999999999</v>
      </c>
      <c r="D194" s="545">
        <v>0.14951999999999999</v>
      </c>
      <c r="E194" s="554" t="s">
        <v>295</v>
      </c>
      <c r="F194" s="544">
        <v>8</v>
      </c>
      <c r="G194" s="545">
        <v>3.333333333333</v>
      </c>
      <c r="H194" s="547">
        <v>0.68196000000000001</v>
      </c>
      <c r="I194" s="544">
        <v>3.4098600000000001</v>
      </c>
      <c r="J194" s="545">
        <v>7.6526666665999998E-2</v>
      </c>
      <c r="K194" s="548">
        <v>0.42623250000000001</v>
      </c>
    </row>
    <row r="195" spans="1:11" ht="14.4" customHeight="1" thickBot="1" x14ac:dyDescent="0.35">
      <c r="A195" s="565" t="s">
        <v>481</v>
      </c>
      <c r="B195" s="549">
        <v>0</v>
      </c>
      <c r="C195" s="549">
        <v>1272.42839</v>
      </c>
      <c r="D195" s="550">
        <v>1272.42839</v>
      </c>
      <c r="E195" s="551" t="s">
        <v>295</v>
      </c>
      <c r="F195" s="549">
        <v>4.9406564584124654E-324</v>
      </c>
      <c r="G195" s="550">
        <v>0</v>
      </c>
      <c r="H195" s="552">
        <v>124.2453</v>
      </c>
      <c r="I195" s="549">
        <v>543.83034999999995</v>
      </c>
      <c r="J195" s="550">
        <v>543.83034999999995</v>
      </c>
      <c r="K195" s="553" t="s">
        <v>301</v>
      </c>
    </row>
    <row r="196" spans="1:11" ht="14.4" customHeight="1" thickBot="1" x14ac:dyDescent="0.35">
      <c r="A196" s="566" t="s">
        <v>482</v>
      </c>
      <c r="B196" s="544">
        <v>0</v>
      </c>
      <c r="C196" s="544">
        <v>1272.42839</v>
      </c>
      <c r="D196" s="545">
        <v>1272.42839</v>
      </c>
      <c r="E196" s="554" t="s">
        <v>295</v>
      </c>
      <c r="F196" s="544">
        <v>4.9406564584124654E-324</v>
      </c>
      <c r="G196" s="545">
        <v>0</v>
      </c>
      <c r="H196" s="547">
        <v>124.2453</v>
      </c>
      <c r="I196" s="544">
        <v>543.83034999999995</v>
      </c>
      <c r="J196" s="545">
        <v>543.83034999999995</v>
      </c>
      <c r="K196" s="555" t="s">
        <v>301</v>
      </c>
    </row>
    <row r="197" spans="1:11" ht="14.4" customHeight="1" thickBot="1" x14ac:dyDescent="0.35">
      <c r="A197" s="565" t="s">
        <v>483</v>
      </c>
      <c r="B197" s="549">
        <v>4007.99999999995</v>
      </c>
      <c r="C197" s="549">
        <v>3419.9254599999999</v>
      </c>
      <c r="D197" s="550">
        <v>-588.074539999948</v>
      </c>
      <c r="E197" s="556">
        <v>0.85327481536899996</v>
      </c>
      <c r="F197" s="549">
        <v>3427</v>
      </c>
      <c r="G197" s="550">
        <v>1427.9166666666699</v>
      </c>
      <c r="H197" s="552">
        <v>302.50736999999998</v>
      </c>
      <c r="I197" s="549">
        <v>1498.1975299999999</v>
      </c>
      <c r="J197" s="550">
        <v>70.280863333333002</v>
      </c>
      <c r="K197" s="557">
        <v>0.43717465129799998</v>
      </c>
    </row>
    <row r="198" spans="1:11" ht="14.4" customHeight="1" thickBot="1" x14ac:dyDescent="0.35">
      <c r="A198" s="566" t="s">
        <v>484</v>
      </c>
      <c r="B198" s="544">
        <v>4007.99999999995</v>
      </c>
      <c r="C198" s="544">
        <v>3419.9254599999999</v>
      </c>
      <c r="D198" s="545">
        <v>-588.074539999948</v>
      </c>
      <c r="E198" s="546">
        <v>0.85327481536899996</v>
      </c>
      <c r="F198" s="544">
        <v>3427</v>
      </c>
      <c r="G198" s="545">
        <v>1427.9166666666699</v>
      </c>
      <c r="H198" s="547">
        <v>302.50736999999998</v>
      </c>
      <c r="I198" s="544">
        <v>1498.1975299999999</v>
      </c>
      <c r="J198" s="545">
        <v>70.280863333333002</v>
      </c>
      <c r="K198" s="548">
        <v>0.43717465129799998</v>
      </c>
    </row>
    <row r="199" spans="1:11" ht="14.4" customHeight="1" thickBot="1" x14ac:dyDescent="0.35">
      <c r="A199" s="570"/>
      <c r="B199" s="544">
        <v>-6478.8502495688399</v>
      </c>
      <c r="C199" s="544">
        <v>-5486.3888800000204</v>
      </c>
      <c r="D199" s="545">
        <v>992.46136956881696</v>
      </c>
      <c r="E199" s="546">
        <v>0.84681520156500001</v>
      </c>
      <c r="F199" s="544">
        <v>-6516.8046563586804</v>
      </c>
      <c r="G199" s="545">
        <v>-2715.3352734827799</v>
      </c>
      <c r="H199" s="547">
        <v>-949.48695999999995</v>
      </c>
      <c r="I199" s="544">
        <v>-3308.3771900000202</v>
      </c>
      <c r="J199" s="545">
        <v>-593.04191651723897</v>
      </c>
      <c r="K199" s="548">
        <v>0.50766861436699995</v>
      </c>
    </row>
    <row r="200" spans="1:11" ht="14.4" customHeight="1" thickBot="1" x14ac:dyDescent="0.35">
      <c r="A200" s="571" t="s">
        <v>53</v>
      </c>
      <c r="B200" s="558">
        <v>-6478.8502495688599</v>
      </c>
      <c r="C200" s="558">
        <v>-5486.3888800000204</v>
      </c>
      <c r="D200" s="559">
        <v>992.46136956884095</v>
      </c>
      <c r="E200" s="560">
        <v>-1.1354201654330001</v>
      </c>
      <c r="F200" s="558">
        <v>-6516.8046563586804</v>
      </c>
      <c r="G200" s="559">
        <v>-2715.3352734827799</v>
      </c>
      <c r="H200" s="558">
        <v>-949.48695999999995</v>
      </c>
      <c r="I200" s="558">
        <v>-3308.3771900000202</v>
      </c>
      <c r="J200" s="559">
        <v>-593.04191651723897</v>
      </c>
      <c r="K200" s="561">
        <v>0.50766861436699995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3" customWidth="1"/>
    <col min="2" max="2" width="61.109375" style="323" customWidth="1"/>
    <col min="3" max="3" width="9.5546875" style="241" customWidth="1"/>
    <col min="4" max="4" width="9.5546875" style="324" customWidth="1"/>
    <col min="5" max="5" width="2.21875" style="324" customWidth="1"/>
    <col min="6" max="6" width="9.5546875" style="325" customWidth="1"/>
    <col min="7" max="7" width="9.5546875" style="322" customWidth="1"/>
    <col min="8" max="9" width="9.5546875" style="241" customWidth="1"/>
    <col min="10" max="10" width="0" style="241" hidden="1" customWidth="1"/>
    <col min="11" max="16384" width="8.88671875" style="241"/>
  </cols>
  <sheetData>
    <row r="1" spans="1:10" ht="18.600000000000001" customHeight="1" thickBot="1" x14ac:dyDescent="0.4">
      <c r="A1" s="465" t="s">
        <v>158</v>
      </c>
      <c r="B1" s="466"/>
      <c r="C1" s="466"/>
      <c r="D1" s="466"/>
      <c r="E1" s="466"/>
      <c r="F1" s="466"/>
      <c r="G1" s="437"/>
      <c r="H1" s="467"/>
      <c r="I1" s="467"/>
    </row>
    <row r="2" spans="1:10" ht="14.4" customHeight="1" thickBot="1" x14ac:dyDescent="0.35">
      <c r="A2" s="364" t="s">
        <v>294</v>
      </c>
      <c r="B2" s="321"/>
      <c r="C2" s="321"/>
      <c r="D2" s="321"/>
      <c r="E2" s="321"/>
      <c r="F2" s="321"/>
    </row>
    <row r="3" spans="1:10" ht="14.4" customHeight="1" thickBot="1" x14ac:dyDescent="0.35">
      <c r="A3" s="364"/>
      <c r="B3" s="321"/>
      <c r="C3" s="422">
        <v>2012</v>
      </c>
      <c r="D3" s="423">
        <v>2013</v>
      </c>
      <c r="E3" s="11"/>
      <c r="F3" s="460">
        <v>2014</v>
      </c>
      <c r="G3" s="461"/>
      <c r="H3" s="461"/>
      <c r="I3" s="462"/>
    </row>
    <row r="4" spans="1:10" ht="14.4" customHeight="1" thickBot="1" x14ac:dyDescent="0.35">
      <c r="A4" s="427" t="s">
        <v>0</v>
      </c>
      <c r="B4" s="428" t="s">
        <v>286</v>
      </c>
      <c r="C4" s="463" t="s">
        <v>81</v>
      </c>
      <c r="D4" s="464"/>
      <c r="E4" s="429"/>
      <c r="F4" s="424" t="s">
        <v>81</v>
      </c>
      <c r="G4" s="425" t="s">
        <v>82</v>
      </c>
      <c r="H4" s="425" t="s">
        <v>56</v>
      </c>
      <c r="I4" s="426" t="s">
        <v>83</v>
      </c>
    </row>
    <row r="5" spans="1:10" ht="14.4" customHeight="1" x14ac:dyDescent="0.3">
      <c r="A5" s="572" t="s">
        <v>485</v>
      </c>
      <c r="B5" s="573" t="s">
        <v>486</v>
      </c>
      <c r="C5" s="574" t="s">
        <v>487</v>
      </c>
      <c r="D5" s="574" t="s">
        <v>487</v>
      </c>
      <c r="E5" s="574"/>
      <c r="F5" s="574" t="s">
        <v>487</v>
      </c>
      <c r="G5" s="574" t="s">
        <v>487</v>
      </c>
      <c r="H5" s="574" t="s">
        <v>487</v>
      </c>
      <c r="I5" s="575" t="s">
        <v>487</v>
      </c>
      <c r="J5" s="576" t="s">
        <v>61</v>
      </c>
    </row>
    <row r="6" spans="1:10" ht="14.4" customHeight="1" x14ac:dyDescent="0.3">
      <c r="A6" s="572" t="s">
        <v>485</v>
      </c>
      <c r="B6" s="573" t="s">
        <v>304</v>
      </c>
      <c r="C6" s="574">
        <v>1382.9944599999999</v>
      </c>
      <c r="D6" s="574">
        <v>1586.8148499999988</v>
      </c>
      <c r="E6" s="574"/>
      <c r="F6" s="574">
        <v>1343.477540000001</v>
      </c>
      <c r="G6" s="574">
        <v>1464.5115541046332</v>
      </c>
      <c r="H6" s="574">
        <v>-121.03401410463221</v>
      </c>
      <c r="I6" s="575">
        <v>0.91735537096624042</v>
      </c>
      <c r="J6" s="576" t="s">
        <v>1</v>
      </c>
    </row>
    <row r="7" spans="1:10" ht="14.4" customHeight="1" x14ac:dyDescent="0.3">
      <c r="A7" s="572" t="s">
        <v>485</v>
      </c>
      <c r="B7" s="573" t="s">
        <v>305</v>
      </c>
      <c r="C7" s="574">
        <v>475.31082000000004</v>
      </c>
      <c r="D7" s="574">
        <v>704.15484000000004</v>
      </c>
      <c r="E7" s="574"/>
      <c r="F7" s="574">
        <v>694.87013000000002</v>
      </c>
      <c r="G7" s="574">
        <v>654.8311576548374</v>
      </c>
      <c r="H7" s="574">
        <v>40.03897234516262</v>
      </c>
      <c r="I7" s="575">
        <v>1.0611439634127293</v>
      </c>
      <c r="J7" s="576" t="s">
        <v>1</v>
      </c>
    </row>
    <row r="8" spans="1:10" ht="14.4" customHeight="1" x14ac:dyDescent="0.3">
      <c r="A8" s="572" t="s">
        <v>485</v>
      </c>
      <c r="B8" s="573" t="s">
        <v>306</v>
      </c>
      <c r="C8" s="574">
        <v>13.2</v>
      </c>
      <c r="D8" s="574">
        <v>27.062760000000001</v>
      </c>
      <c r="E8" s="574"/>
      <c r="F8" s="574">
        <v>0</v>
      </c>
      <c r="G8" s="574">
        <v>10.985354983802084</v>
      </c>
      <c r="H8" s="574">
        <v>-10.985354983802084</v>
      </c>
      <c r="I8" s="575">
        <v>0</v>
      </c>
      <c r="J8" s="576" t="s">
        <v>1</v>
      </c>
    </row>
    <row r="9" spans="1:10" ht="14.4" customHeight="1" x14ac:dyDescent="0.3">
      <c r="A9" s="572" t="s">
        <v>485</v>
      </c>
      <c r="B9" s="573" t="s">
        <v>307</v>
      </c>
      <c r="C9" s="574">
        <v>36.854600000000005</v>
      </c>
      <c r="D9" s="574">
        <v>251.42992999999998</v>
      </c>
      <c r="E9" s="574"/>
      <c r="F9" s="574">
        <v>136.85647999999998</v>
      </c>
      <c r="G9" s="574">
        <v>150.00131710026</v>
      </c>
      <c r="H9" s="574">
        <v>-13.14483710026002</v>
      </c>
      <c r="I9" s="575">
        <v>0.91236852212788178</v>
      </c>
      <c r="J9" s="576" t="s">
        <v>1</v>
      </c>
    </row>
    <row r="10" spans="1:10" ht="14.4" customHeight="1" x14ac:dyDescent="0.3">
      <c r="A10" s="572" t="s">
        <v>485</v>
      </c>
      <c r="B10" s="573" t="s">
        <v>308</v>
      </c>
      <c r="C10" s="574">
        <v>0</v>
      </c>
      <c r="D10" s="574">
        <v>0</v>
      </c>
      <c r="E10" s="574"/>
      <c r="F10" s="574">
        <v>0</v>
      </c>
      <c r="G10" s="574">
        <v>7.4999999999995834</v>
      </c>
      <c r="H10" s="574">
        <v>-7.4999999999995834</v>
      </c>
      <c r="I10" s="575">
        <v>0</v>
      </c>
      <c r="J10" s="576" t="s">
        <v>1</v>
      </c>
    </row>
    <row r="11" spans="1:10" ht="14.4" customHeight="1" x14ac:dyDescent="0.3">
      <c r="A11" s="572" t="s">
        <v>485</v>
      </c>
      <c r="B11" s="573" t="s">
        <v>309</v>
      </c>
      <c r="C11" s="574">
        <v>609.36262999999997</v>
      </c>
      <c r="D11" s="574">
        <v>691.92563999999993</v>
      </c>
      <c r="E11" s="574"/>
      <c r="F11" s="574">
        <v>516.5305800000001</v>
      </c>
      <c r="G11" s="574">
        <v>406.24613505889624</v>
      </c>
      <c r="H11" s="574">
        <v>110.28444494110386</v>
      </c>
      <c r="I11" s="575">
        <v>1.2714719856352976</v>
      </c>
      <c r="J11" s="576" t="s">
        <v>1</v>
      </c>
    </row>
    <row r="12" spans="1:10" ht="14.4" customHeight="1" x14ac:dyDescent="0.3">
      <c r="A12" s="572" t="s">
        <v>485</v>
      </c>
      <c r="B12" s="573" t="s">
        <v>310</v>
      </c>
      <c r="C12" s="574">
        <v>32.591189999999997</v>
      </c>
      <c r="D12" s="574">
        <v>51.169449999999003</v>
      </c>
      <c r="E12" s="574"/>
      <c r="F12" s="574">
        <v>574.44326000000001</v>
      </c>
      <c r="G12" s="574">
        <v>317.24907038870629</v>
      </c>
      <c r="H12" s="574">
        <v>257.19418961129372</v>
      </c>
      <c r="I12" s="575">
        <v>1.8107011607509806</v>
      </c>
      <c r="J12" s="576" t="s">
        <v>1</v>
      </c>
    </row>
    <row r="13" spans="1:10" ht="14.4" customHeight="1" x14ac:dyDescent="0.3">
      <c r="A13" s="572" t="s">
        <v>485</v>
      </c>
      <c r="B13" s="573" t="s">
        <v>311</v>
      </c>
      <c r="C13" s="574">
        <v>50.677490000000006</v>
      </c>
      <c r="D13" s="574">
        <v>65.153289999999004</v>
      </c>
      <c r="E13" s="574"/>
      <c r="F13" s="574">
        <v>63.141029999999994</v>
      </c>
      <c r="G13" s="574">
        <v>57.140790673908334</v>
      </c>
      <c r="H13" s="574">
        <v>6.0002393260916591</v>
      </c>
      <c r="I13" s="575">
        <v>1.1050079856320836</v>
      </c>
      <c r="J13" s="576" t="s">
        <v>1</v>
      </c>
    </row>
    <row r="14" spans="1:10" ht="14.4" customHeight="1" x14ac:dyDescent="0.3">
      <c r="A14" s="572" t="s">
        <v>485</v>
      </c>
      <c r="B14" s="573" t="s">
        <v>488</v>
      </c>
      <c r="C14" s="574">
        <v>2600.9911900000002</v>
      </c>
      <c r="D14" s="574">
        <v>3377.7107599999963</v>
      </c>
      <c r="E14" s="574"/>
      <c r="F14" s="574">
        <v>3329.3190200000008</v>
      </c>
      <c r="G14" s="574">
        <v>3068.4653799650428</v>
      </c>
      <c r="H14" s="574">
        <v>260.85364003495806</v>
      </c>
      <c r="I14" s="575">
        <v>1.0850111074213684</v>
      </c>
      <c r="J14" s="576" t="s">
        <v>489</v>
      </c>
    </row>
    <row r="16" spans="1:10" ht="14.4" customHeight="1" x14ac:dyDescent="0.3">
      <c r="A16" s="572" t="s">
        <v>485</v>
      </c>
      <c r="B16" s="573" t="s">
        <v>486</v>
      </c>
      <c r="C16" s="574" t="s">
        <v>487</v>
      </c>
      <c r="D16" s="574" t="s">
        <v>487</v>
      </c>
      <c r="E16" s="574"/>
      <c r="F16" s="574" t="s">
        <v>487</v>
      </c>
      <c r="G16" s="574" t="s">
        <v>487</v>
      </c>
      <c r="H16" s="574" t="s">
        <v>487</v>
      </c>
      <c r="I16" s="575" t="s">
        <v>487</v>
      </c>
      <c r="J16" s="576" t="s">
        <v>61</v>
      </c>
    </row>
    <row r="17" spans="1:10" ht="14.4" customHeight="1" x14ac:dyDescent="0.3">
      <c r="A17" s="572" t="s">
        <v>490</v>
      </c>
      <c r="B17" s="573" t="s">
        <v>491</v>
      </c>
      <c r="C17" s="574" t="s">
        <v>487</v>
      </c>
      <c r="D17" s="574" t="s">
        <v>487</v>
      </c>
      <c r="E17" s="574"/>
      <c r="F17" s="574" t="s">
        <v>487</v>
      </c>
      <c r="G17" s="574" t="s">
        <v>487</v>
      </c>
      <c r="H17" s="574" t="s">
        <v>487</v>
      </c>
      <c r="I17" s="575" t="s">
        <v>487</v>
      </c>
      <c r="J17" s="576" t="s">
        <v>0</v>
      </c>
    </row>
    <row r="18" spans="1:10" ht="14.4" customHeight="1" x14ac:dyDescent="0.3">
      <c r="A18" s="572" t="s">
        <v>490</v>
      </c>
      <c r="B18" s="573" t="s">
        <v>304</v>
      </c>
      <c r="C18" s="574">
        <v>1382.9944599999999</v>
      </c>
      <c r="D18" s="574">
        <v>1586.8148499999988</v>
      </c>
      <c r="E18" s="574"/>
      <c r="F18" s="574">
        <v>1343.477540000001</v>
      </c>
      <c r="G18" s="574">
        <v>1464.5115541046332</v>
      </c>
      <c r="H18" s="574">
        <v>-121.03401410463221</v>
      </c>
      <c r="I18" s="575">
        <v>0.91735537096624042</v>
      </c>
      <c r="J18" s="576" t="s">
        <v>1</v>
      </c>
    </row>
    <row r="19" spans="1:10" ht="14.4" customHeight="1" x14ac:dyDescent="0.3">
      <c r="A19" s="572" t="s">
        <v>490</v>
      </c>
      <c r="B19" s="573" t="s">
        <v>305</v>
      </c>
      <c r="C19" s="574">
        <v>475.31082000000004</v>
      </c>
      <c r="D19" s="574">
        <v>704.15484000000004</v>
      </c>
      <c r="E19" s="574"/>
      <c r="F19" s="574">
        <v>694.87013000000002</v>
      </c>
      <c r="G19" s="574">
        <v>654.8311576548374</v>
      </c>
      <c r="H19" s="574">
        <v>40.03897234516262</v>
      </c>
      <c r="I19" s="575">
        <v>1.0611439634127293</v>
      </c>
      <c r="J19" s="576" t="s">
        <v>1</v>
      </c>
    </row>
    <row r="20" spans="1:10" ht="14.4" customHeight="1" x14ac:dyDescent="0.3">
      <c r="A20" s="572" t="s">
        <v>490</v>
      </c>
      <c r="B20" s="573" t="s">
        <v>306</v>
      </c>
      <c r="C20" s="574">
        <v>13.2</v>
      </c>
      <c r="D20" s="574">
        <v>27.062760000000001</v>
      </c>
      <c r="E20" s="574"/>
      <c r="F20" s="574">
        <v>0</v>
      </c>
      <c r="G20" s="574">
        <v>10.985354983802084</v>
      </c>
      <c r="H20" s="574">
        <v>-10.985354983802084</v>
      </c>
      <c r="I20" s="575">
        <v>0</v>
      </c>
      <c r="J20" s="576" t="s">
        <v>1</v>
      </c>
    </row>
    <row r="21" spans="1:10" ht="14.4" customHeight="1" x14ac:dyDescent="0.3">
      <c r="A21" s="572" t="s">
        <v>490</v>
      </c>
      <c r="B21" s="573" t="s">
        <v>307</v>
      </c>
      <c r="C21" s="574">
        <v>36.854600000000005</v>
      </c>
      <c r="D21" s="574">
        <v>251.42992999999998</v>
      </c>
      <c r="E21" s="574"/>
      <c r="F21" s="574">
        <v>136.85647999999998</v>
      </c>
      <c r="G21" s="574">
        <v>150.00131710026</v>
      </c>
      <c r="H21" s="574">
        <v>-13.14483710026002</v>
      </c>
      <c r="I21" s="575">
        <v>0.91236852212788178</v>
      </c>
      <c r="J21" s="576" t="s">
        <v>1</v>
      </c>
    </row>
    <row r="22" spans="1:10" ht="14.4" customHeight="1" x14ac:dyDescent="0.3">
      <c r="A22" s="572" t="s">
        <v>490</v>
      </c>
      <c r="B22" s="573" t="s">
        <v>308</v>
      </c>
      <c r="C22" s="574">
        <v>0</v>
      </c>
      <c r="D22" s="574">
        <v>0</v>
      </c>
      <c r="E22" s="574"/>
      <c r="F22" s="574">
        <v>0</v>
      </c>
      <c r="G22" s="574">
        <v>7.4999999999995834</v>
      </c>
      <c r="H22" s="574">
        <v>-7.4999999999995834</v>
      </c>
      <c r="I22" s="575">
        <v>0</v>
      </c>
      <c r="J22" s="576" t="s">
        <v>1</v>
      </c>
    </row>
    <row r="23" spans="1:10" ht="14.4" customHeight="1" x14ac:dyDescent="0.3">
      <c r="A23" s="572" t="s">
        <v>490</v>
      </c>
      <c r="B23" s="573" t="s">
        <v>309</v>
      </c>
      <c r="C23" s="574">
        <v>609.36262999999997</v>
      </c>
      <c r="D23" s="574">
        <v>691.92563999999993</v>
      </c>
      <c r="E23" s="574"/>
      <c r="F23" s="574">
        <v>516.5305800000001</v>
      </c>
      <c r="G23" s="574">
        <v>406.24613505889624</v>
      </c>
      <c r="H23" s="574">
        <v>110.28444494110386</v>
      </c>
      <c r="I23" s="575">
        <v>1.2714719856352976</v>
      </c>
      <c r="J23" s="576" t="s">
        <v>1</v>
      </c>
    </row>
    <row r="24" spans="1:10" ht="14.4" customHeight="1" x14ac:dyDescent="0.3">
      <c r="A24" s="572" t="s">
        <v>490</v>
      </c>
      <c r="B24" s="573" t="s">
        <v>310</v>
      </c>
      <c r="C24" s="574">
        <v>32.591189999999997</v>
      </c>
      <c r="D24" s="574">
        <v>51.169449999999003</v>
      </c>
      <c r="E24" s="574"/>
      <c r="F24" s="574">
        <v>574.44326000000001</v>
      </c>
      <c r="G24" s="574">
        <v>317.24907038870629</v>
      </c>
      <c r="H24" s="574">
        <v>257.19418961129372</v>
      </c>
      <c r="I24" s="575">
        <v>1.8107011607509806</v>
      </c>
      <c r="J24" s="576" t="s">
        <v>1</v>
      </c>
    </row>
    <row r="25" spans="1:10" ht="14.4" customHeight="1" x14ac:dyDescent="0.3">
      <c r="A25" s="572" t="s">
        <v>490</v>
      </c>
      <c r="B25" s="573" t="s">
        <v>311</v>
      </c>
      <c r="C25" s="574">
        <v>50.677490000000006</v>
      </c>
      <c r="D25" s="574">
        <v>65.153289999999004</v>
      </c>
      <c r="E25" s="574"/>
      <c r="F25" s="574">
        <v>63.141029999999994</v>
      </c>
      <c r="G25" s="574">
        <v>57.140790673908334</v>
      </c>
      <c r="H25" s="574">
        <v>6.0002393260916591</v>
      </c>
      <c r="I25" s="575">
        <v>1.1050079856320836</v>
      </c>
      <c r="J25" s="576" t="s">
        <v>1</v>
      </c>
    </row>
    <row r="26" spans="1:10" ht="14.4" customHeight="1" x14ac:dyDescent="0.3">
      <c r="A26" s="572" t="s">
        <v>490</v>
      </c>
      <c r="B26" s="573" t="s">
        <v>492</v>
      </c>
      <c r="C26" s="574">
        <v>2600.9911900000002</v>
      </c>
      <c r="D26" s="574">
        <v>3377.7107599999963</v>
      </c>
      <c r="E26" s="574"/>
      <c r="F26" s="574">
        <v>3329.3190200000008</v>
      </c>
      <c r="G26" s="574">
        <v>3068.4653799650428</v>
      </c>
      <c r="H26" s="574">
        <v>260.85364003495806</v>
      </c>
      <c r="I26" s="575">
        <v>1.0850111074213684</v>
      </c>
      <c r="J26" s="576" t="s">
        <v>493</v>
      </c>
    </row>
    <row r="27" spans="1:10" ht="14.4" customHeight="1" x14ac:dyDescent="0.3">
      <c r="A27" s="572" t="s">
        <v>487</v>
      </c>
      <c r="B27" s="573" t="s">
        <v>487</v>
      </c>
      <c r="C27" s="574" t="s">
        <v>487</v>
      </c>
      <c r="D27" s="574" t="s">
        <v>487</v>
      </c>
      <c r="E27" s="574"/>
      <c r="F27" s="574" t="s">
        <v>487</v>
      </c>
      <c r="G27" s="574" t="s">
        <v>487</v>
      </c>
      <c r="H27" s="574" t="s">
        <v>487</v>
      </c>
      <c r="I27" s="575" t="s">
        <v>487</v>
      </c>
      <c r="J27" s="576" t="s">
        <v>494</v>
      </c>
    </row>
    <row r="28" spans="1:10" ht="14.4" customHeight="1" x14ac:dyDescent="0.3">
      <c r="A28" s="572" t="s">
        <v>485</v>
      </c>
      <c r="B28" s="573" t="s">
        <v>488</v>
      </c>
      <c r="C28" s="574">
        <v>2600.9911900000002</v>
      </c>
      <c r="D28" s="574">
        <v>3377.7107599999963</v>
      </c>
      <c r="E28" s="574"/>
      <c r="F28" s="574">
        <v>3329.3190200000008</v>
      </c>
      <c r="G28" s="574">
        <v>3068.4653799650428</v>
      </c>
      <c r="H28" s="574">
        <v>260.85364003495806</v>
      </c>
      <c r="I28" s="575">
        <v>1.0850111074213684</v>
      </c>
      <c r="J28" s="576" t="s">
        <v>489</v>
      </c>
    </row>
  </sheetData>
  <mergeCells count="3">
    <mergeCell ref="F3:I3"/>
    <mergeCell ref="C4:D4"/>
    <mergeCell ref="A1:I1"/>
  </mergeCells>
  <conditionalFormatting sqref="F15 F29:F65537">
    <cfRule type="cellIs" dxfId="53" priority="18" stopIfTrue="1" operator="greaterThan">
      <formula>1</formula>
    </cfRule>
  </conditionalFormatting>
  <conditionalFormatting sqref="H5:H14">
    <cfRule type="expression" dxfId="52" priority="14">
      <formula>$H5&gt;0</formula>
    </cfRule>
  </conditionalFormatting>
  <conditionalFormatting sqref="I5:I14">
    <cfRule type="expression" dxfId="51" priority="15">
      <formula>$I5&gt;1</formula>
    </cfRule>
  </conditionalFormatting>
  <conditionalFormatting sqref="B5:B14">
    <cfRule type="expression" dxfId="50" priority="11">
      <formula>OR($J5="NS",$J5="SumaNS",$J5="Účet")</formula>
    </cfRule>
  </conditionalFormatting>
  <conditionalFormatting sqref="B5:D14 F5:I14">
    <cfRule type="expression" dxfId="49" priority="17">
      <formula>AND($J5&lt;&gt;"",$J5&lt;&gt;"mezeraKL")</formula>
    </cfRule>
  </conditionalFormatting>
  <conditionalFormatting sqref="B5:D14 F5:I14">
    <cfRule type="expression" dxfId="4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47" priority="13">
      <formula>OR($J5="SumaNS",$J5="NS")</formula>
    </cfRule>
  </conditionalFormatting>
  <conditionalFormatting sqref="A5:A14">
    <cfRule type="expression" dxfId="46" priority="9">
      <formula>AND($J5&lt;&gt;"mezeraKL",$J5&lt;&gt;"")</formula>
    </cfRule>
  </conditionalFormatting>
  <conditionalFormatting sqref="A5:A14">
    <cfRule type="expression" dxfId="45" priority="10">
      <formula>AND($J5&lt;&gt;"",$J5&lt;&gt;"mezeraKL")</formula>
    </cfRule>
  </conditionalFormatting>
  <conditionalFormatting sqref="H16:H28">
    <cfRule type="expression" dxfId="44" priority="5">
      <formula>$H16&gt;0</formula>
    </cfRule>
  </conditionalFormatting>
  <conditionalFormatting sqref="A16:A28">
    <cfRule type="expression" dxfId="43" priority="2">
      <formula>AND($J16&lt;&gt;"mezeraKL",$J16&lt;&gt;"")</formula>
    </cfRule>
  </conditionalFormatting>
  <conditionalFormatting sqref="I16:I28">
    <cfRule type="expression" dxfId="42" priority="6">
      <formula>$I16&gt;1</formula>
    </cfRule>
  </conditionalFormatting>
  <conditionalFormatting sqref="B16:B28">
    <cfRule type="expression" dxfId="41" priority="1">
      <formula>OR($J16="NS",$J16="SumaNS",$J16="Účet")</formula>
    </cfRule>
  </conditionalFormatting>
  <conditionalFormatting sqref="A16:D28 F16:I28">
    <cfRule type="expression" dxfId="40" priority="8">
      <formula>AND($J16&lt;&gt;"",$J16&lt;&gt;"mezeraKL")</formula>
    </cfRule>
  </conditionalFormatting>
  <conditionalFormatting sqref="B16:D28 F16:I28">
    <cfRule type="expression" dxfId="39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38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1" hidden="1" customWidth="1" outlineLevel="1"/>
    <col min="2" max="2" width="28.33203125" style="241" hidden="1" customWidth="1" outlineLevel="1"/>
    <col min="3" max="3" width="5.33203125" style="324" bestFit="1" customWidth="1" collapsed="1"/>
    <col min="4" max="4" width="18.77734375" style="328" customWidth="1"/>
    <col min="5" max="5" width="9" style="324" bestFit="1" customWidth="1"/>
    <col min="6" max="6" width="18.77734375" style="328" customWidth="1"/>
    <col min="7" max="7" width="5" style="324" customWidth="1"/>
    <col min="8" max="8" width="12.44140625" style="324" hidden="1" customWidth="1" outlineLevel="1"/>
    <col min="9" max="9" width="8.5546875" style="324" hidden="1" customWidth="1" outlineLevel="1"/>
    <col min="10" max="10" width="25.77734375" style="324" customWidth="1" collapsed="1"/>
    <col min="11" max="11" width="8.77734375" style="324" customWidth="1"/>
    <col min="12" max="13" width="7.77734375" style="322" customWidth="1"/>
    <col min="14" max="14" width="11.109375" style="322" customWidth="1"/>
    <col min="15" max="16384" width="8.88671875" style="241"/>
  </cols>
  <sheetData>
    <row r="1" spans="1:14" ht="18.600000000000001" customHeight="1" thickBot="1" x14ac:dyDescent="0.4">
      <c r="A1" s="472" t="s">
        <v>182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ht="14.4" customHeight="1" thickBot="1" x14ac:dyDescent="0.35">
      <c r="A2" s="364" t="s">
        <v>294</v>
      </c>
      <c r="B2" s="66"/>
      <c r="C2" s="326"/>
      <c r="D2" s="326"/>
      <c r="E2" s="326"/>
      <c r="F2" s="326"/>
      <c r="G2" s="326"/>
      <c r="H2" s="326"/>
      <c r="I2" s="326"/>
      <c r="J2" s="326"/>
      <c r="K2" s="326"/>
      <c r="L2" s="327"/>
      <c r="M2" s="327"/>
      <c r="N2" s="327"/>
    </row>
    <row r="3" spans="1:14" ht="14.4" customHeight="1" thickBot="1" x14ac:dyDescent="0.35">
      <c r="A3" s="66"/>
      <c r="B3" s="66"/>
      <c r="C3" s="468"/>
      <c r="D3" s="469"/>
      <c r="E3" s="469"/>
      <c r="F3" s="469"/>
      <c r="G3" s="469"/>
      <c r="H3" s="469"/>
      <c r="I3" s="469"/>
      <c r="J3" s="470" t="s">
        <v>142</v>
      </c>
      <c r="K3" s="471"/>
      <c r="L3" s="195">
        <f>IF(M3&lt;&gt;0,N3/M3,0)</f>
        <v>292.5638183110317</v>
      </c>
      <c r="M3" s="195">
        <f>SUBTOTAL(9,M5:M1048576)</f>
        <v>11168.752200000003</v>
      </c>
      <c r="N3" s="196">
        <f>SUBTOTAL(9,N5:N1048576)</f>
        <v>3267572.7894017361</v>
      </c>
    </row>
    <row r="4" spans="1:14" s="323" customFormat="1" ht="14.4" customHeight="1" thickBot="1" x14ac:dyDescent="0.35">
      <c r="A4" s="577" t="s">
        <v>4</v>
      </c>
      <c r="B4" s="578" t="s">
        <v>5</v>
      </c>
      <c r="C4" s="578" t="s">
        <v>0</v>
      </c>
      <c r="D4" s="578" t="s">
        <v>6</v>
      </c>
      <c r="E4" s="578" t="s">
        <v>7</v>
      </c>
      <c r="F4" s="578" t="s">
        <v>1</v>
      </c>
      <c r="G4" s="578" t="s">
        <v>8</v>
      </c>
      <c r="H4" s="578" t="s">
        <v>9</v>
      </c>
      <c r="I4" s="578" t="s">
        <v>10</v>
      </c>
      <c r="J4" s="579" t="s">
        <v>11</v>
      </c>
      <c r="K4" s="579" t="s">
        <v>12</v>
      </c>
      <c r="L4" s="580" t="s">
        <v>165</v>
      </c>
      <c r="M4" s="580" t="s">
        <v>13</v>
      </c>
      <c r="N4" s="581" t="s">
        <v>176</v>
      </c>
    </row>
    <row r="5" spans="1:14" ht="14.4" customHeight="1" x14ac:dyDescent="0.3">
      <c r="A5" s="584" t="s">
        <v>485</v>
      </c>
      <c r="B5" s="585" t="s">
        <v>1636</v>
      </c>
      <c r="C5" s="586" t="s">
        <v>490</v>
      </c>
      <c r="D5" s="587" t="s">
        <v>1637</v>
      </c>
      <c r="E5" s="586" t="s">
        <v>495</v>
      </c>
      <c r="F5" s="587" t="s">
        <v>1638</v>
      </c>
      <c r="G5" s="586"/>
      <c r="H5" s="586" t="s">
        <v>496</v>
      </c>
      <c r="I5" s="586" t="s">
        <v>497</v>
      </c>
      <c r="J5" s="586" t="s">
        <v>498</v>
      </c>
      <c r="K5" s="586" t="s">
        <v>499</v>
      </c>
      <c r="L5" s="588">
        <v>260.72951881267028</v>
      </c>
      <c r="M5" s="588">
        <v>40</v>
      </c>
      <c r="N5" s="589">
        <v>10429.180752506811</v>
      </c>
    </row>
    <row r="6" spans="1:14" ht="14.4" customHeight="1" x14ac:dyDescent="0.3">
      <c r="A6" s="590" t="s">
        <v>485</v>
      </c>
      <c r="B6" s="591" t="s">
        <v>1636</v>
      </c>
      <c r="C6" s="592" t="s">
        <v>490</v>
      </c>
      <c r="D6" s="593" t="s">
        <v>1637</v>
      </c>
      <c r="E6" s="592" t="s">
        <v>495</v>
      </c>
      <c r="F6" s="593" t="s">
        <v>1638</v>
      </c>
      <c r="G6" s="592"/>
      <c r="H6" s="592" t="s">
        <v>500</v>
      </c>
      <c r="I6" s="592" t="s">
        <v>501</v>
      </c>
      <c r="J6" s="592" t="s">
        <v>502</v>
      </c>
      <c r="K6" s="592" t="s">
        <v>503</v>
      </c>
      <c r="L6" s="594">
        <v>3096.0999999999967</v>
      </c>
      <c r="M6" s="594">
        <v>1</v>
      </c>
      <c r="N6" s="595">
        <v>3096.0999999999967</v>
      </c>
    </row>
    <row r="7" spans="1:14" ht="14.4" customHeight="1" x14ac:dyDescent="0.3">
      <c r="A7" s="590" t="s">
        <v>485</v>
      </c>
      <c r="B7" s="591" t="s">
        <v>1636</v>
      </c>
      <c r="C7" s="592" t="s">
        <v>490</v>
      </c>
      <c r="D7" s="593" t="s">
        <v>1637</v>
      </c>
      <c r="E7" s="592" t="s">
        <v>495</v>
      </c>
      <c r="F7" s="593" t="s">
        <v>1638</v>
      </c>
      <c r="G7" s="592"/>
      <c r="H7" s="592" t="s">
        <v>504</v>
      </c>
      <c r="I7" s="592" t="s">
        <v>504</v>
      </c>
      <c r="J7" s="592" t="s">
        <v>505</v>
      </c>
      <c r="K7" s="592" t="s">
        <v>506</v>
      </c>
      <c r="L7" s="594">
        <v>221.68999999999997</v>
      </c>
      <c r="M7" s="594">
        <v>2</v>
      </c>
      <c r="N7" s="595">
        <v>443.37999999999994</v>
      </c>
    </row>
    <row r="8" spans="1:14" ht="14.4" customHeight="1" x14ac:dyDescent="0.3">
      <c r="A8" s="590" t="s">
        <v>485</v>
      </c>
      <c r="B8" s="591" t="s">
        <v>1636</v>
      </c>
      <c r="C8" s="592" t="s">
        <v>490</v>
      </c>
      <c r="D8" s="593" t="s">
        <v>1637</v>
      </c>
      <c r="E8" s="592" t="s">
        <v>495</v>
      </c>
      <c r="F8" s="593" t="s">
        <v>1638</v>
      </c>
      <c r="G8" s="592"/>
      <c r="H8" s="592" t="s">
        <v>507</v>
      </c>
      <c r="I8" s="592" t="s">
        <v>507</v>
      </c>
      <c r="J8" s="592" t="s">
        <v>508</v>
      </c>
      <c r="K8" s="592" t="s">
        <v>509</v>
      </c>
      <c r="L8" s="594">
        <v>900.00070203790347</v>
      </c>
      <c r="M8" s="594">
        <v>1</v>
      </c>
      <c r="N8" s="595">
        <v>900.00070203790347</v>
      </c>
    </row>
    <row r="9" spans="1:14" ht="14.4" customHeight="1" x14ac:dyDescent="0.3">
      <c r="A9" s="590" t="s">
        <v>485</v>
      </c>
      <c r="B9" s="591" t="s">
        <v>1636</v>
      </c>
      <c r="C9" s="592" t="s">
        <v>490</v>
      </c>
      <c r="D9" s="593" t="s">
        <v>1637</v>
      </c>
      <c r="E9" s="592" t="s">
        <v>495</v>
      </c>
      <c r="F9" s="593" t="s">
        <v>1638</v>
      </c>
      <c r="G9" s="592"/>
      <c r="H9" s="592" t="s">
        <v>510</v>
      </c>
      <c r="I9" s="592" t="s">
        <v>510</v>
      </c>
      <c r="J9" s="592" t="s">
        <v>511</v>
      </c>
      <c r="K9" s="592" t="s">
        <v>512</v>
      </c>
      <c r="L9" s="594">
        <v>49.8</v>
      </c>
      <c r="M9" s="594">
        <v>1</v>
      </c>
      <c r="N9" s="595">
        <v>49.8</v>
      </c>
    </row>
    <row r="10" spans="1:14" ht="14.4" customHeight="1" x14ac:dyDescent="0.3">
      <c r="A10" s="590" t="s">
        <v>485</v>
      </c>
      <c r="B10" s="591" t="s">
        <v>1636</v>
      </c>
      <c r="C10" s="592" t="s">
        <v>490</v>
      </c>
      <c r="D10" s="593" t="s">
        <v>1637</v>
      </c>
      <c r="E10" s="592" t="s">
        <v>495</v>
      </c>
      <c r="F10" s="593" t="s">
        <v>1638</v>
      </c>
      <c r="G10" s="592"/>
      <c r="H10" s="592" t="s">
        <v>513</v>
      </c>
      <c r="I10" s="592" t="s">
        <v>513</v>
      </c>
      <c r="J10" s="592" t="s">
        <v>514</v>
      </c>
      <c r="K10" s="592" t="s">
        <v>515</v>
      </c>
      <c r="L10" s="594">
        <v>502.08559090909108</v>
      </c>
      <c r="M10" s="594">
        <v>44</v>
      </c>
      <c r="N10" s="595">
        <v>22091.766000000007</v>
      </c>
    </row>
    <row r="11" spans="1:14" ht="14.4" customHeight="1" x14ac:dyDescent="0.3">
      <c r="A11" s="590" t="s">
        <v>485</v>
      </c>
      <c r="B11" s="591" t="s">
        <v>1636</v>
      </c>
      <c r="C11" s="592" t="s">
        <v>490</v>
      </c>
      <c r="D11" s="593" t="s">
        <v>1637</v>
      </c>
      <c r="E11" s="592" t="s">
        <v>495</v>
      </c>
      <c r="F11" s="593" t="s">
        <v>1638</v>
      </c>
      <c r="G11" s="592" t="s">
        <v>516</v>
      </c>
      <c r="H11" s="592" t="s">
        <v>517</v>
      </c>
      <c r="I11" s="592" t="s">
        <v>517</v>
      </c>
      <c r="J11" s="592" t="s">
        <v>518</v>
      </c>
      <c r="K11" s="592" t="s">
        <v>519</v>
      </c>
      <c r="L11" s="594">
        <v>179.4</v>
      </c>
      <c r="M11" s="594">
        <v>95</v>
      </c>
      <c r="N11" s="595">
        <v>17043</v>
      </c>
    </row>
    <row r="12" spans="1:14" ht="14.4" customHeight="1" x14ac:dyDescent="0.3">
      <c r="A12" s="590" t="s">
        <v>485</v>
      </c>
      <c r="B12" s="591" t="s">
        <v>1636</v>
      </c>
      <c r="C12" s="592" t="s">
        <v>490</v>
      </c>
      <c r="D12" s="593" t="s">
        <v>1637</v>
      </c>
      <c r="E12" s="592" t="s">
        <v>495</v>
      </c>
      <c r="F12" s="593" t="s">
        <v>1638</v>
      </c>
      <c r="G12" s="592" t="s">
        <v>516</v>
      </c>
      <c r="H12" s="592" t="s">
        <v>520</v>
      </c>
      <c r="I12" s="592" t="s">
        <v>520</v>
      </c>
      <c r="J12" s="592" t="s">
        <v>521</v>
      </c>
      <c r="K12" s="592" t="s">
        <v>522</v>
      </c>
      <c r="L12" s="594">
        <v>181.58972662183572</v>
      </c>
      <c r="M12" s="594">
        <v>102</v>
      </c>
      <c r="N12" s="595">
        <v>18522.152115427245</v>
      </c>
    </row>
    <row r="13" spans="1:14" ht="14.4" customHeight="1" x14ac:dyDescent="0.3">
      <c r="A13" s="590" t="s">
        <v>485</v>
      </c>
      <c r="B13" s="591" t="s">
        <v>1636</v>
      </c>
      <c r="C13" s="592" t="s">
        <v>490</v>
      </c>
      <c r="D13" s="593" t="s">
        <v>1637</v>
      </c>
      <c r="E13" s="592" t="s">
        <v>495</v>
      </c>
      <c r="F13" s="593" t="s">
        <v>1638</v>
      </c>
      <c r="G13" s="592" t="s">
        <v>516</v>
      </c>
      <c r="H13" s="592" t="s">
        <v>523</v>
      </c>
      <c r="I13" s="592" t="s">
        <v>523</v>
      </c>
      <c r="J13" s="592" t="s">
        <v>524</v>
      </c>
      <c r="K13" s="592" t="s">
        <v>522</v>
      </c>
      <c r="L13" s="594">
        <v>149.49985651936962</v>
      </c>
      <c r="M13" s="594">
        <v>32</v>
      </c>
      <c r="N13" s="595">
        <v>4783.9954086198277</v>
      </c>
    </row>
    <row r="14" spans="1:14" ht="14.4" customHeight="1" x14ac:dyDescent="0.3">
      <c r="A14" s="590" t="s">
        <v>485</v>
      </c>
      <c r="B14" s="591" t="s">
        <v>1636</v>
      </c>
      <c r="C14" s="592" t="s">
        <v>490</v>
      </c>
      <c r="D14" s="593" t="s">
        <v>1637</v>
      </c>
      <c r="E14" s="592" t="s">
        <v>495</v>
      </c>
      <c r="F14" s="593" t="s">
        <v>1638</v>
      </c>
      <c r="G14" s="592" t="s">
        <v>516</v>
      </c>
      <c r="H14" s="592" t="s">
        <v>525</v>
      </c>
      <c r="I14" s="592" t="s">
        <v>525</v>
      </c>
      <c r="J14" s="592" t="s">
        <v>524</v>
      </c>
      <c r="K14" s="592" t="s">
        <v>526</v>
      </c>
      <c r="L14" s="594">
        <v>132.25</v>
      </c>
      <c r="M14" s="594">
        <v>30</v>
      </c>
      <c r="N14" s="595">
        <v>3967.5</v>
      </c>
    </row>
    <row r="15" spans="1:14" ht="14.4" customHeight="1" x14ac:dyDescent="0.3">
      <c r="A15" s="590" t="s">
        <v>485</v>
      </c>
      <c r="B15" s="591" t="s">
        <v>1636</v>
      </c>
      <c r="C15" s="592" t="s">
        <v>490</v>
      </c>
      <c r="D15" s="593" t="s">
        <v>1637</v>
      </c>
      <c r="E15" s="592" t="s">
        <v>495</v>
      </c>
      <c r="F15" s="593" t="s">
        <v>1638</v>
      </c>
      <c r="G15" s="592" t="s">
        <v>516</v>
      </c>
      <c r="H15" s="592" t="s">
        <v>527</v>
      </c>
      <c r="I15" s="592" t="s">
        <v>527</v>
      </c>
      <c r="J15" s="592" t="s">
        <v>518</v>
      </c>
      <c r="K15" s="592" t="s">
        <v>528</v>
      </c>
      <c r="L15" s="594">
        <v>97.18</v>
      </c>
      <c r="M15" s="594">
        <v>98</v>
      </c>
      <c r="N15" s="595">
        <v>9523.6400000000012</v>
      </c>
    </row>
    <row r="16" spans="1:14" ht="14.4" customHeight="1" x14ac:dyDescent="0.3">
      <c r="A16" s="590" t="s">
        <v>485</v>
      </c>
      <c r="B16" s="591" t="s">
        <v>1636</v>
      </c>
      <c r="C16" s="592" t="s">
        <v>490</v>
      </c>
      <c r="D16" s="593" t="s">
        <v>1637</v>
      </c>
      <c r="E16" s="592" t="s">
        <v>495</v>
      </c>
      <c r="F16" s="593" t="s">
        <v>1638</v>
      </c>
      <c r="G16" s="592" t="s">
        <v>516</v>
      </c>
      <c r="H16" s="592" t="s">
        <v>529</v>
      </c>
      <c r="I16" s="592" t="s">
        <v>529</v>
      </c>
      <c r="J16" s="592" t="s">
        <v>518</v>
      </c>
      <c r="K16" s="592" t="s">
        <v>530</v>
      </c>
      <c r="L16" s="594">
        <v>97.750284589964338</v>
      </c>
      <c r="M16" s="594">
        <v>92</v>
      </c>
      <c r="N16" s="595">
        <v>8993.0261822767188</v>
      </c>
    </row>
    <row r="17" spans="1:14" ht="14.4" customHeight="1" x14ac:dyDescent="0.3">
      <c r="A17" s="590" t="s">
        <v>485</v>
      </c>
      <c r="B17" s="591" t="s">
        <v>1636</v>
      </c>
      <c r="C17" s="592" t="s">
        <v>490</v>
      </c>
      <c r="D17" s="593" t="s">
        <v>1637</v>
      </c>
      <c r="E17" s="592" t="s">
        <v>495</v>
      </c>
      <c r="F17" s="593" t="s">
        <v>1638</v>
      </c>
      <c r="G17" s="592" t="s">
        <v>516</v>
      </c>
      <c r="H17" s="592" t="s">
        <v>531</v>
      </c>
      <c r="I17" s="592" t="s">
        <v>532</v>
      </c>
      <c r="J17" s="592" t="s">
        <v>533</v>
      </c>
      <c r="K17" s="592" t="s">
        <v>534</v>
      </c>
      <c r="L17" s="594">
        <v>85.487060000590347</v>
      </c>
      <c r="M17" s="594">
        <v>14</v>
      </c>
      <c r="N17" s="595">
        <v>1196.8188400082649</v>
      </c>
    </row>
    <row r="18" spans="1:14" ht="14.4" customHeight="1" x14ac:dyDescent="0.3">
      <c r="A18" s="590" t="s">
        <v>485</v>
      </c>
      <c r="B18" s="591" t="s">
        <v>1636</v>
      </c>
      <c r="C18" s="592" t="s">
        <v>490</v>
      </c>
      <c r="D18" s="593" t="s">
        <v>1637</v>
      </c>
      <c r="E18" s="592" t="s">
        <v>495</v>
      </c>
      <c r="F18" s="593" t="s">
        <v>1638</v>
      </c>
      <c r="G18" s="592" t="s">
        <v>516</v>
      </c>
      <c r="H18" s="592" t="s">
        <v>535</v>
      </c>
      <c r="I18" s="592" t="s">
        <v>536</v>
      </c>
      <c r="J18" s="592" t="s">
        <v>537</v>
      </c>
      <c r="K18" s="592" t="s">
        <v>538</v>
      </c>
      <c r="L18" s="594">
        <v>99.724881790276655</v>
      </c>
      <c r="M18" s="594">
        <v>191</v>
      </c>
      <c r="N18" s="595">
        <v>19047.452421942842</v>
      </c>
    </row>
    <row r="19" spans="1:14" ht="14.4" customHeight="1" x14ac:dyDescent="0.3">
      <c r="A19" s="590" t="s">
        <v>485</v>
      </c>
      <c r="B19" s="591" t="s">
        <v>1636</v>
      </c>
      <c r="C19" s="592" t="s">
        <v>490</v>
      </c>
      <c r="D19" s="593" t="s">
        <v>1637</v>
      </c>
      <c r="E19" s="592" t="s">
        <v>495</v>
      </c>
      <c r="F19" s="593" t="s">
        <v>1638</v>
      </c>
      <c r="G19" s="592" t="s">
        <v>516</v>
      </c>
      <c r="H19" s="592" t="s">
        <v>539</v>
      </c>
      <c r="I19" s="592" t="s">
        <v>540</v>
      </c>
      <c r="J19" s="592" t="s">
        <v>537</v>
      </c>
      <c r="K19" s="592" t="s">
        <v>541</v>
      </c>
      <c r="L19" s="594">
        <v>104.27494504033085</v>
      </c>
      <c r="M19" s="594">
        <v>16</v>
      </c>
      <c r="N19" s="595">
        <v>1668.3991206452936</v>
      </c>
    </row>
    <row r="20" spans="1:14" ht="14.4" customHeight="1" x14ac:dyDescent="0.3">
      <c r="A20" s="590" t="s">
        <v>485</v>
      </c>
      <c r="B20" s="591" t="s">
        <v>1636</v>
      </c>
      <c r="C20" s="592" t="s">
        <v>490</v>
      </c>
      <c r="D20" s="593" t="s">
        <v>1637</v>
      </c>
      <c r="E20" s="592" t="s">
        <v>495</v>
      </c>
      <c r="F20" s="593" t="s">
        <v>1638</v>
      </c>
      <c r="G20" s="592" t="s">
        <v>516</v>
      </c>
      <c r="H20" s="592" t="s">
        <v>542</v>
      </c>
      <c r="I20" s="592" t="s">
        <v>543</v>
      </c>
      <c r="J20" s="592" t="s">
        <v>544</v>
      </c>
      <c r="K20" s="592" t="s">
        <v>545</v>
      </c>
      <c r="L20" s="594">
        <v>170.20249999999999</v>
      </c>
      <c r="M20" s="594">
        <v>4</v>
      </c>
      <c r="N20" s="595">
        <v>680.81</v>
      </c>
    </row>
    <row r="21" spans="1:14" ht="14.4" customHeight="1" x14ac:dyDescent="0.3">
      <c r="A21" s="590" t="s">
        <v>485</v>
      </c>
      <c r="B21" s="591" t="s">
        <v>1636</v>
      </c>
      <c r="C21" s="592" t="s">
        <v>490</v>
      </c>
      <c r="D21" s="593" t="s">
        <v>1637</v>
      </c>
      <c r="E21" s="592" t="s">
        <v>495</v>
      </c>
      <c r="F21" s="593" t="s">
        <v>1638</v>
      </c>
      <c r="G21" s="592" t="s">
        <v>516</v>
      </c>
      <c r="H21" s="592" t="s">
        <v>546</v>
      </c>
      <c r="I21" s="592" t="s">
        <v>547</v>
      </c>
      <c r="J21" s="592" t="s">
        <v>548</v>
      </c>
      <c r="K21" s="592" t="s">
        <v>549</v>
      </c>
      <c r="L21" s="594">
        <v>66.813560087552446</v>
      </c>
      <c r="M21" s="594">
        <v>134</v>
      </c>
      <c r="N21" s="595">
        <v>8953.0170517320275</v>
      </c>
    </row>
    <row r="22" spans="1:14" ht="14.4" customHeight="1" x14ac:dyDescent="0.3">
      <c r="A22" s="590" t="s">
        <v>485</v>
      </c>
      <c r="B22" s="591" t="s">
        <v>1636</v>
      </c>
      <c r="C22" s="592" t="s">
        <v>490</v>
      </c>
      <c r="D22" s="593" t="s">
        <v>1637</v>
      </c>
      <c r="E22" s="592" t="s">
        <v>495</v>
      </c>
      <c r="F22" s="593" t="s">
        <v>1638</v>
      </c>
      <c r="G22" s="592" t="s">
        <v>516</v>
      </c>
      <c r="H22" s="592" t="s">
        <v>550</v>
      </c>
      <c r="I22" s="592" t="s">
        <v>551</v>
      </c>
      <c r="J22" s="592" t="s">
        <v>552</v>
      </c>
      <c r="K22" s="592" t="s">
        <v>553</v>
      </c>
      <c r="L22" s="594">
        <v>56.208290509210848</v>
      </c>
      <c r="M22" s="594">
        <v>18</v>
      </c>
      <c r="N22" s="595">
        <v>1011.7492291657952</v>
      </c>
    </row>
    <row r="23" spans="1:14" ht="14.4" customHeight="1" x14ac:dyDescent="0.3">
      <c r="A23" s="590" t="s">
        <v>485</v>
      </c>
      <c r="B23" s="591" t="s">
        <v>1636</v>
      </c>
      <c r="C23" s="592" t="s">
        <v>490</v>
      </c>
      <c r="D23" s="593" t="s">
        <v>1637</v>
      </c>
      <c r="E23" s="592" t="s">
        <v>495</v>
      </c>
      <c r="F23" s="593" t="s">
        <v>1638</v>
      </c>
      <c r="G23" s="592" t="s">
        <v>516</v>
      </c>
      <c r="H23" s="592" t="s">
        <v>554</v>
      </c>
      <c r="I23" s="592" t="s">
        <v>555</v>
      </c>
      <c r="J23" s="592" t="s">
        <v>556</v>
      </c>
      <c r="K23" s="592" t="s">
        <v>557</v>
      </c>
      <c r="L23" s="594">
        <v>65.109742034009599</v>
      </c>
      <c r="M23" s="594">
        <v>12</v>
      </c>
      <c r="N23" s="595">
        <v>781.31690440811519</v>
      </c>
    </row>
    <row r="24" spans="1:14" ht="14.4" customHeight="1" x14ac:dyDescent="0.3">
      <c r="A24" s="590" t="s">
        <v>485</v>
      </c>
      <c r="B24" s="591" t="s">
        <v>1636</v>
      </c>
      <c r="C24" s="592" t="s">
        <v>490</v>
      </c>
      <c r="D24" s="593" t="s">
        <v>1637</v>
      </c>
      <c r="E24" s="592" t="s">
        <v>495</v>
      </c>
      <c r="F24" s="593" t="s">
        <v>1638</v>
      </c>
      <c r="G24" s="592" t="s">
        <v>516</v>
      </c>
      <c r="H24" s="592" t="s">
        <v>558</v>
      </c>
      <c r="I24" s="592" t="s">
        <v>559</v>
      </c>
      <c r="J24" s="592" t="s">
        <v>560</v>
      </c>
      <c r="K24" s="592" t="s">
        <v>561</v>
      </c>
      <c r="L24" s="594">
        <v>84.248482147682608</v>
      </c>
      <c r="M24" s="594">
        <v>35</v>
      </c>
      <c r="N24" s="595">
        <v>2948.6968751688914</v>
      </c>
    </row>
    <row r="25" spans="1:14" ht="14.4" customHeight="1" x14ac:dyDescent="0.3">
      <c r="A25" s="590" t="s">
        <v>485</v>
      </c>
      <c r="B25" s="591" t="s">
        <v>1636</v>
      </c>
      <c r="C25" s="592" t="s">
        <v>490</v>
      </c>
      <c r="D25" s="593" t="s">
        <v>1637</v>
      </c>
      <c r="E25" s="592" t="s">
        <v>495</v>
      </c>
      <c r="F25" s="593" t="s">
        <v>1638</v>
      </c>
      <c r="G25" s="592" t="s">
        <v>516</v>
      </c>
      <c r="H25" s="592" t="s">
        <v>562</v>
      </c>
      <c r="I25" s="592" t="s">
        <v>563</v>
      </c>
      <c r="J25" s="592" t="s">
        <v>564</v>
      </c>
      <c r="K25" s="592" t="s">
        <v>565</v>
      </c>
      <c r="L25" s="594">
        <v>28.692450289822965</v>
      </c>
      <c r="M25" s="594">
        <v>490</v>
      </c>
      <c r="N25" s="595">
        <v>14059.300642013253</v>
      </c>
    </row>
    <row r="26" spans="1:14" ht="14.4" customHeight="1" x14ac:dyDescent="0.3">
      <c r="A26" s="590" t="s">
        <v>485</v>
      </c>
      <c r="B26" s="591" t="s">
        <v>1636</v>
      </c>
      <c r="C26" s="592" t="s">
        <v>490</v>
      </c>
      <c r="D26" s="593" t="s">
        <v>1637</v>
      </c>
      <c r="E26" s="592" t="s">
        <v>495</v>
      </c>
      <c r="F26" s="593" t="s">
        <v>1638</v>
      </c>
      <c r="G26" s="592" t="s">
        <v>516</v>
      </c>
      <c r="H26" s="592" t="s">
        <v>566</v>
      </c>
      <c r="I26" s="592" t="s">
        <v>567</v>
      </c>
      <c r="J26" s="592" t="s">
        <v>568</v>
      </c>
      <c r="K26" s="592" t="s">
        <v>569</v>
      </c>
      <c r="L26" s="594">
        <v>80.739999999999995</v>
      </c>
      <c r="M26" s="594">
        <v>2</v>
      </c>
      <c r="N26" s="595">
        <v>161.47999999999999</v>
      </c>
    </row>
    <row r="27" spans="1:14" ht="14.4" customHeight="1" x14ac:dyDescent="0.3">
      <c r="A27" s="590" t="s">
        <v>485</v>
      </c>
      <c r="B27" s="591" t="s">
        <v>1636</v>
      </c>
      <c r="C27" s="592" t="s">
        <v>490</v>
      </c>
      <c r="D27" s="593" t="s">
        <v>1637</v>
      </c>
      <c r="E27" s="592" t="s">
        <v>495</v>
      </c>
      <c r="F27" s="593" t="s">
        <v>1638</v>
      </c>
      <c r="G27" s="592" t="s">
        <v>516</v>
      </c>
      <c r="H27" s="592" t="s">
        <v>570</v>
      </c>
      <c r="I27" s="592" t="s">
        <v>571</v>
      </c>
      <c r="J27" s="592" t="s">
        <v>572</v>
      </c>
      <c r="K27" s="592" t="s">
        <v>573</v>
      </c>
      <c r="L27" s="594">
        <v>55.379947725928311</v>
      </c>
      <c r="M27" s="594">
        <v>28</v>
      </c>
      <c r="N27" s="595">
        <v>1550.6385363259926</v>
      </c>
    </row>
    <row r="28" spans="1:14" ht="14.4" customHeight="1" x14ac:dyDescent="0.3">
      <c r="A28" s="590" t="s">
        <v>485</v>
      </c>
      <c r="B28" s="591" t="s">
        <v>1636</v>
      </c>
      <c r="C28" s="592" t="s">
        <v>490</v>
      </c>
      <c r="D28" s="593" t="s">
        <v>1637</v>
      </c>
      <c r="E28" s="592" t="s">
        <v>495</v>
      </c>
      <c r="F28" s="593" t="s">
        <v>1638</v>
      </c>
      <c r="G28" s="592" t="s">
        <v>516</v>
      </c>
      <c r="H28" s="592" t="s">
        <v>574</v>
      </c>
      <c r="I28" s="592" t="s">
        <v>575</v>
      </c>
      <c r="J28" s="592" t="s">
        <v>576</v>
      </c>
      <c r="K28" s="592" t="s">
        <v>577</v>
      </c>
      <c r="L28" s="594">
        <v>52.950000000000017</v>
      </c>
      <c r="M28" s="594">
        <v>1</v>
      </c>
      <c r="N28" s="595">
        <v>52.950000000000017</v>
      </c>
    </row>
    <row r="29" spans="1:14" ht="14.4" customHeight="1" x14ac:dyDescent="0.3">
      <c r="A29" s="590" t="s">
        <v>485</v>
      </c>
      <c r="B29" s="591" t="s">
        <v>1636</v>
      </c>
      <c r="C29" s="592" t="s">
        <v>490</v>
      </c>
      <c r="D29" s="593" t="s">
        <v>1637</v>
      </c>
      <c r="E29" s="592" t="s">
        <v>495</v>
      </c>
      <c r="F29" s="593" t="s">
        <v>1638</v>
      </c>
      <c r="G29" s="592" t="s">
        <v>516</v>
      </c>
      <c r="H29" s="592" t="s">
        <v>578</v>
      </c>
      <c r="I29" s="592" t="s">
        <v>579</v>
      </c>
      <c r="J29" s="592" t="s">
        <v>580</v>
      </c>
      <c r="K29" s="592" t="s">
        <v>581</v>
      </c>
      <c r="L29" s="594">
        <v>37.189761712065675</v>
      </c>
      <c r="M29" s="594">
        <v>1</v>
      </c>
      <c r="N29" s="595">
        <v>37.189761712065675</v>
      </c>
    </row>
    <row r="30" spans="1:14" ht="14.4" customHeight="1" x14ac:dyDescent="0.3">
      <c r="A30" s="590" t="s">
        <v>485</v>
      </c>
      <c r="B30" s="591" t="s">
        <v>1636</v>
      </c>
      <c r="C30" s="592" t="s">
        <v>490</v>
      </c>
      <c r="D30" s="593" t="s">
        <v>1637</v>
      </c>
      <c r="E30" s="592" t="s">
        <v>495</v>
      </c>
      <c r="F30" s="593" t="s">
        <v>1638</v>
      </c>
      <c r="G30" s="592" t="s">
        <v>516</v>
      </c>
      <c r="H30" s="592" t="s">
        <v>582</v>
      </c>
      <c r="I30" s="592" t="s">
        <v>583</v>
      </c>
      <c r="J30" s="592" t="s">
        <v>584</v>
      </c>
      <c r="K30" s="592" t="s">
        <v>553</v>
      </c>
      <c r="L30" s="594">
        <v>67.336005182435358</v>
      </c>
      <c r="M30" s="594">
        <v>27</v>
      </c>
      <c r="N30" s="595">
        <v>1818.0721399257548</v>
      </c>
    </row>
    <row r="31" spans="1:14" ht="14.4" customHeight="1" x14ac:dyDescent="0.3">
      <c r="A31" s="590" t="s">
        <v>485</v>
      </c>
      <c r="B31" s="591" t="s">
        <v>1636</v>
      </c>
      <c r="C31" s="592" t="s">
        <v>490</v>
      </c>
      <c r="D31" s="593" t="s">
        <v>1637</v>
      </c>
      <c r="E31" s="592" t="s">
        <v>495</v>
      </c>
      <c r="F31" s="593" t="s">
        <v>1638</v>
      </c>
      <c r="G31" s="592" t="s">
        <v>516</v>
      </c>
      <c r="H31" s="592" t="s">
        <v>585</v>
      </c>
      <c r="I31" s="592" t="s">
        <v>586</v>
      </c>
      <c r="J31" s="592" t="s">
        <v>587</v>
      </c>
      <c r="K31" s="592" t="s">
        <v>588</v>
      </c>
      <c r="L31" s="594">
        <v>49.373333333333335</v>
      </c>
      <c r="M31" s="594">
        <v>18</v>
      </c>
      <c r="N31" s="595">
        <v>888.72</v>
      </c>
    </row>
    <row r="32" spans="1:14" ht="14.4" customHeight="1" x14ac:dyDescent="0.3">
      <c r="A32" s="590" t="s">
        <v>485</v>
      </c>
      <c r="B32" s="591" t="s">
        <v>1636</v>
      </c>
      <c r="C32" s="592" t="s">
        <v>490</v>
      </c>
      <c r="D32" s="593" t="s">
        <v>1637</v>
      </c>
      <c r="E32" s="592" t="s">
        <v>495</v>
      </c>
      <c r="F32" s="593" t="s">
        <v>1638</v>
      </c>
      <c r="G32" s="592" t="s">
        <v>516</v>
      </c>
      <c r="H32" s="592" t="s">
        <v>589</v>
      </c>
      <c r="I32" s="592" t="s">
        <v>590</v>
      </c>
      <c r="J32" s="592" t="s">
        <v>591</v>
      </c>
      <c r="K32" s="592" t="s">
        <v>592</v>
      </c>
      <c r="L32" s="594">
        <v>29.889645380800868</v>
      </c>
      <c r="M32" s="594">
        <v>3</v>
      </c>
      <c r="N32" s="595">
        <v>89.6689361424026</v>
      </c>
    </row>
    <row r="33" spans="1:14" ht="14.4" customHeight="1" x14ac:dyDescent="0.3">
      <c r="A33" s="590" t="s">
        <v>485</v>
      </c>
      <c r="B33" s="591" t="s">
        <v>1636</v>
      </c>
      <c r="C33" s="592" t="s">
        <v>490</v>
      </c>
      <c r="D33" s="593" t="s">
        <v>1637</v>
      </c>
      <c r="E33" s="592" t="s">
        <v>495</v>
      </c>
      <c r="F33" s="593" t="s">
        <v>1638</v>
      </c>
      <c r="G33" s="592" t="s">
        <v>516</v>
      </c>
      <c r="H33" s="592" t="s">
        <v>593</v>
      </c>
      <c r="I33" s="592" t="s">
        <v>594</v>
      </c>
      <c r="J33" s="592" t="s">
        <v>595</v>
      </c>
      <c r="K33" s="592" t="s">
        <v>596</v>
      </c>
      <c r="L33" s="594">
        <v>60.350196882104839</v>
      </c>
      <c r="M33" s="594">
        <v>143</v>
      </c>
      <c r="N33" s="595">
        <v>8630.0781541409924</v>
      </c>
    </row>
    <row r="34" spans="1:14" ht="14.4" customHeight="1" x14ac:dyDescent="0.3">
      <c r="A34" s="590" t="s">
        <v>485</v>
      </c>
      <c r="B34" s="591" t="s">
        <v>1636</v>
      </c>
      <c r="C34" s="592" t="s">
        <v>490</v>
      </c>
      <c r="D34" s="593" t="s">
        <v>1637</v>
      </c>
      <c r="E34" s="592" t="s">
        <v>495</v>
      </c>
      <c r="F34" s="593" t="s">
        <v>1638</v>
      </c>
      <c r="G34" s="592" t="s">
        <v>516</v>
      </c>
      <c r="H34" s="592" t="s">
        <v>597</v>
      </c>
      <c r="I34" s="592" t="s">
        <v>598</v>
      </c>
      <c r="J34" s="592" t="s">
        <v>599</v>
      </c>
      <c r="K34" s="592" t="s">
        <v>600</v>
      </c>
      <c r="L34" s="594">
        <v>111.12</v>
      </c>
      <c r="M34" s="594">
        <v>1</v>
      </c>
      <c r="N34" s="595">
        <v>111.12</v>
      </c>
    </row>
    <row r="35" spans="1:14" ht="14.4" customHeight="1" x14ac:dyDescent="0.3">
      <c r="A35" s="590" t="s">
        <v>485</v>
      </c>
      <c r="B35" s="591" t="s">
        <v>1636</v>
      </c>
      <c r="C35" s="592" t="s">
        <v>490</v>
      </c>
      <c r="D35" s="593" t="s">
        <v>1637</v>
      </c>
      <c r="E35" s="592" t="s">
        <v>495</v>
      </c>
      <c r="F35" s="593" t="s">
        <v>1638</v>
      </c>
      <c r="G35" s="592" t="s">
        <v>516</v>
      </c>
      <c r="H35" s="592" t="s">
        <v>601</v>
      </c>
      <c r="I35" s="592" t="s">
        <v>602</v>
      </c>
      <c r="J35" s="592" t="s">
        <v>603</v>
      </c>
      <c r="K35" s="592" t="s">
        <v>604</v>
      </c>
      <c r="L35" s="594">
        <v>64.36099999999999</v>
      </c>
      <c r="M35" s="594">
        <v>10</v>
      </c>
      <c r="N35" s="595">
        <v>643.6099999999999</v>
      </c>
    </row>
    <row r="36" spans="1:14" ht="14.4" customHeight="1" x14ac:dyDescent="0.3">
      <c r="A36" s="590" t="s">
        <v>485</v>
      </c>
      <c r="B36" s="591" t="s">
        <v>1636</v>
      </c>
      <c r="C36" s="592" t="s">
        <v>490</v>
      </c>
      <c r="D36" s="593" t="s">
        <v>1637</v>
      </c>
      <c r="E36" s="592" t="s">
        <v>495</v>
      </c>
      <c r="F36" s="593" t="s">
        <v>1638</v>
      </c>
      <c r="G36" s="592" t="s">
        <v>516</v>
      </c>
      <c r="H36" s="592" t="s">
        <v>605</v>
      </c>
      <c r="I36" s="592" t="s">
        <v>606</v>
      </c>
      <c r="J36" s="592" t="s">
        <v>607</v>
      </c>
      <c r="K36" s="592" t="s">
        <v>608</v>
      </c>
      <c r="L36" s="594">
        <v>260.00013886952371</v>
      </c>
      <c r="M36" s="594">
        <v>101</v>
      </c>
      <c r="N36" s="595">
        <v>26260.014025821893</v>
      </c>
    </row>
    <row r="37" spans="1:14" ht="14.4" customHeight="1" x14ac:dyDescent="0.3">
      <c r="A37" s="590" t="s">
        <v>485</v>
      </c>
      <c r="B37" s="591" t="s">
        <v>1636</v>
      </c>
      <c r="C37" s="592" t="s">
        <v>490</v>
      </c>
      <c r="D37" s="593" t="s">
        <v>1637</v>
      </c>
      <c r="E37" s="592" t="s">
        <v>495</v>
      </c>
      <c r="F37" s="593" t="s">
        <v>1638</v>
      </c>
      <c r="G37" s="592" t="s">
        <v>516</v>
      </c>
      <c r="H37" s="592" t="s">
        <v>609</v>
      </c>
      <c r="I37" s="592" t="s">
        <v>610</v>
      </c>
      <c r="J37" s="592" t="s">
        <v>611</v>
      </c>
      <c r="K37" s="592" t="s">
        <v>608</v>
      </c>
      <c r="L37" s="594">
        <v>344.38999999999987</v>
      </c>
      <c r="M37" s="594">
        <v>80</v>
      </c>
      <c r="N37" s="595">
        <v>27551.19999999999</v>
      </c>
    </row>
    <row r="38" spans="1:14" ht="14.4" customHeight="1" x14ac:dyDescent="0.3">
      <c r="A38" s="590" t="s">
        <v>485</v>
      </c>
      <c r="B38" s="591" t="s">
        <v>1636</v>
      </c>
      <c r="C38" s="592" t="s">
        <v>490</v>
      </c>
      <c r="D38" s="593" t="s">
        <v>1637</v>
      </c>
      <c r="E38" s="592" t="s">
        <v>495</v>
      </c>
      <c r="F38" s="593" t="s">
        <v>1638</v>
      </c>
      <c r="G38" s="592" t="s">
        <v>516</v>
      </c>
      <c r="H38" s="592" t="s">
        <v>612</v>
      </c>
      <c r="I38" s="592" t="s">
        <v>613</v>
      </c>
      <c r="J38" s="592" t="s">
        <v>614</v>
      </c>
      <c r="K38" s="592" t="s">
        <v>615</v>
      </c>
      <c r="L38" s="594">
        <v>151.23667979834451</v>
      </c>
      <c r="M38" s="594">
        <v>3</v>
      </c>
      <c r="N38" s="595">
        <v>453.7100393950335</v>
      </c>
    </row>
    <row r="39" spans="1:14" ht="14.4" customHeight="1" x14ac:dyDescent="0.3">
      <c r="A39" s="590" t="s">
        <v>485</v>
      </c>
      <c r="B39" s="591" t="s">
        <v>1636</v>
      </c>
      <c r="C39" s="592" t="s">
        <v>490</v>
      </c>
      <c r="D39" s="593" t="s">
        <v>1637</v>
      </c>
      <c r="E39" s="592" t="s">
        <v>495</v>
      </c>
      <c r="F39" s="593" t="s">
        <v>1638</v>
      </c>
      <c r="G39" s="592" t="s">
        <v>516</v>
      </c>
      <c r="H39" s="592" t="s">
        <v>616</v>
      </c>
      <c r="I39" s="592" t="s">
        <v>617</v>
      </c>
      <c r="J39" s="592" t="s">
        <v>618</v>
      </c>
      <c r="K39" s="592" t="s">
        <v>619</v>
      </c>
      <c r="L39" s="594">
        <v>437.00080000000003</v>
      </c>
      <c r="M39" s="594">
        <v>1</v>
      </c>
      <c r="N39" s="595">
        <v>437.00080000000003</v>
      </c>
    </row>
    <row r="40" spans="1:14" ht="14.4" customHeight="1" x14ac:dyDescent="0.3">
      <c r="A40" s="590" t="s">
        <v>485</v>
      </c>
      <c r="B40" s="591" t="s">
        <v>1636</v>
      </c>
      <c r="C40" s="592" t="s">
        <v>490</v>
      </c>
      <c r="D40" s="593" t="s">
        <v>1637</v>
      </c>
      <c r="E40" s="592" t="s">
        <v>495</v>
      </c>
      <c r="F40" s="593" t="s">
        <v>1638</v>
      </c>
      <c r="G40" s="592" t="s">
        <v>516</v>
      </c>
      <c r="H40" s="592" t="s">
        <v>620</v>
      </c>
      <c r="I40" s="592" t="s">
        <v>621</v>
      </c>
      <c r="J40" s="592" t="s">
        <v>622</v>
      </c>
      <c r="K40" s="592" t="s">
        <v>623</v>
      </c>
      <c r="L40" s="594">
        <v>142.14958397523941</v>
      </c>
      <c r="M40" s="594">
        <v>1</v>
      </c>
      <c r="N40" s="595">
        <v>142.14958397523941</v>
      </c>
    </row>
    <row r="41" spans="1:14" ht="14.4" customHeight="1" x14ac:dyDescent="0.3">
      <c r="A41" s="590" t="s">
        <v>485</v>
      </c>
      <c r="B41" s="591" t="s">
        <v>1636</v>
      </c>
      <c r="C41" s="592" t="s">
        <v>490</v>
      </c>
      <c r="D41" s="593" t="s">
        <v>1637</v>
      </c>
      <c r="E41" s="592" t="s">
        <v>495</v>
      </c>
      <c r="F41" s="593" t="s">
        <v>1638</v>
      </c>
      <c r="G41" s="592" t="s">
        <v>516</v>
      </c>
      <c r="H41" s="592" t="s">
        <v>624</v>
      </c>
      <c r="I41" s="592" t="s">
        <v>625</v>
      </c>
      <c r="J41" s="592" t="s">
        <v>626</v>
      </c>
      <c r="K41" s="592" t="s">
        <v>627</v>
      </c>
      <c r="L41" s="594">
        <v>298.98</v>
      </c>
      <c r="M41" s="594">
        <v>1</v>
      </c>
      <c r="N41" s="595">
        <v>298.98</v>
      </c>
    </row>
    <row r="42" spans="1:14" ht="14.4" customHeight="1" x14ac:dyDescent="0.3">
      <c r="A42" s="590" t="s">
        <v>485</v>
      </c>
      <c r="B42" s="591" t="s">
        <v>1636</v>
      </c>
      <c r="C42" s="592" t="s">
        <v>490</v>
      </c>
      <c r="D42" s="593" t="s">
        <v>1637</v>
      </c>
      <c r="E42" s="592" t="s">
        <v>495</v>
      </c>
      <c r="F42" s="593" t="s">
        <v>1638</v>
      </c>
      <c r="G42" s="592" t="s">
        <v>516</v>
      </c>
      <c r="H42" s="592" t="s">
        <v>628</v>
      </c>
      <c r="I42" s="592" t="s">
        <v>629</v>
      </c>
      <c r="J42" s="592" t="s">
        <v>630</v>
      </c>
      <c r="K42" s="592" t="s">
        <v>631</v>
      </c>
      <c r="L42" s="594">
        <v>194.05</v>
      </c>
      <c r="M42" s="594">
        <v>55</v>
      </c>
      <c r="N42" s="595">
        <v>10672.75</v>
      </c>
    </row>
    <row r="43" spans="1:14" ht="14.4" customHeight="1" x14ac:dyDescent="0.3">
      <c r="A43" s="590" t="s">
        <v>485</v>
      </c>
      <c r="B43" s="591" t="s">
        <v>1636</v>
      </c>
      <c r="C43" s="592" t="s">
        <v>490</v>
      </c>
      <c r="D43" s="593" t="s">
        <v>1637</v>
      </c>
      <c r="E43" s="592" t="s">
        <v>495</v>
      </c>
      <c r="F43" s="593" t="s">
        <v>1638</v>
      </c>
      <c r="G43" s="592" t="s">
        <v>516</v>
      </c>
      <c r="H43" s="592" t="s">
        <v>632</v>
      </c>
      <c r="I43" s="592" t="s">
        <v>632</v>
      </c>
      <c r="J43" s="592" t="s">
        <v>633</v>
      </c>
      <c r="K43" s="592" t="s">
        <v>634</v>
      </c>
      <c r="L43" s="594">
        <v>38.192951945373714</v>
      </c>
      <c r="M43" s="594">
        <v>270</v>
      </c>
      <c r="N43" s="595">
        <v>10312.097025250903</v>
      </c>
    </row>
    <row r="44" spans="1:14" ht="14.4" customHeight="1" x14ac:dyDescent="0.3">
      <c r="A44" s="590" t="s">
        <v>485</v>
      </c>
      <c r="B44" s="591" t="s">
        <v>1636</v>
      </c>
      <c r="C44" s="592" t="s">
        <v>490</v>
      </c>
      <c r="D44" s="593" t="s">
        <v>1637</v>
      </c>
      <c r="E44" s="592" t="s">
        <v>495</v>
      </c>
      <c r="F44" s="593" t="s">
        <v>1638</v>
      </c>
      <c r="G44" s="592" t="s">
        <v>516</v>
      </c>
      <c r="H44" s="592" t="s">
        <v>635</v>
      </c>
      <c r="I44" s="592" t="s">
        <v>636</v>
      </c>
      <c r="J44" s="592" t="s">
        <v>637</v>
      </c>
      <c r="K44" s="592" t="s">
        <v>638</v>
      </c>
      <c r="L44" s="594">
        <v>73.44</v>
      </c>
      <c r="M44" s="594">
        <v>2</v>
      </c>
      <c r="N44" s="595">
        <v>146.88</v>
      </c>
    </row>
    <row r="45" spans="1:14" ht="14.4" customHeight="1" x14ac:dyDescent="0.3">
      <c r="A45" s="590" t="s">
        <v>485</v>
      </c>
      <c r="B45" s="591" t="s">
        <v>1636</v>
      </c>
      <c r="C45" s="592" t="s">
        <v>490</v>
      </c>
      <c r="D45" s="593" t="s">
        <v>1637</v>
      </c>
      <c r="E45" s="592" t="s">
        <v>495</v>
      </c>
      <c r="F45" s="593" t="s">
        <v>1638</v>
      </c>
      <c r="G45" s="592" t="s">
        <v>516</v>
      </c>
      <c r="H45" s="592" t="s">
        <v>639</v>
      </c>
      <c r="I45" s="592" t="s">
        <v>640</v>
      </c>
      <c r="J45" s="592" t="s">
        <v>637</v>
      </c>
      <c r="K45" s="592" t="s">
        <v>641</v>
      </c>
      <c r="L45" s="594">
        <v>238.28992352020799</v>
      </c>
      <c r="M45" s="594">
        <v>2</v>
      </c>
      <c r="N45" s="595">
        <v>476.57984704041598</v>
      </c>
    </row>
    <row r="46" spans="1:14" ht="14.4" customHeight="1" x14ac:dyDescent="0.3">
      <c r="A46" s="590" t="s">
        <v>485</v>
      </c>
      <c r="B46" s="591" t="s">
        <v>1636</v>
      </c>
      <c r="C46" s="592" t="s">
        <v>490</v>
      </c>
      <c r="D46" s="593" t="s">
        <v>1637</v>
      </c>
      <c r="E46" s="592" t="s">
        <v>495</v>
      </c>
      <c r="F46" s="593" t="s">
        <v>1638</v>
      </c>
      <c r="G46" s="592" t="s">
        <v>516</v>
      </c>
      <c r="H46" s="592" t="s">
        <v>642</v>
      </c>
      <c r="I46" s="592" t="s">
        <v>643</v>
      </c>
      <c r="J46" s="592" t="s">
        <v>644</v>
      </c>
      <c r="K46" s="592" t="s">
        <v>645</v>
      </c>
      <c r="L46" s="594">
        <v>184.74</v>
      </c>
      <c r="M46" s="594">
        <v>1</v>
      </c>
      <c r="N46" s="595">
        <v>184.74</v>
      </c>
    </row>
    <row r="47" spans="1:14" ht="14.4" customHeight="1" x14ac:dyDescent="0.3">
      <c r="A47" s="590" t="s">
        <v>485</v>
      </c>
      <c r="B47" s="591" t="s">
        <v>1636</v>
      </c>
      <c r="C47" s="592" t="s">
        <v>490</v>
      </c>
      <c r="D47" s="593" t="s">
        <v>1637</v>
      </c>
      <c r="E47" s="592" t="s">
        <v>495</v>
      </c>
      <c r="F47" s="593" t="s">
        <v>1638</v>
      </c>
      <c r="G47" s="592" t="s">
        <v>516</v>
      </c>
      <c r="H47" s="592" t="s">
        <v>646</v>
      </c>
      <c r="I47" s="592" t="s">
        <v>647</v>
      </c>
      <c r="J47" s="592" t="s">
        <v>648</v>
      </c>
      <c r="K47" s="592" t="s">
        <v>649</v>
      </c>
      <c r="L47" s="594">
        <v>117.69965553208355</v>
      </c>
      <c r="M47" s="594">
        <v>1</v>
      </c>
      <c r="N47" s="595">
        <v>117.69965553208355</v>
      </c>
    </row>
    <row r="48" spans="1:14" ht="14.4" customHeight="1" x14ac:dyDescent="0.3">
      <c r="A48" s="590" t="s">
        <v>485</v>
      </c>
      <c r="B48" s="591" t="s">
        <v>1636</v>
      </c>
      <c r="C48" s="592" t="s">
        <v>490</v>
      </c>
      <c r="D48" s="593" t="s">
        <v>1637</v>
      </c>
      <c r="E48" s="592" t="s">
        <v>495</v>
      </c>
      <c r="F48" s="593" t="s">
        <v>1638</v>
      </c>
      <c r="G48" s="592" t="s">
        <v>516</v>
      </c>
      <c r="H48" s="592" t="s">
        <v>650</v>
      </c>
      <c r="I48" s="592" t="s">
        <v>651</v>
      </c>
      <c r="J48" s="592" t="s">
        <v>652</v>
      </c>
      <c r="K48" s="592" t="s">
        <v>653</v>
      </c>
      <c r="L48" s="594">
        <v>85.85</v>
      </c>
      <c r="M48" s="594">
        <v>1</v>
      </c>
      <c r="N48" s="595">
        <v>85.85</v>
      </c>
    </row>
    <row r="49" spans="1:14" ht="14.4" customHeight="1" x14ac:dyDescent="0.3">
      <c r="A49" s="590" t="s">
        <v>485</v>
      </c>
      <c r="B49" s="591" t="s">
        <v>1636</v>
      </c>
      <c r="C49" s="592" t="s">
        <v>490</v>
      </c>
      <c r="D49" s="593" t="s">
        <v>1637</v>
      </c>
      <c r="E49" s="592" t="s">
        <v>495</v>
      </c>
      <c r="F49" s="593" t="s">
        <v>1638</v>
      </c>
      <c r="G49" s="592" t="s">
        <v>516</v>
      </c>
      <c r="H49" s="592" t="s">
        <v>654</v>
      </c>
      <c r="I49" s="592" t="s">
        <v>655</v>
      </c>
      <c r="J49" s="592" t="s">
        <v>656</v>
      </c>
      <c r="K49" s="592" t="s">
        <v>657</v>
      </c>
      <c r="L49" s="594">
        <v>76.92</v>
      </c>
      <c r="M49" s="594">
        <v>1</v>
      </c>
      <c r="N49" s="595">
        <v>76.92</v>
      </c>
    </row>
    <row r="50" spans="1:14" ht="14.4" customHeight="1" x14ac:dyDescent="0.3">
      <c r="A50" s="590" t="s">
        <v>485</v>
      </c>
      <c r="B50" s="591" t="s">
        <v>1636</v>
      </c>
      <c r="C50" s="592" t="s">
        <v>490</v>
      </c>
      <c r="D50" s="593" t="s">
        <v>1637</v>
      </c>
      <c r="E50" s="592" t="s">
        <v>495</v>
      </c>
      <c r="F50" s="593" t="s">
        <v>1638</v>
      </c>
      <c r="G50" s="592" t="s">
        <v>516</v>
      </c>
      <c r="H50" s="592" t="s">
        <v>658</v>
      </c>
      <c r="I50" s="592" t="s">
        <v>659</v>
      </c>
      <c r="J50" s="592" t="s">
        <v>660</v>
      </c>
      <c r="K50" s="592" t="s">
        <v>661</v>
      </c>
      <c r="L50" s="594">
        <v>46</v>
      </c>
      <c r="M50" s="594">
        <v>2</v>
      </c>
      <c r="N50" s="595">
        <v>92</v>
      </c>
    </row>
    <row r="51" spans="1:14" ht="14.4" customHeight="1" x14ac:dyDescent="0.3">
      <c r="A51" s="590" t="s">
        <v>485</v>
      </c>
      <c r="B51" s="591" t="s">
        <v>1636</v>
      </c>
      <c r="C51" s="592" t="s">
        <v>490</v>
      </c>
      <c r="D51" s="593" t="s">
        <v>1637</v>
      </c>
      <c r="E51" s="592" t="s">
        <v>495</v>
      </c>
      <c r="F51" s="593" t="s">
        <v>1638</v>
      </c>
      <c r="G51" s="592" t="s">
        <v>516</v>
      </c>
      <c r="H51" s="592" t="s">
        <v>662</v>
      </c>
      <c r="I51" s="592" t="s">
        <v>663</v>
      </c>
      <c r="J51" s="592" t="s">
        <v>595</v>
      </c>
      <c r="K51" s="592" t="s">
        <v>664</v>
      </c>
      <c r="L51" s="594">
        <v>22.48</v>
      </c>
      <c r="M51" s="594">
        <v>3</v>
      </c>
      <c r="N51" s="595">
        <v>67.44</v>
      </c>
    </row>
    <row r="52" spans="1:14" ht="14.4" customHeight="1" x14ac:dyDescent="0.3">
      <c r="A52" s="590" t="s">
        <v>485</v>
      </c>
      <c r="B52" s="591" t="s">
        <v>1636</v>
      </c>
      <c r="C52" s="592" t="s">
        <v>490</v>
      </c>
      <c r="D52" s="593" t="s">
        <v>1637</v>
      </c>
      <c r="E52" s="592" t="s">
        <v>495</v>
      </c>
      <c r="F52" s="593" t="s">
        <v>1638</v>
      </c>
      <c r="G52" s="592" t="s">
        <v>516</v>
      </c>
      <c r="H52" s="592" t="s">
        <v>665</v>
      </c>
      <c r="I52" s="592" t="s">
        <v>666</v>
      </c>
      <c r="J52" s="592" t="s">
        <v>667</v>
      </c>
      <c r="K52" s="592" t="s">
        <v>668</v>
      </c>
      <c r="L52" s="594">
        <v>1119.6899999999998</v>
      </c>
      <c r="M52" s="594">
        <v>2</v>
      </c>
      <c r="N52" s="595">
        <v>2239.3799999999997</v>
      </c>
    </row>
    <row r="53" spans="1:14" ht="14.4" customHeight="1" x14ac:dyDescent="0.3">
      <c r="A53" s="590" t="s">
        <v>485</v>
      </c>
      <c r="B53" s="591" t="s">
        <v>1636</v>
      </c>
      <c r="C53" s="592" t="s">
        <v>490</v>
      </c>
      <c r="D53" s="593" t="s">
        <v>1637</v>
      </c>
      <c r="E53" s="592" t="s">
        <v>495</v>
      </c>
      <c r="F53" s="593" t="s">
        <v>1638</v>
      </c>
      <c r="G53" s="592" t="s">
        <v>516</v>
      </c>
      <c r="H53" s="592" t="s">
        <v>669</v>
      </c>
      <c r="I53" s="592" t="s">
        <v>670</v>
      </c>
      <c r="J53" s="592" t="s">
        <v>671</v>
      </c>
      <c r="K53" s="592" t="s">
        <v>672</v>
      </c>
      <c r="L53" s="594">
        <v>163.32999999999998</v>
      </c>
      <c r="M53" s="594">
        <v>1</v>
      </c>
      <c r="N53" s="595">
        <v>163.32999999999998</v>
      </c>
    </row>
    <row r="54" spans="1:14" ht="14.4" customHeight="1" x14ac:dyDescent="0.3">
      <c r="A54" s="590" t="s">
        <v>485</v>
      </c>
      <c r="B54" s="591" t="s">
        <v>1636</v>
      </c>
      <c r="C54" s="592" t="s">
        <v>490</v>
      </c>
      <c r="D54" s="593" t="s">
        <v>1637</v>
      </c>
      <c r="E54" s="592" t="s">
        <v>495</v>
      </c>
      <c r="F54" s="593" t="s">
        <v>1638</v>
      </c>
      <c r="G54" s="592" t="s">
        <v>516</v>
      </c>
      <c r="H54" s="592" t="s">
        <v>673</v>
      </c>
      <c r="I54" s="592" t="s">
        <v>674</v>
      </c>
      <c r="J54" s="592" t="s">
        <v>675</v>
      </c>
      <c r="K54" s="592" t="s">
        <v>676</v>
      </c>
      <c r="L54" s="594">
        <v>161.82</v>
      </c>
      <c r="M54" s="594">
        <v>4</v>
      </c>
      <c r="N54" s="595">
        <v>647.28</v>
      </c>
    </row>
    <row r="55" spans="1:14" ht="14.4" customHeight="1" x14ac:dyDescent="0.3">
      <c r="A55" s="590" t="s">
        <v>485</v>
      </c>
      <c r="B55" s="591" t="s">
        <v>1636</v>
      </c>
      <c r="C55" s="592" t="s">
        <v>490</v>
      </c>
      <c r="D55" s="593" t="s">
        <v>1637</v>
      </c>
      <c r="E55" s="592" t="s">
        <v>495</v>
      </c>
      <c r="F55" s="593" t="s">
        <v>1638</v>
      </c>
      <c r="G55" s="592" t="s">
        <v>516</v>
      </c>
      <c r="H55" s="592" t="s">
        <v>677</v>
      </c>
      <c r="I55" s="592" t="s">
        <v>678</v>
      </c>
      <c r="J55" s="592" t="s">
        <v>679</v>
      </c>
      <c r="K55" s="592" t="s">
        <v>680</v>
      </c>
      <c r="L55" s="594">
        <v>223.47</v>
      </c>
      <c r="M55" s="594">
        <v>1</v>
      </c>
      <c r="N55" s="595">
        <v>223.47</v>
      </c>
    </row>
    <row r="56" spans="1:14" ht="14.4" customHeight="1" x14ac:dyDescent="0.3">
      <c r="A56" s="590" t="s">
        <v>485</v>
      </c>
      <c r="B56" s="591" t="s">
        <v>1636</v>
      </c>
      <c r="C56" s="592" t="s">
        <v>490</v>
      </c>
      <c r="D56" s="593" t="s">
        <v>1637</v>
      </c>
      <c r="E56" s="592" t="s">
        <v>495</v>
      </c>
      <c r="F56" s="593" t="s">
        <v>1638</v>
      </c>
      <c r="G56" s="592" t="s">
        <v>516</v>
      </c>
      <c r="H56" s="592" t="s">
        <v>681</v>
      </c>
      <c r="I56" s="592" t="s">
        <v>682</v>
      </c>
      <c r="J56" s="592" t="s">
        <v>683</v>
      </c>
      <c r="K56" s="592" t="s">
        <v>684</v>
      </c>
      <c r="L56" s="594">
        <v>75.239999999999995</v>
      </c>
      <c r="M56" s="594">
        <v>2</v>
      </c>
      <c r="N56" s="595">
        <v>150.47999999999999</v>
      </c>
    </row>
    <row r="57" spans="1:14" ht="14.4" customHeight="1" x14ac:dyDescent="0.3">
      <c r="A57" s="590" t="s">
        <v>485</v>
      </c>
      <c r="B57" s="591" t="s">
        <v>1636</v>
      </c>
      <c r="C57" s="592" t="s">
        <v>490</v>
      </c>
      <c r="D57" s="593" t="s">
        <v>1637</v>
      </c>
      <c r="E57" s="592" t="s">
        <v>495</v>
      </c>
      <c r="F57" s="593" t="s">
        <v>1638</v>
      </c>
      <c r="G57" s="592" t="s">
        <v>516</v>
      </c>
      <c r="H57" s="592" t="s">
        <v>685</v>
      </c>
      <c r="I57" s="592" t="s">
        <v>686</v>
      </c>
      <c r="J57" s="592" t="s">
        <v>687</v>
      </c>
      <c r="K57" s="592" t="s">
        <v>688</v>
      </c>
      <c r="L57" s="594">
        <v>112.59500000000001</v>
      </c>
      <c r="M57" s="594">
        <v>2</v>
      </c>
      <c r="N57" s="595">
        <v>225.19000000000003</v>
      </c>
    </row>
    <row r="58" spans="1:14" ht="14.4" customHeight="1" x14ac:dyDescent="0.3">
      <c r="A58" s="590" t="s">
        <v>485</v>
      </c>
      <c r="B58" s="591" t="s">
        <v>1636</v>
      </c>
      <c r="C58" s="592" t="s">
        <v>490</v>
      </c>
      <c r="D58" s="593" t="s">
        <v>1637</v>
      </c>
      <c r="E58" s="592" t="s">
        <v>495</v>
      </c>
      <c r="F58" s="593" t="s">
        <v>1638</v>
      </c>
      <c r="G58" s="592" t="s">
        <v>516</v>
      </c>
      <c r="H58" s="592" t="s">
        <v>689</v>
      </c>
      <c r="I58" s="592" t="s">
        <v>690</v>
      </c>
      <c r="J58" s="592" t="s">
        <v>691</v>
      </c>
      <c r="K58" s="592" t="s">
        <v>692</v>
      </c>
      <c r="L58" s="594">
        <v>120.71999999999997</v>
      </c>
      <c r="M58" s="594">
        <v>1</v>
      </c>
      <c r="N58" s="595">
        <v>120.71999999999997</v>
      </c>
    </row>
    <row r="59" spans="1:14" ht="14.4" customHeight="1" x14ac:dyDescent="0.3">
      <c r="A59" s="590" t="s">
        <v>485</v>
      </c>
      <c r="B59" s="591" t="s">
        <v>1636</v>
      </c>
      <c r="C59" s="592" t="s">
        <v>490</v>
      </c>
      <c r="D59" s="593" t="s">
        <v>1637</v>
      </c>
      <c r="E59" s="592" t="s">
        <v>495</v>
      </c>
      <c r="F59" s="593" t="s">
        <v>1638</v>
      </c>
      <c r="G59" s="592" t="s">
        <v>516</v>
      </c>
      <c r="H59" s="592" t="s">
        <v>693</v>
      </c>
      <c r="I59" s="592" t="s">
        <v>694</v>
      </c>
      <c r="J59" s="592" t="s">
        <v>695</v>
      </c>
      <c r="K59" s="592" t="s">
        <v>696</v>
      </c>
      <c r="L59" s="594">
        <v>376.0291368069706</v>
      </c>
      <c r="M59" s="594">
        <v>14</v>
      </c>
      <c r="N59" s="595">
        <v>5264.4079152975883</v>
      </c>
    </row>
    <row r="60" spans="1:14" ht="14.4" customHeight="1" x14ac:dyDescent="0.3">
      <c r="A60" s="590" t="s">
        <v>485</v>
      </c>
      <c r="B60" s="591" t="s">
        <v>1636</v>
      </c>
      <c r="C60" s="592" t="s">
        <v>490</v>
      </c>
      <c r="D60" s="593" t="s">
        <v>1637</v>
      </c>
      <c r="E60" s="592" t="s">
        <v>495</v>
      </c>
      <c r="F60" s="593" t="s">
        <v>1638</v>
      </c>
      <c r="G60" s="592" t="s">
        <v>516</v>
      </c>
      <c r="H60" s="592" t="s">
        <v>697</v>
      </c>
      <c r="I60" s="592" t="s">
        <v>698</v>
      </c>
      <c r="J60" s="592" t="s">
        <v>699</v>
      </c>
      <c r="K60" s="592" t="s">
        <v>700</v>
      </c>
      <c r="L60" s="594">
        <v>66.570443244589569</v>
      </c>
      <c r="M60" s="594">
        <v>29</v>
      </c>
      <c r="N60" s="595">
        <v>1930.5428540930975</v>
      </c>
    </row>
    <row r="61" spans="1:14" ht="14.4" customHeight="1" x14ac:dyDescent="0.3">
      <c r="A61" s="590" t="s">
        <v>485</v>
      </c>
      <c r="B61" s="591" t="s">
        <v>1636</v>
      </c>
      <c r="C61" s="592" t="s">
        <v>490</v>
      </c>
      <c r="D61" s="593" t="s">
        <v>1637</v>
      </c>
      <c r="E61" s="592" t="s">
        <v>495</v>
      </c>
      <c r="F61" s="593" t="s">
        <v>1638</v>
      </c>
      <c r="G61" s="592" t="s">
        <v>516</v>
      </c>
      <c r="H61" s="592" t="s">
        <v>701</v>
      </c>
      <c r="I61" s="592" t="s">
        <v>702</v>
      </c>
      <c r="J61" s="592" t="s">
        <v>703</v>
      </c>
      <c r="K61" s="592" t="s">
        <v>704</v>
      </c>
      <c r="L61" s="594">
        <v>123.90724885403488</v>
      </c>
      <c r="M61" s="594">
        <v>11</v>
      </c>
      <c r="N61" s="595">
        <v>1362.9797373943836</v>
      </c>
    </row>
    <row r="62" spans="1:14" ht="14.4" customHeight="1" x14ac:dyDescent="0.3">
      <c r="A62" s="590" t="s">
        <v>485</v>
      </c>
      <c r="B62" s="591" t="s">
        <v>1636</v>
      </c>
      <c r="C62" s="592" t="s">
        <v>490</v>
      </c>
      <c r="D62" s="593" t="s">
        <v>1637</v>
      </c>
      <c r="E62" s="592" t="s">
        <v>495</v>
      </c>
      <c r="F62" s="593" t="s">
        <v>1638</v>
      </c>
      <c r="G62" s="592" t="s">
        <v>516</v>
      </c>
      <c r="H62" s="592" t="s">
        <v>705</v>
      </c>
      <c r="I62" s="592" t="s">
        <v>706</v>
      </c>
      <c r="J62" s="592" t="s">
        <v>707</v>
      </c>
      <c r="K62" s="592" t="s">
        <v>708</v>
      </c>
      <c r="L62" s="594">
        <v>76.680928259055577</v>
      </c>
      <c r="M62" s="594">
        <v>1</v>
      </c>
      <c r="N62" s="595">
        <v>76.680928259055577</v>
      </c>
    </row>
    <row r="63" spans="1:14" ht="14.4" customHeight="1" x14ac:dyDescent="0.3">
      <c r="A63" s="590" t="s">
        <v>485</v>
      </c>
      <c r="B63" s="591" t="s">
        <v>1636</v>
      </c>
      <c r="C63" s="592" t="s">
        <v>490</v>
      </c>
      <c r="D63" s="593" t="s">
        <v>1637</v>
      </c>
      <c r="E63" s="592" t="s">
        <v>495</v>
      </c>
      <c r="F63" s="593" t="s">
        <v>1638</v>
      </c>
      <c r="G63" s="592" t="s">
        <v>516</v>
      </c>
      <c r="H63" s="592" t="s">
        <v>709</v>
      </c>
      <c r="I63" s="592" t="s">
        <v>710</v>
      </c>
      <c r="J63" s="592" t="s">
        <v>711</v>
      </c>
      <c r="K63" s="592" t="s">
        <v>712</v>
      </c>
      <c r="L63" s="594">
        <v>45.780006751499968</v>
      </c>
      <c r="M63" s="594">
        <v>24</v>
      </c>
      <c r="N63" s="595">
        <v>1098.7201620359992</v>
      </c>
    </row>
    <row r="64" spans="1:14" ht="14.4" customHeight="1" x14ac:dyDescent="0.3">
      <c r="A64" s="590" t="s">
        <v>485</v>
      </c>
      <c r="B64" s="591" t="s">
        <v>1636</v>
      </c>
      <c r="C64" s="592" t="s">
        <v>490</v>
      </c>
      <c r="D64" s="593" t="s">
        <v>1637</v>
      </c>
      <c r="E64" s="592" t="s">
        <v>495</v>
      </c>
      <c r="F64" s="593" t="s">
        <v>1638</v>
      </c>
      <c r="G64" s="592" t="s">
        <v>516</v>
      </c>
      <c r="H64" s="592" t="s">
        <v>713</v>
      </c>
      <c r="I64" s="592" t="s">
        <v>714</v>
      </c>
      <c r="J64" s="592" t="s">
        <v>715</v>
      </c>
      <c r="K64" s="592" t="s">
        <v>716</v>
      </c>
      <c r="L64" s="594">
        <v>92.503663178732353</v>
      </c>
      <c r="M64" s="594">
        <v>16</v>
      </c>
      <c r="N64" s="595">
        <v>1480.0586108597176</v>
      </c>
    </row>
    <row r="65" spans="1:14" ht="14.4" customHeight="1" x14ac:dyDescent="0.3">
      <c r="A65" s="590" t="s">
        <v>485</v>
      </c>
      <c r="B65" s="591" t="s">
        <v>1636</v>
      </c>
      <c r="C65" s="592" t="s">
        <v>490</v>
      </c>
      <c r="D65" s="593" t="s">
        <v>1637</v>
      </c>
      <c r="E65" s="592" t="s">
        <v>495</v>
      </c>
      <c r="F65" s="593" t="s">
        <v>1638</v>
      </c>
      <c r="G65" s="592" t="s">
        <v>516</v>
      </c>
      <c r="H65" s="592" t="s">
        <v>717</v>
      </c>
      <c r="I65" s="592" t="s">
        <v>718</v>
      </c>
      <c r="J65" s="592" t="s">
        <v>719</v>
      </c>
      <c r="K65" s="592" t="s">
        <v>720</v>
      </c>
      <c r="L65" s="594">
        <v>50.218633741698319</v>
      </c>
      <c r="M65" s="594">
        <v>60</v>
      </c>
      <c r="N65" s="595">
        <v>3013.1180245018991</v>
      </c>
    </row>
    <row r="66" spans="1:14" ht="14.4" customHeight="1" x14ac:dyDescent="0.3">
      <c r="A66" s="590" t="s">
        <v>485</v>
      </c>
      <c r="B66" s="591" t="s">
        <v>1636</v>
      </c>
      <c r="C66" s="592" t="s">
        <v>490</v>
      </c>
      <c r="D66" s="593" t="s">
        <v>1637</v>
      </c>
      <c r="E66" s="592" t="s">
        <v>495</v>
      </c>
      <c r="F66" s="593" t="s">
        <v>1638</v>
      </c>
      <c r="G66" s="592" t="s">
        <v>516</v>
      </c>
      <c r="H66" s="592" t="s">
        <v>721</v>
      </c>
      <c r="I66" s="592" t="s">
        <v>721</v>
      </c>
      <c r="J66" s="592" t="s">
        <v>603</v>
      </c>
      <c r="K66" s="592" t="s">
        <v>722</v>
      </c>
      <c r="L66" s="594">
        <v>106.815</v>
      </c>
      <c r="M66" s="594">
        <v>2</v>
      </c>
      <c r="N66" s="595">
        <v>213.63</v>
      </c>
    </row>
    <row r="67" spans="1:14" ht="14.4" customHeight="1" x14ac:dyDescent="0.3">
      <c r="A67" s="590" t="s">
        <v>485</v>
      </c>
      <c r="B67" s="591" t="s">
        <v>1636</v>
      </c>
      <c r="C67" s="592" t="s">
        <v>490</v>
      </c>
      <c r="D67" s="593" t="s">
        <v>1637</v>
      </c>
      <c r="E67" s="592" t="s">
        <v>495</v>
      </c>
      <c r="F67" s="593" t="s">
        <v>1638</v>
      </c>
      <c r="G67" s="592" t="s">
        <v>516</v>
      </c>
      <c r="H67" s="592" t="s">
        <v>723</v>
      </c>
      <c r="I67" s="592" t="s">
        <v>724</v>
      </c>
      <c r="J67" s="592" t="s">
        <v>725</v>
      </c>
      <c r="K67" s="592" t="s">
        <v>726</v>
      </c>
      <c r="L67" s="594">
        <v>292.53699063637191</v>
      </c>
      <c r="M67" s="594">
        <v>75</v>
      </c>
      <c r="N67" s="595">
        <v>21940.274297727894</v>
      </c>
    </row>
    <row r="68" spans="1:14" ht="14.4" customHeight="1" x14ac:dyDescent="0.3">
      <c r="A68" s="590" t="s">
        <v>485</v>
      </c>
      <c r="B68" s="591" t="s">
        <v>1636</v>
      </c>
      <c r="C68" s="592" t="s">
        <v>490</v>
      </c>
      <c r="D68" s="593" t="s">
        <v>1637</v>
      </c>
      <c r="E68" s="592" t="s">
        <v>495</v>
      </c>
      <c r="F68" s="593" t="s">
        <v>1638</v>
      </c>
      <c r="G68" s="592" t="s">
        <v>516</v>
      </c>
      <c r="H68" s="592" t="s">
        <v>727</v>
      </c>
      <c r="I68" s="592" t="s">
        <v>728</v>
      </c>
      <c r="J68" s="592" t="s">
        <v>729</v>
      </c>
      <c r="K68" s="592" t="s">
        <v>730</v>
      </c>
      <c r="L68" s="594">
        <v>73.63</v>
      </c>
      <c r="M68" s="594">
        <v>2</v>
      </c>
      <c r="N68" s="595">
        <v>147.26</v>
      </c>
    </row>
    <row r="69" spans="1:14" ht="14.4" customHeight="1" x14ac:dyDescent="0.3">
      <c r="A69" s="590" t="s">
        <v>485</v>
      </c>
      <c r="B69" s="591" t="s">
        <v>1636</v>
      </c>
      <c r="C69" s="592" t="s">
        <v>490</v>
      </c>
      <c r="D69" s="593" t="s">
        <v>1637</v>
      </c>
      <c r="E69" s="592" t="s">
        <v>495</v>
      </c>
      <c r="F69" s="593" t="s">
        <v>1638</v>
      </c>
      <c r="G69" s="592" t="s">
        <v>516</v>
      </c>
      <c r="H69" s="592" t="s">
        <v>731</v>
      </c>
      <c r="I69" s="592" t="s">
        <v>732</v>
      </c>
      <c r="J69" s="592" t="s">
        <v>733</v>
      </c>
      <c r="K69" s="592" t="s">
        <v>734</v>
      </c>
      <c r="L69" s="594">
        <v>392.88943679533162</v>
      </c>
      <c r="M69" s="594">
        <v>14</v>
      </c>
      <c r="N69" s="595">
        <v>5500.4521151346426</v>
      </c>
    </row>
    <row r="70" spans="1:14" ht="14.4" customHeight="1" x14ac:dyDescent="0.3">
      <c r="A70" s="590" t="s">
        <v>485</v>
      </c>
      <c r="B70" s="591" t="s">
        <v>1636</v>
      </c>
      <c r="C70" s="592" t="s">
        <v>490</v>
      </c>
      <c r="D70" s="593" t="s">
        <v>1637</v>
      </c>
      <c r="E70" s="592" t="s">
        <v>495</v>
      </c>
      <c r="F70" s="593" t="s">
        <v>1638</v>
      </c>
      <c r="G70" s="592" t="s">
        <v>516</v>
      </c>
      <c r="H70" s="592" t="s">
        <v>735</v>
      </c>
      <c r="I70" s="592" t="s">
        <v>736</v>
      </c>
      <c r="J70" s="592" t="s">
        <v>737</v>
      </c>
      <c r="K70" s="592" t="s">
        <v>738</v>
      </c>
      <c r="L70" s="594">
        <v>49.496946599425065</v>
      </c>
      <c r="M70" s="594">
        <v>6</v>
      </c>
      <c r="N70" s="595">
        <v>296.98167959655041</v>
      </c>
    </row>
    <row r="71" spans="1:14" ht="14.4" customHeight="1" x14ac:dyDescent="0.3">
      <c r="A71" s="590" t="s">
        <v>485</v>
      </c>
      <c r="B71" s="591" t="s">
        <v>1636</v>
      </c>
      <c r="C71" s="592" t="s">
        <v>490</v>
      </c>
      <c r="D71" s="593" t="s">
        <v>1637</v>
      </c>
      <c r="E71" s="592" t="s">
        <v>495</v>
      </c>
      <c r="F71" s="593" t="s">
        <v>1638</v>
      </c>
      <c r="G71" s="592" t="s">
        <v>516</v>
      </c>
      <c r="H71" s="592" t="s">
        <v>739</v>
      </c>
      <c r="I71" s="592" t="s">
        <v>740</v>
      </c>
      <c r="J71" s="592" t="s">
        <v>741</v>
      </c>
      <c r="K71" s="592" t="s">
        <v>742</v>
      </c>
      <c r="L71" s="594">
        <v>55.45</v>
      </c>
      <c r="M71" s="594">
        <v>1</v>
      </c>
      <c r="N71" s="595">
        <v>55.45</v>
      </c>
    </row>
    <row r="72" spans="1:14" ht="14.4" customHeight="1" x14ac:dyDescent="0.3">
      <c r="A72" s="590" t="s">
        <v>485</v>
      </c>
      <c r="B72" s="591" t="s">
        <v>1636</v>
      </c>
      <c r="C72" s="592" t="s">
        <v>490</v>
      </c>
      <c r="D72" s="593" t="s">
        <v>1637</v>
      </c>
      <c r="E72" s="592" t="s">
        <v>495</v>
      </c>
      <c r="F72" s="593" t="s">
        <v>1638</v>
      </c>
      <c r="G72" s="592" t="s">
        <v>516</v>
      </c>
      <c r="H72" s="592" t="s">
        <v>743</v>
      </c>
      <c r="I72" s="592" t="s">
        <v>744</v>
      </c>
      <c r="J72" s="592" t="s">
        <v>745</v>
      </c>
      <c r="K72" s="592" t="s">
        <v>746</v>
      </c>
      <c r="L72" s="594">
        <v>227.16578161148831</v>
      </c>
      <c r="M72" s="594">
        <v>87</v>
      </c>
      <c r="N72" s="595">
        <v>19763.423000199484</v>
      </c>
    </row>
    <row r="73" spans="1:14" ht="14.4" customHeight="1" x14ac:dyDescent="0.3">
      <c r="A73" s="590" t="s">
        <v>485</v>
      </c>
      <c r="B73" s="591" t="s">
        <v>1636</v>
      </c>
      <c r="C73" s="592" t="s">
        <v>490</v>
      </c>
      <c r="D73" s="593" t="s">
        <v>1637</v>
      </c>
      <c r="E73" s="592" t="s">
        <v>495</v>
      </c>
      <c r="F73" s="593" t="s">
        <v>1638</v>
      </c>
      <c r="G73" s="592" t="s">
        <v>516</v>
      </c>
      <c r="H73" s="592" t="s">
        <v>747</v>
      </c>
      <c r="I73" s="592" t="s">
        <v>211</v>
      </c>
      <c r="J73" s="592" t="s">
        <v>748</v>
      </c>
      <c r="K73" s="592"/>
      <c r="L73" s="594">
        <v>97.320307239895698</v>
      </c>
      <c r="M73" s="594">
        <v>52</v>
      </c>
      <c r="N73" s="595">
        <v>5060.6559764745762</v>
      </c>
    </row>
    <row r="74" spans="1:14" ht="14.4" customHeight="1" x14ac:dyDescent="0.3">
      <c r="A74" s="590" t="s">
        <v>485</v>
      </c>
      <c r="B74" s="591" t="s">
        <v>1636</v>
      </c>
      <c r="C74" s="592" t="s">
        <v>490</v>
      </c>
      <c r="D74" s="593" t="s">
        <v>1637</v>
      </c>
      <c r="E74" s="592" t="s">
        <v>495</v>
      </c>
      <c r="F74" s="593" t="s">
        <v>1638</v>
      </c>
      <c r="G74" s="592" t="s">
        <v>516</v>
      </c>
      <c r="H74" s="592" t="s">
        <v>749</v>
      </c>
      <c r="I74" s="592" t="s">
        <v>211</v>
      </c>
      <c r="J74" s="592" t="s">
        <v>750</v>
      </c>
      <c r="K74" s="592"/>
      <c r="L74" s="594">
        <v>193.4977427177763</v>
      </c>
      <c r="M74" s="594">
        <v>6</v>
      </c>
      <c r="N74" s="595">
        <v>1160.9864563066578</v>
      </c>
    </row>
    <row r="75" spans="1:14" ht="14.4" customHeight="1" x14ac:dyDescent="0.3">
      <c r="A75" s="590" t="s">
        <v>485</v>
      </c>
      <c r="B75" s="591" t="s">
        <v>1636</v>
      </c>
      <c r="C75" s="592" t="s">
        <v>490</v>
      </c>
      <c r="D75" s="593" t="s">
        <v>1637</v>
      </c>
      <c r="E75" s="592" t="s">
        <v>495</v>
      </c>
      <c r="F75" s="593" t="s">
        <v>1638</v>
      </c>
      <c r="G75" s="592" t="s">
        <v>516</v>
      </c>
      <c r="H75" s="592" t="s">
        <v>751</v>
      </c>
      <c r="I75" s="592" t="s">
        <v>211</v>
      </c>
      <c r="J75" s="592" t="s">
        <v>752</v>
      </c>
      <c r="K75" s="592"/>
      <c r="L75" s="594">
        <v>144.6404889288174</v>
      </c>
      <c r="M75" s="594">
        <v>7</v>
      </c>
      <c r="N75" s="595">
        <v>1012.4834225017217</v>
      </c>
    </row>
    <row r="76" spans="1:14" ht="14.4" customHeight="1" x14ac:dyDescent="0.3">
      <c r="A76" s="590" t="s">
        <v>485</v>
      </c>
      <c r="B76" s="591" t="s">
        <v>1636</v>
      </c>
      <c r="C76" s="592" t="s">
        <v>490</v>
      </c>
      <c r="D76" s="593" t="s">
        <v>1637</v>
      </c>
      <c r="E76" s="592" t="s">
        <v>495</v>
      </c>
      <c r="F76" s="593" t="s">
        <v>1638</v>
      </c>
      <c r="G76" s="592" t="s">
        <v>516</v>
      </c>
      <c r="H76" s="592" t="s">
        <v>753</v>
      </c>
      <c r="I76" s="592" t="s">
        <v>211</v>
      </c>
      <c r="J76" s="592" t="s">
        <v>754</v>
      </c>
      <c r="K76" s="592"/>
      <c r="L76" s="594">
        <v>99.258156251063411</v>
      </c>
      <c r="M76" s="594">
        <v>45</v>
      </c>
      <c r="N76" s="595">
        <v>4466.6170312978538</v>
      </c>
    </row>
    <row r="77" spans="1:14" ht="14.4" customHeight="1" x14ac:dyDescent="0.3">
      <c r="A77" s="590" t="s">
        <v>485</v>
      </c>
      <c r="B77" s="591" t="s">
        <v>1636</v>
      </c>
      <c r="C77" s="592" t="s">
        <v>490</v>
      </c>
      <c r="D77" s="593" t="s">
        <v>1637</v>
      </c>
      <c r="E77" s="592" t="s">
        <v>495</v>
      </c>
      <c r="F77" s="593" t="s">
        <v>1638</v>
      </c>
      <c r="G77" s="592" t="s">
        <v>516</v>
      </c>
      <c r="H77" s="592" t="s">
        <v>755</v>
      </c>
      <c r="I77" s="592" t="s">
        <v>211</v>
      </c>
      <c r="J77" s="592" t="s">
        <v>756</v>
      </c>
      <c r="K77" s="592"/>
      <c r="L77" s="594">
        <v>39.76</v>
      </c>
      <c r="M77" s="594">
        <v>2</v>
      </c>
      <c r="N77" s="595">
        <v>79.52</v>
      </c>
    </row>
    <row r="78" spans="1:14" ht="14.4" customHeight="1" x14ac:dyDescent="0.3">
      <c r="A78" s="590" t="s">
        <v>485</v>
      </c>
      <c r="B78" s="591" t="s">
        <v>1636</v>
      </c>
      <c r="C78" s="592" t="s">
        <v>490</v>
      </c>
      <c r="D78" s="593" t="s">
        <v>1637</v>
      </c>
      <c r="E78" s="592" t="s">
        <v>495</v>
      </c>
      <c r="F78" s="593" t="s">
        <v>1638</v>
      </c>
      <c r="G78" s="592" t="s">
        <v>516</v>
      </c>
      <c r="H78" s="592" t="s">
        <v>757</v>
      </c>
      <c r="I78" s="592" t="s">
        <v>758</v>
      </c>
      <c r="J78" s="592" t="s">
        <v>759</v>
      </c>
      <c r="K78" s="592" t="s">
        <v>760</v>
      </c>
      <c r="L78" s="594">
        <v>70.44421049278229</v>
      </c>
      <c r="M78" s="594">
        <v>22</v>
      </c>
      <c r="N78" s="595">
        <v>1549.7726308412105</v>
      </c>
    </row>
    <row r="79" spans="1:14" ht="14.4" customHeight="1" x14ac:dyDescent="0.3">
      <c r="A79" s="590" t="s">
        <v>485</v>
      </c>
      <c r="B79" s="591" t="s">
        <v>1636</v>
      </c>
      <c r="C79" s="592" t="s">
        <v>490</v>
      </c>
      <c r="D79" s="593" t="s">
        <v>1637</v>
      </c>
      <c r="E79" s="592" t="s">
        <v>495</v>
      </c>
      <c r="F79" s="593" t="s">
        <v>1638</v>
      </c>
      <c r="G79" s="592" t="s">
        <v>516</v>
      </c>
      <c r="H79" s="592" t="s">
        <v>761</v>
      </c>
      <c r="I79" s="592" t="s">
        <v>211</v>
      </c>
      <c r="J79" s="592" t="s">
        <v>762</v>
      </c>
      <c r="K79" s="592" t="s">
        <v>763</v>
      </c>
      <c r="L79" s="594">
        <v>1440.12</v>
      </c>
      <c r="M79" s="594">
        <v>3</v>
      </c>
      <c r="N79" s="595">
        <v>4320.3599999999997</v>
      </c>
    </row>
    <row r="80" spans="1:14" ht="14.4" customHeight="1" x14ac:dyDescent="0.3">
      <c r="A80" s="590" t="s">
        <v>485</v>
      </c>
      <c r="B80" s="591" t="s">
        <v>1636</v>
      </c>
      <c r="C80" s="592" t="s">
        <v>490</v>
      </c>
      <c r="D80" s="593" t="s">
        <v>1637</v>
      </c>
      <c r="E80" s="592" t="s">
        <v>495</v>
      </c>
      <c r="F80" s="593" t="s">
        <v>1638</v>
      </c>
      <c r="G80" s="592" t="s">
        <v>516</v>
      </c>
      <c r="H80" s="592" t="s">
        <v>764</v>
      </c>
      <c r="I80" s="592" t="s">
        <v>765</v>
      </c>
      <c r="J80" s="592" t="s">
        <v>766</v>
      </c>
      <c r="K80" s="592" t="s">
        <v>767</v>
      </c>
      <c r="L80" s="594">
        <v>64.528509841781386</v>
      </c>
      <c r="M80" s="594">
        <v>4</v>
      </c>
      <c r="N80" s="595">
        <v>258.11403936712554</v>
      </c>
    </row>
    <row r="81" spans="1:14" ht="14.4" customHeight="1" x14ac:dyDescent="0.3">
      <c r="A81" s="590" t="s">
        <v>485</v>
      </c>
      <c r="B81" s="591" t="s">
        <v>1636</v>
      </c>
      <c r="C81" s="592" t="s">
        <v>490</v>
      </c>
      <c r="D81" s="593" t="s">
        <v>1637</v>
      </c>
      <c r="E81" s="592" t="s">
        <v>495</v>
      </c>
      <c r="F81" s="593" t="s">
        <v>1638</v>
      </c>
      <c r="G81" s="592" t="s">
        <v>516</v>
      </c>
      <c r="H81" s="592" t="s">
        <v>768</v>
      </c>
      <c r="I81" s="592" t="s">
        <v>769</v>
      </c>
      <c r="J81" s="592" t="s">
        <v>770</v>
      </c>
      <c r="K81" s="592" t="s">
        <v>771</v>
      </c>
      <c r="L81" s="594">
        <v>37.56</v>
      </c>
      <c r="M81" s="594">
        <v>2</v>
      </c>
      <c r="N81" s="595">
        <v>75.12</v>
      </c>
    </row>
    <row r="82" spans="1:14" ht="14.4" customHeight="1" x14ac:dyDescent="0.3">
      <c r="A82" s="590" t="s">
        <v>485</v>
      </c>
      <c r="B82" s="591" t="s">
        <v>1636</v>
      </c>
      <c r="C82" s="592" t="s">
        <v>490</v>
      </c>
      <c r="D82" s="593" t="s">
        <v>1637</v>
      </c>
      <c r="E82" s="592" t="s">
        <v>495</v>
      </c>
      <c r="F82" s="593" t="s">
        <v>1638</v>
      </c>
      <c r="G82" s="592" t="s">
        <v>516</v>
      </c>
      <c r="H82" s="592" t="s">
        <v>772</v>
      </c>
      <c r="I82" s="592" t="s">
        <v>773</v>
      </c>
      <c r="J82" s="592" t="s">
        <v>774</v>
      </c>
      <c r="K82" s="592" t="s">
        <v>775</v>
      </c>
      <c r="L82" s="594">
        <v>42.441550581722339</v>
      </c>
      <c r="M82" s="594">
        <v>215</v>
      </c>
      <c r="N82" s="595">
        <v>9124.9333750703026</v>
      </c>
    </row>
    <row r="83" spans="1:14" ht="14.4" customHeight="1" x14ac:dyDescent="0.3">
      <c r="A83" s="590" t="s">
        <v>485</v>
      </c>
      <c r="B83" s="591" t="s">
        <v>1636</v>
      </c>
      <c r="C83" s="592" t="s">
        <v>490</v>
      </c>
      <c r="D83" s="593" t="s">
        <v>1637</v>
      </c>
      <c r="E83" s="592" t="s">
        <v>495</v>
      </c>
      <c r="F83" s="593" t="s">
        <v>1638</v>
      </c>
      <c r="G83" s="592" t="s">
        <v>516</v>
      </c>
      <c r="H83" s="592" t="s">
        <v>776</v>
      </c>
      <c r="I83" s="592" t="s">
        <v>777</v>
      </c>
      <c r="J83" s="592" t="s">
        <v>778</v>
      </c>
      <c r="K83" s="592" t="s">
        <v>779</v>
      </c>
      <c r="L83" s="594">
        <v>81.864999999999995</v>
      </c>
      <c r="M83" s="594">
        <v>4</v>
      </c>
      <c r="N83" s="595">
        <v>327.45999999999998</v>
      </c>
    </row>
    <row r="84" spans="1:14" ht="14.4" customHeight="1" x14ac:dyDescent="0.3">
      <c r="A84" s="590" t="s">
        <v>485</v>
      </c>
      <c r="B84" s="591" t="s">
        <v>1636</v>
      </c>
      <c r="C84" s="592" t="s">
        <v>490</v>
      </c>
      <c r="D84" s="593" t="s">
        <v>1637</v>
      </c>
      <c r="E84" s="592" t="s">
        <v>495</v>
      </c>
      <c r="F84" s="593" t="s">
        <v>1638</v>
      </c>
      <c r="G84" s="592" t="s">
        <v>516</v>
      </c>
      <c r="H84" s="592" t="s">
        <v>780</v>
      </c>
      <c r="I84" s="592" t="s">
        <v>781</v>
      </c>
      <c r="J84" s="592" t="s">
        <v>778</v>
      </c>
      <c r="K84" s="592" t="s">
        <v>782</v>
      </c>
      <c r="L84" s="594">
        <v>29.52</v>
      </c>
      <c r="M84" s="594">
        <v>2</v>
      </c>
      <c r="N84" s="595">
        <v>59.04</v>
      </c>
    </row>
    <row r="85" spans="1:14" ht="14.4" customHeight="1" x14ac:dyDescent="0.3">
      <c r="A85" s="590" t="s">
        <v>485</v>
      </c>
      <c r="B85" s="591" t="s">
        <v>1636</v>
      </c>
      <c r="C85" s="592" t="s">
        <v>490</v>
      </c>
      <c r="D85" s="593" t="s">
        <v>1637</v>
      </c>
      <c r="E85" s="592" t="s">
        <v>495</v>
      </c>
      <c r="F85" s="593" t="s">
        <v>1638</v>
      </c>
      <c r="G85" s="592" t="s">
        <v>516</v>
      </c>
      <c r="H85" s="592" t="s">
        <v>783</v>
      </c>
      <c r="I85" s="592" t="s">
        <v>784</v>
      </c>
      <c r="J85" s="592" t="s">
        <v>785</v>
      </c>
      <c r="K85" s="592" t="s">
        <v>786</v>
      </c>
      <c r="L85" s="594">
        <v>26.77</v>
      </c>
      <c r="M85" s="594">
        <v>1</v>
      </c>
      <c r="N85" s="595">
        <v>26.77</v>
      </c>
    </row>
    <row r="86" spans="1:14" ht="14.4" customHeight="1" x14ac:dyDescent="0.3">
      <c r="A86" s="590" t="s">
        <v>485</v>
      </c>
      <c r="B86" s="591" t="s">
        <v>1636</v>
      </c>
      <c r="C86" s="592" t="s">
        <v>490</v>
      </c>
      <c r="D86" s="593" t="s">
        <v>1637</v>
      </c>
      <c r="E86" s="592" t="s">
        <v>495</v>
      </c>
      <c r="F86" s="593" t="s">
        <v>1638</v>
      </c>
      <c r="G86" s="592" t="s">
        <v>516</v>
      </c>
      <c r="H86" s="592" t="s">
        <v>787</v>
      </c>
      <c r="I86" s="592" t="s">
        <v>788</v>
      </c>
      <c r="J86" s="592" t="s">
        <v>789</v>
      </c>
      <c r="K86" s="592" t="s">
        <v>790</v>
      </c>
      <c r="L86" s="594">
        <v>151.12</v>
      </c>
      <c r="M86" s="594">
        <v>1</v>
      </c>
      <c r="N86" s="595">
        <v>151.12</v>
      </c>
    </row>
    <row r="87" spans="1:14" ht="14.4" customHeight="1" x14ac:dyDescent="0.3">
      <c r="A87" s="590" t="s">
        <v>485</v>
      </c>
      <c r="B87" s="591" t="s">
        <v>1636</v>
      </c>
      <c r="C87" s="592" t="s">
        <v>490</v>
      </c>
      <c r="D87" s="593" t="s">
        <v>1637</v>
      </c>
      <c r="E87" s="592" t="s">
        <v>495</v>
      </c>
      <c r="F87" s="593" t="s">
        <v>1638</v>
      </c>
      <c r="G87" s="592" t="s">
        <v>516</v>
      </c>
      <c r="H87" s="592" t="s">
        <v>791</v>
      </c>
      <c r="I87" s="592" t="s">
        <v>792</v>
      </c>
      <c r="J87" s="592" t="s">
        <v>793</v>
      </c>
      <c r="K87" s="592" t="s">
        <v>794</v>
      </c>
      <c r="L87" s="594">
        <v>64.540000000000006</v>
      </c>
      <c r="M87" s="594">
        <v>1</v>
      </c>
      <c r="N87" s="595">
        <v>64.540000000000006</v>
      </c>
    </row>
    <row r="88" spans="1:14" ht="14.4" customHeight="1" x14ac:dyDescent="0.3">
      <c r="A88" s="590" t="s">
        <v>485</v>
      </c>
      <c r="B88" s="591" t="s">
        <v>1636</v>
      </c>
      <c r="C88" s="592" t="s">
        <v>490</v>
      </c>
      <c r="D88" s="593" t="s">
        <v>1637</v>
      </c>
      <c r="E88" s="592" t="s">
        <v>495</v>
      </c>
      <c r="F88" s="593" t="s">
        <v>1638</v>
      </c>
      <c r="G88" s="592" t="s">
        <v>516</v>
      </c>
      <c r="H88" s="592" t="s">
        <v>795</v>
      </c>
      <c r="I88" s="592" t="s">
        <v>796</v>
      </c>
      <c r="J88" s="592" t="s">
        <v>797</v>
      </c>
      <c r="K88" s="592" t="s">
        <v>798</v>
      </c>
      <c r="L88" s="594">
        <v>28.219999999999988</v>
      </c>
      <c r="M88" s="594">
        <v>2</v>
      </c>
      <c r="N88" s="595">
        <v>56.439999999999976</v>
      </c>
    </row>
    <row r="89" spans="1:14" ht="14.4" customHeight="1" x14ac:dyDescent="0.3">
      <c r="A89" s="590" t="s">
        <v>485</v>
      </c>
      <c r="B89" s="591" t="s">
        <v>1636</v>
      </c>
      <c r="C89" s="592" t="s">
        <v>490</v>
      </c>
      <c r="D89" s="593" t="s">
        <v>1637</v>
      </c>
      <c r="E89" s="592" t="s">
        <v>495</v>
      </c>
      <c r="F89" s="593" t="s">
        <v>1638</v>
      </c>
      <c r="G89" s="592" t="s">
        <v>516</v>
      </c>
      <c r="H89" s="592" t="s">
        <v>799</v>
      </c>
      <c r="I89" s="592" t="s">
        <v>800</v>
      </c>
      <c r="J89" s="592" t="s">
        <v>801</v>
      </c>
      <c r="K89" s="592" t="s">
        <v>802</v>
      </c>
      <c r="L89" s="594">
        <v>235.12999999999997</v>
      </c>
      <c r="M89" s="594">
        <v>1</v>
      </c>
      <c r="N89" s="595">
        <v>235.12999999999997</v>
      </c>
    </row>
    <row r="90" spans="1:14" ht="14.4" customHeight="1" x14ac:dyDescent="0.3">
      <c r="A90" s="590" t="s">
        <v>485</v>
      </c>
      <c r="B90" s="591" t="s">
        <v>1636</v>
      </c>
      <c r="C90" s="592" t="s">
        <v>490</v>
      </c>
      <c r="D90" s="593" t="s">
        <v>1637</v>
      </c>
      <c r="E90" s="592" t="s">
        <v>495</v>
      </c>
      <c r="F90" s="593" t="s">
        <v>1638</v>
      </c>
      <c r="G90" s="592" t="s">
        <v>516</v>
      </c>
      <c r="H90" s="592" t="s">
        <v>803</v>
      </c>
      <c r="I90" s="592" t="s">
        <v>804</v>
      </c>
      <c r="J90" s="592" t="s">
        <v>805</v>
      </c>
      <c r="K90" s="592" t="s">
        <v>645</v>
      </c>
      <c r="L90" s="594">
        <v>274.08999999999997</v>
      </c>
      <c r="M90" s="594">
        <v>1</v>
      </c>
      <c r="N90" s="595">
        <v>274.08999999999997</v>
      </c>
    </row>
    <row r="91" spans="1:14" ht="14.4" customHeight="1" x14ac:dyDescent="0.3">
      <c r="A91" s="590" t="s">
        <v>485</v>
      </c>
      <c r="B91" s="591" t="s">
        <v>1636</v>
      </c>
      <c r="C91" s="592" t="s">
        <v>490</v>
      </c>
      <c r="D91" s="593" t="s">
        <v>1637</v>
      </c>
      <c r="E91" s="592" t="s">
        <v>495</v>
      </c>
      <c r="F91" s="593" t="s">
        <v>1638</v>
      </c>
      <c r="G91" s="592" t="s">
        <v>516</v>
      </c>
      <c r="H91" s="592" t="s">
        <v>806</v>
      </c>
      <c r="I91" s="592" t="s">
        <v>807</v>
      </c>
      <c r="J91" s="592" t="s">
        <v>808</v>
      </c>
      <c r="K91" s="592"/>
      <c r="L91" s="594">
        <v>527.85008231205416</v>
      </c>
      <c r="M91" s="594">
        <v>7</v>
      </c>
      <c r="N91" s="595">
        <v>3694.9505761843789</v>
      </c>
    </row>
    <row r="92" spans="1:14" ht="14.4" customHeight="1" x14ac:dyDescent="0.3">
      <c r="A92" s="590" t="s">
        <v>485</v>
      </c>
      <c r="B92" s="591" t="s">
        <v>1636</v>
      </c>
      <c r="C92" s="592" t="s">
        <v>490</v>
      </c>
      <c r="D92" s="593" t="s">
        <v>1637</v>
      </c>
      <c r="E92" s="592" t="s">
        <v>495</v>
      </c>
      <c r="F92" s="593" t="s">
        <v>1638</v>
      </c>
      <c r="G92" s="592" t="s">
        <v>516</v>
      </c>
      <c r="H92" s="592" t="s">
        <v>809</v>
      </c>
      <c r="I92" s="592" t="s">
        <v>211</v>
      </c>
      <c r="J92" s="592" t="s">
        <v>810</v>
      </c>
      <c r="K92" s="592"/>
      <c r="L92" s="594">
        <v>191.76055862166288</v>
      </c>
      <c r="M92" s="594">
        <v>53</v>
      </c>
      <c r="N92" s="595">
        <v>10163.309606948133</v>
      </c>
    </row>
    <row r="93" spans="1:14" ht="14.4" customHeight="1" x14ac:dyDescent="0.3">
      <c r="A93" s="590" t="s">
        <v>485</v>
      </c>
      <c r="B93" s="591" t="s">
        <v>1636</v>
      </c>
      <c r="C93" s="592" t="s">
        <v>490</v>
      </c>
      <c r="D93" s="593" t="s">
        <v>1637</v>
      </c>
      <c r="E93" s="592" t="s">
        <v>495</v>
      </c>
      <c r="F93" s="593" t="s">
        <v>1638</v>
      </c>
      <c r="G93" s="592" t="s">
        <v>516</v>
      </c>
      <c r="H93" s="592" t="s">
        <v>811</v>
      </c>
      <c r="I93" s="592" t="s">
        <v>211</v>
      </c>
      <c r="J93" s="592" t="s">
        <v>812</v>
      </c>
      <c r="K93" s="592"/>
      <c r="L93" s="594">
        <v>160.23090909090908</v>
      </c>
      <c r="M93" s="594">
        <v>11</v>
      </c>
      <c r="N93" s="595">
        <v>1762.5399999999997</v>
      </c>
    </row>
    <row r="94" spans="1:14" ht="14.4" customHeight="1" x14ac:dyDescent="0.3">
      <c r="A94" s="590" t="s">
        <v>485</v>
      </c>
      <c r="B94" s="591" t="s">
        <v>1636</v>
      </c>
      <c r="C94" s="592" t="s">
        <v>490</v>
      </c>
      <c r="D94" s="593" t="s">
        <v>1637</v>
      </c>
      <c r="E94" s="592" t="s">
        <v>495</v>
      </c>
      <c r="F94" s="593" t="s">
        <v>1638</v>
      </c>
      <c r="G94" s="592" t="s">
        <v>516</v>
      </c>
      <c r="H94" s="592" t="s">
        <v>813</v>
      </c>
      <c r="I94" s="592" t="s">
        <v>211</v>
      </c>
      <c r="J94" s="592" t="s">
        <v>814</v>
      </c>
      <c r="K94" s="592"/>
      <c r="L94" s="594">
        <v>97.740000000000009</v>
      </c>
      <c r="M94" s="594">
        <v>11</v>
      </c>
      <c r="N94" s="595">
        <v>1075.1400000000001</v>
      </c>
    </row>
    <row r="95" spans="1:14" ht="14.4" customHeight="1" x14ac:dyDescent="0.3">
      <c r="A95" s="590" t="s">
        <v>485</v>
      </c>
      <c r="B95" s="591" t="s">
        <v>1636</v>
      </c>
      <c r="C95" s="592" t="s">
        <v>490</v>
      </c>
      <c r="D95" s="593" t="s">
        <v>1637</v>
      </c>
      <c r="E95" s="592" t="s">
        <v>495</v>
      </c>
      <c r="F95" s="593" t="s">
        <v>1638</v>
      </c>
      <c r="G95" s="592" t="s">
        <v>516</v>
      </c>
      <c r="H95" s="592" t="s">
        <v>815</v>
      </c>
      <c r="I95" s="592" t="s">
        <v>815</v>
      </c>
      <c r="J95" s="592" t="s">
        <v>518</v>
      </c>
      <c r="K95" s="592" t="s">
        <v>816</v>
      </c>
      <c r="L95" s="594">
        <v>201.25</v>
      </c>
      <c r="M95" s="594">
        <v>22</v>
      </c>
      <c r="N95" s="595">
        <v>4427.5</v>
      </c>
    </row>
    <row r="96" spans="1:14" ht="14.4" customHeight="1" x14ac:dyDescent="0.3">
      <c r="A96" s="590" t="s">
        <v>485</v>
      </c>
      <c r="B96" s="591" t="s">
        <v>1636</v>
      </c>
      <c r="C96" s="592" t="s">
        <v>490</v>
      </c>
      <c r="D96" s="593" t="s">
        <v>1637</v>
      </c>
      <c r="E96" s="592" t="s">
        <v>495</v>
      </c>
      <c r="F96" s="593" t="s">
        <v>1638</v>
      </c>
      <c r="G96" s="592" t="s">
        <v>516</v>
      </c>
      <c r="H96" s="592" t="s">
        <v>817</v>
      </c>
      <c r="I96" s="592" t="s">
        <v>818</v>
      </c>
      <c r="J96" s="592" t="s">
        <v>819</v>
      </c>
      <c r="K96" s="592" t="s">
        <v>820</v>
      </c>
      <c r="L96" s="594">
        <v>44.320139251028195</v>
      </c>
      <c r="M96" s="594">
        <v>56</v>
      </c>
      <c r="N96" s="595">
        <v>2481.9277980575789</v>
      </c>
    </row>
    <row r="97" spans="1:14" ht="14.4" customHeight="1" x14ac:dyDescent="0.3">
      <c r="A97" s="590" t="s">
        <v>485</v>
      </c>
      <c r="B97" s="591" t="s">
        <v>1636</v>
      </c>
      <c r="C97" s="592" t="s">
        <v>490</v>
      </c>
      <c r="D97" s="593" t="s">
        <v>1637</v>
      </c>
      <c r="E97" s="592" t="s">
        <v>495</v>
      </c>
      <c r="F97" s="593" t="s">
        <v>1638</v>
      </c>
      <c r="G97" s="592" t="s">
        <v>516</v>
      </c>
      <c r="H97" s="592" t="s">
        <v>821</v>
      </c>
      <c r="I97" s="592" t="s">
        <v>822</v>
      </c>
      <c r="J97" s="592" t="s">
        <v>823</v>
      </c>
      <c r="K97" s="592" t="s">
        <v>538</v>
      </c>
      <c r="L97" s="594">
        <v>60.88</v>
      </c>
      <c r="M97" s="594">
        <v>3</v>
      </c>
      <c r="N97" s="595">
        <v>182.64000000000001</v>
      </c>
    </row>
    <row r="98" spans="1:14" ht="14.4" customHeight="1" x14ac:dyDescent="0.3">
      <c r="A98" s="590" t="s">
        <v>485</v>
      </c>
      <c r="B98" s="591" t="s">
        <v>1636</v>
      </c>
      <c r="C98" s="592" t="s">
        <v>490</v>
      </c>
      <c r="D98" s="593" t="s">
        <v>1637</v>
      </c>
      <c r="E98" s="592" t="s">
        <v>495</v>
      </c>
      <c r="F98" s="593" t="s">
        <v>1638</v>
      </c>
      <c r="G98" s="592" t="s">
        <v>516</v>
      </c>
      <c r="H98" s="592" t="s">
        <v>824</v>
      </c>
      <c r="I98" s="592" t="s">
        <v>825</v>
      </c>
      <c r="J98" s="592" t="s">
        <v>826</v>
      </c>
      <c r="K98" s="592" t="s">
        <v>534</v>
      </c>
      <c r="L98" s="594">
        <v>121.91390091438903</v>
      </c>
      <c r="M98" s="594">
        <v>1000</v>
      </c>
      <c r="N98" s="595">
        <v>121913.90091438903</v>
      </c>
    </row>
    <row r="99" spans="1:14" ht="14.4" customHeight="1" x14ac:dyDescent="0.3">
      <c r="A99" s="590" t="s">
        <v>485</v>
      </c>
      <c r="B99" s="591" t="s">
        <v>1636</v>
      </c>
      <c r="C99" s="592" t="s">
        <v>490</v>
      </c>
      <c r="D99" s="593" t="s">
        <v>1637</v>
      </c>
      <c r="E99" s="592" t="s">
        <v>495</v>
      </c>
      <c r="F99" s="593" t="s">
        <v>1638</v>
      </c>
      <c r="G99" s="592" t="s">
        <v>516</v>
      </c>
      <c r="H99" s="592" t="s">
        <v>827</v>
      </c>
      <c r="I99" s="592" t="s">
        <v>828</v>
      </c>
      <c r="J99" s="592" t="s">
        <v>829</v>
      </c>
      <c r="K99" s="592" t="s">
        <v>830</v>
      </c>
      <c r="L99" s="594">
        <v>62.012558437969133</v>
      </c>
      <c r="M99" s="594">
        <v>93</v>
      </c>
      <c r="N99" s="595">
        <v>5767.1679347311292</v>
      </c>
    </row>
    <row r="100" spans="1:14" ht="14.4" customHeight="1" x14ac:dyDescent="0.3">
      <c r="A100" s="590" t="s">
        <v>485</v>
      </c>
      <c r="B100" s="591" t="s">
        <v>1636</v>
      </c>
      <c r="C100" s="592" t="s">
        <v>490</v>
      </c>
      <c r="D100" s="593" t="s">
        <v>1637</v>
      </c>
      <c r="E100" s="592" t="s">
        <v>495</v>
      </c>
      <c r="F100" s="593" t="s">
        <v>1638</v>
      </c>
      <c r="G100" s="592" t="s">
        <v>516</v>
      </c>
      <c r="H100" s="592" t="s">
        <v>831</v>
      </c>
      <c r="I100" s="592" t="s">
        <v>832</v>
      </c>
      <c r="J100" s="592" t="s">
        <v>833</v>
      </c>
      <c r="K100" s="592" t="s">
        <v>834</v>
      </c>
      <c r="L100" s="594">
        <v>1665.2</v>
      </c>
      <c r="M100" s="594">
        <v>24</v>
      </c>
      <c r="N100" s="595">
        <v>39964.800000000003</v>
      </c>
    </row>
    <row r="101" spans="1:14" ht="14.4" customHeight="1" x14ac:dyDescent="0.3">
      <c r="A101" s="590" t="s">
        <v>485</v>
      </c>
      <c r="B101" s="591" t="s">
        <v>1636</v>
      </c>
      <c r="C101" s="592" t="s">
        <v>490</v>
      </c>
      <c r="D101" s="593" t="s">
        <v>1637</v>
      </c>
      <c r="E101" s="592" t="s">
        <v>495</v>
      </c>
      <c r="F101" s="593" t="s">
        <v>1638</v>
      </c>
      <c r="G101" s="592" t="s">
        <v>516</v>
      </c>
      <c r="H101" s="592" t="s">
        <v>835</v>
      </c>
      <c r="I101" s="592" t="s">
        <v>836</v>
      </c>
      <c r="J101" s="592" t="s">
        <v>837</v>
      </c>
      <c r="K101" s="592" t="s">
        <v>838</v>
      </c>
      <c r="L101" s="594">
        <v>119.39</v>
      </c>
      <c r="M101" s="594">
        <v>1</v>
      </c>
      <c r="N101" s="595">
        <v>119.39</v>
      </c>
    </row>
    <row r="102" spans="1:14" ht="14.4" customHeight="1" x14ac:dyDescent="0.3">
      <c r="A102" s="590" t="s">
        <v>485</v>
      </c>
      <c r="B102" s="591" t="s">
        <v>1636</v>
      </c>
      <c r="C102" s="592" t="s">
        <v>490</v>
      </c>
      <c r="D102" s="593" t="s">
        <v>1637</v>
      </c>
      <c r="E102" s="592" t="s">
        <v>495</v>
      </c>
      <c r="F102" s="593" t="s">
        <v>1638</v>
      </c>
      <c r="G102" s="592" t="s">
        <v>516</v>
      </c>
      <c r="H102" s="592" t="s">
        <v>839</v>
      </c>
      <c r="I102" s="592" t="s">
        <v>840</v>
      </c>
      <c r="J102" s="592" t="s">
        <v>841</v>
      </c>
      <c r="K102" s="592" t="s">
        <v>842</v>
      </c>
      <c r="L102" s="594">
        <v>78.609205583176816</v>
      </c>
      <c r="M102" s="594">
        <v>62</v>
      </c>
      <c r="N102" s="595">
        <v>4873.7707461569626</v>
      </c>
    </row>
    <row r="103" spans="1:14" ht="14.4" customHeight="1" x14ac:dyDescent="0.3">
      <c r="A103" s="590" t="s">
        <v>485</v>
      </c>
      <c r="B103" s="591" t="s">
        <v>1636</v>
      </c>
      <c r="C103" s="592" t="s">
        <v>490</v>
      </c>
      <c r="D103" s="593" t="s">
        <v>1637</v>
      </c>
      <c r="E103" s="592" t="s">
        <v>495</v>
      </c>
      <c r="F103" s="593" t="s">
        <v>1638</v>
      </c>
      <c r="G103" s="592" t="s">
        <v>516</v>
      </c>
      <c r="H103" s="592" t="s">
        <v>843</v>
      </c>
      <c r="I103" s="592" t="s">
        <v>844</v>
      </c>
      <c r="J103" s="592" t="s">
        <v>630</v>
      </c>
      <c r="K103" s="592" t="s">
        <v>845</v>
      </c>
      <c r="L103" s="594">
        <v>260.00143097613011</v>
      </c>
      <c r="M103" s="594">
        <v>73</v>
      </c>
      <c r="N103" s="595">
        <v>18980.104461257499</v>
      </c>
    </row>
    <row r="104" spans="1:14" ht="14.4" customHeight="1" x14ac:dyDescent="0.3">
      <c r="A104" s="590" t="s">
        <v>485</v>
      </c>
      <c r="B104" s="591" t="s">
        <v>1636</v>
      </c>
      <c r="C104" s="592" t="s">
        <v>490</v>
      </c>
      <c r="D104" s="593" t="s">
        <v>1637</v>
      </c>
      <c r="E104" s="592" t="s">
        <v>495</v>
      </c>
      <c r="F104" s="593" t="s">
        <v>1638</v>
      </c>
      <c r="G104" s="592" t="s">
        <v>516</v>
      </c>
      <c r="H104" s="592" t="s">
        <v>846</v>
      </c>
      <c r="I104" s="592" t="s">
        <v>847</v>
      </c>
      <c r="J104" s="592" t="s">
        <v>848</v>
      </c>
      <c r="K104" s="592" t="s">
        <v>849</v>
      </c>
      <c r="L104" s="594">
        <v>104.09988550020931</v>
      </c>
      <c r="M104" s="594">
        <v>6</v>
      </c>
      <c r="N104" s="595">
        <v>624.59931300125584</v>
      </c>
    </row>
    <row r="105" spans="1:14" ht="14.4" customHeight="1" x14ac:dyDescent="0.3">
      <c r="A105" s="590" t="s">
        <v>485</v>
      </c>
      <c r="B105" s="591" t="s">
        <v>1636</v>
      </c>
      <c r="C105" s="592" t="s">
        <v>490</v>
      </c>
      <c r="D105" s="593" t="s">
        <v>1637</v>
      </c>
      <c r="E105" s="592" t="s">
        <v>495</v>
      </c>
      <c r="F105" s="593" t="s">
        <v>1638</v>
      </c>
      <c r="G105" s="592" t="s">
        <v>516</v>
      </c>
      <c r="H105" s="592" t="s">
        <v>850</v>
      </c>
      <c r="I105" s="592" t="s">
        <v>851</v>
      </c>
      <c r="J105" s="592" t="s">
        <v>852</v>
      </c>
      <c r="K105" s="592" t="s">
        <v>853</v>
      </c>
      <c r="L105" s="594">
        <v>1713.5</v>
      </c>
      <c r="M105" s="594">
        <v>23</v>
      </c>
      <c r="N105" s="595">
        <v>39410.5</v>
      </c>
    </row>
    <row r="106" spans="1:14" ht="14.4" customHeight="1" x14ac:dyDescent="0.3">
      <c r="A106" s="590" t="s">
        <v>485</v>
      </c>
      <c r="B106" s="591" t="s">
        <v>1636</v>
      </c>
      <c r="C106" s="592" t="s">
        <v>490</v>
      </c>
      <c r="D106" s="593" t="s">
        <v>1637</v>
      </c>
      <c r="E106" s="592" t="s">
        <v>495</v>
      </c>
      <c r="F106" s="593" t="s">
        <v>1638</v>
      </c>
      <c r="G106" s="592" t="s">
        <v>516</v>
      </c>
      <c r="H106" s="592" t="s">
        <v>854</v>
      </c>
      <c r="I106" s="592" t="s">
        <v>855</v>
      </c>
      <c r="J106" s="592" t="s">
        <v>856</v>
      </c>
      <c r="K106" s="592" t="s">
        <v>857</v>
      </c>
      <c r="L106" s="594">
        <v>1121.3100000000002</v>
      </c>
      <c r="M106" s="594">
        <v>6</v>
      </c>
      <c r="N106" s="595">
        <v>6727.8600000000006</v>
      </c>
    </row>
    <row r="107" spans="1:14" ht="14.4" customHeight="1" x14ac:dyDescent="0.3">
      <c r="A107" s="590" t="s">
        <v>485</v>
      </c>
      <c r="B107" s="591" t="s">
        <v>1636</v>
      </c>
      <c r="C107" s="592" t="s">
        <v>490</v>
      </c>
      <c r="D107" s="593" t="s">
        <v>1637</v>
      </c>
      <c r="E107" s="592" t="s">
        <v>495</v>
      </c>
      <c r="F107" s="593" t="s">
        <v>1638</v>
      </c>
      <c r="G107" s="592" t="s">
        <v>516</v>
      </c>
      <c r="H107" s="592" t="s">
        <v>858</v>
      </c>
      <c r="I107" s="592" t="s">
        <v>859</v>
      </c>
      <c r="J107" s="592" t="s">
        <v>860</v>
      </c>
      <c r="K107" s="592" t="s">
        <v>861</v>
      </c>
      <c r="L107" s="594">
        <v>197.47246307661592</v>
      </c>
      <c r="M107" s="594">
        <v>17</v>
      </c>
      <c r="N107" s="595">
        <v>3357.0318723024707</v>
      </c>
    </row>
    <row r="108" spans="1:14" ht="14.4" customHeight="1" x14ac:dyDescent="0.3">
      <c r="A108" s="590" t="s">
        <v>485</v>
      </c>
      <c r="B108" s="591" t="s">
        <v>1636</v>
      </c>
      <c r="C108" s="592" t="s">
        <v>490</v>
      </c>
      <c r="D108" s="593" t="s">
        <v>1637</v>
      </c>
      <c r="E108" s="592" t="s">
        <v>495</v>
      </c>
      <c r="F108" s="593" t="s">
        <v>1638</v>
      </c>
      <c r="G108" s="592" t="s">
        <v>516</v>
      </c>
      <c r="H108" s="592" t="s">
        <v>862</v>
      </c>
      <c r="I108" s="592" t="s">
        <v>863</v>
      </c>
      <c r="J108" s="592" t="s">
        <v>864</v>
      </c>
      <c r="K108" s="592" t="s">
        <v>865</v>
      </c>
      <c r="L108" s="594">
        <v>342.99531767336407</v>
      </c>
      <c r="M108" s="594">
        <v>13</v>
      </c>
      <c r="N108" s="595">
        <v>4458.9391297537331</v>
      </c>
    </row>
    <row r="109" spans="1:14" ht="14.4" customHeight="1" x14ac:dyDescent="0.3">
      <c r="A109" s="590" t="s">
        <v>485</v>
      </c>
      <c r="B109" s="591" t="s">
        <v>1636</v>
      </c>
      <c r="C109" s="592" t="s">
        <v>490</v>
      </c>
      <c r="D109" s="593" t="s">
        <v>1637</v>
      </c>
      <c r="E109" s="592" t="s">
        <v>495</v>
      </c>
      <c r="F109" s="593" t="s">
        <v>1638</v>
      </c>
      <c r="G109" s="592" t="s">
        <v>516</v>
      </c>
      <c r="H109" s="592" t="s">
        <v>866</v>
      </c>
      <c r="I109" s="592" t="s">
        <v>867</v>
      </c>
      <c r="J109" s="592" t="s">
        <v>868</v>
      </c>
      <c r="K109" s="592" t="s">
        <v>869</v>
      </c>
      <c r="L109" s="594">
        <v>21.898473424061969</v>
      </c>
      <c r="M109" s="594">
        <v>140</v>
      </c>
      <c r="N109" s="595">
        <v>3065.7862793686754</v>
      </c>
    </row>
    <row r="110" spans="1:14" ht="14.4" customHeight="1" x14ac:dyDescent="0.3">
      <c r="A110" s="590" t="s">
        <v>485</v>
      </c>
      <c r="B110" s="591" t="s">
        <v>1636</v>
      </c>
      <c r="C110" s="592" t="s">
        <v>490</v>
      </c>
      <c r="D110" s="593" t="s">
        <v>1637</v>
      </c>
      <c r="E110" s="592" t="s">
        <v>495</v>
      </c>
      <c r="F110" s="593" t="s">
        <v>1638</v>
      </c>
      <c r="G110" s="592" t="s">
        <v>516</v>
      </c>
      <c r="H110" s="592" t="s">
        <v>870</v>
      </c>
      <c r="I110" s="592" t="s">
        <v>871</v>
      </c>
      <c r="J110" s="592" t="s">
        <v>872</v>
      </c>
      <c r="K110" s="592" t="s">
        <v>873</v>
      </c>
      <c r="L110" s="594">
        <v>72.069999999999993</v>
      </c>
      <c r="M110" s="594">
        <v>3</v>
      </c>
      <c r="N110" s="595">
        <v>216.20999999999998</v>
      </c>
    </row>
    <row r="111" spans="1:14" ht="14.4" customHeight="1" x14ac:dyDescent="0.3">
      <c r="A111" s="590" t="s">
        <v>485</v>
      </c>
      <c r="B111" s="591" t="s">
        <v>1636</v>
      </c>
      <c r="C111" s="592" t="s">
        <v>490</v>
      </c>
      <c r="D111" s="593" t="s">
        <v>1637</v>
      </c>
      <c r="E111" s="592" t="s">
        <v>495</v>
      </c>
      <c r="F111" s="593" t="s">
        <v>1638</v>
      </c>
      <c r="G111" s="592" t="s">
        <v>516</v>
      </c>
      <c r="H111" s="592" t="s">
        <v>874</v>
      </c>
      <c r="I111" s="592" t="s">
        <v>875</v>
      </c>
      <c r="J111" s="592" t="s">
        <v>876</v>
      </c>
      <c r="K111" s="592" t="s">
        <v>877</v>
      </c>
      <c r="L111" s="594">
        <v>37.489241434411248</v>
      </c>
      <c r="M111" s="594">
        <v>80</v>
      </c>
      <c r="N111" s="595">
        <v>2999.1393147528997</v>
      </c>
    </row>
    <row r="112" spans="1:14" ht="14.4" customHeight="1" x14ac:dyDescent="0.3">
      <c r="A112" s="590" t="s">
        <v>485</v>
      </c>
      <c r="B112" s="591" t="s">
        <v>1636</v>
      </c>
      <c r="C112" s="592" t="s">
        <v>490</v>
      </c>
      <c r="D112" s="593" t="s">
        <v>1637</v>
      </c>
      <c r="E112" s="592" t="s">
        <v>495</v>
      </c>
      <c r="F112" s="593" t="s">
        <v>1638</v>
      </c>
      <c r="G112" s="592" t="s">
        <v>516</v>
      </c>
      <c r="H112" s="592" t="s">
        <v>878</v>
      </c>
      <c r="I112" s="592" t="s">
        <v>879</v>
      </c>
      <c r="J112" s="592" t="s">
        <v>876</v>
      </c>
      <c r="K112" s="592" t="s">
        <v>880</v>
      </c>
      <c r="L112" s="594">
        <v>65.482943270170537</v>
      </c>
      <c r="M112" s="594">
        <v>3</v>
      </c>
      <c r="N112" s="595">
        <v>196.4488298105116</v>
      </c>
    </row>
    <row r="113" spans="1:14" ht="14.4" customHeight="1" x14ac:dyDescent="0.3">
      <c r="A113" s="590" t="s">
        <v>485</v>
      </c>
      <c r="B113" s="591" t="s">
        <v>1636</v>
      </c>
      <c r="C113" s="592" t="s">
        <v>490</v>
      </c>
      <c r="D113" s="593" t="s">
        <v>1637</v>
      </c>
      <c r="E113" s="592" t="s">
        <v>495</v>
      </c>
      <c r="F113" s="593" t="s">
        <v>1638</v>
      </c>
      <c r="G113" s="592" t="s">
        <v>516</v>
      </c>
      <c r="H113" s="592" t="s">
        <v>881</v>
      </c>
      <c r="I113" s="592" t="s">
        <v>882</v>
      </c>
      <c r="J113" s="592" t="s">
        <v>883</v>
      </c>
      <c r="K113" s="592" t="s">
        <v>884</v>
      </c>
      <c r="L113" s="594">
        <v>54.320064249269308</v>
      </c>
      <c r="M113" s="594">
        <v>21</v>
      </c>
      <c r="N113" s="595">
        <v>1140.7213492346555</v>
      </c>
    </row>
    <row r="114" spans="1:14" ht="14.4" customHeight="1" x14ac:dyDescent="0.3">
      <c r="A114" s="590" t="s">
        <v>485</v>
      </c>
      <c r="B114" s="591" t="s">
        <v>1636</v>
      </c>
      <c r="C114" s="592" t="s">
        <v>490</v>
      </c>
      <c r="D114" s="593" t="s">
        <v>1637</v>
      </c>
      <c r="E114" s="592" t="s">
        <v>495</v>
      </c>
      <c r="F114" s="593" t="s">
        <v>1638</v>
      </c>
      <c r="G114" s="592" t="s">
        <v>516</v>
      </c>
      <c r="H114" s="592" t="s">
        <v>885</v>
      </c>
      <c r="I114" s="592" t="s">
        <v>211</v>
      </c>
      <c r="J114" s="592" t="s">
        <v>886</v>
      </c>
      <c r="K114" s="592"/>
      <c r="L114" s="594">
        <v>115.94912339709018</v>
      </c>
      <c r="M114" s="594">
        <v>25</v>
      </c>
      <c r="N114" s="595">
        <v>2898.7280849272543</v>
      </c>
    </row>
    <row r="115" spans="1:14" ht="14.4" customHeight="1" x14ac:dyDescent="0.3">
      <c r="A115" s="590" t="s">
        <v>485</v>
      </c>
      <c r="B115" s="591" t="s">
        <v>1636</v>
      </c>
      <c r="C115" s="592" t="s">
        <v>490</v>
      </c>
      <c r="D115" s="593" t="s">
        <v>1637</v>
      </c>
      <c r="E115" s="592" t="s">
        <v>495</v>
      </c>
      <c r="F115" s="593" t="s">
        <v>1638</v>
      </c>
      <c r="G115" s="592" t="s">
        <v>516</v>
      </c>
      <c r="H115" s="592" t="s">
        <v>887</v>
      </c>
      <c r="I115" s="592" t="s">
        <v>888</v>
      </c>
      <c r="J115" s="592" t="s">
        <v>889</v>
      </c>
      <c r="K115" s="592" t="s">
        <v>890</v>
      </c>
      <c r="L115" s="594">
        <v>178.04</v>
      </c>
      <c r="M115" s="594">
        <v>1</v>
      </c>
      <c r="N115" s="595">
        <v>178.04</v>
      </c>
    </row>
    <row r="116" spans="1:14" ht="14.4" customHeight="1" x14ac:dyDescent="0.3">
      <c r="A116" s="590" t="s">
        <v>485</v>
      </c>
      <c r="B116" s="591" t="s">
        <v>1636</v>
      </c>
      <c r="C116" s="592" t="s">
        <v>490</v>
      </c>
      <c r="D116" s="593" t="s">
        <v>1637</v>
      </c>
      <c r="E116" s="592" t="s">
        <v>495</v>
      </c>
      <c r="F116" s="593" t="s">
        <v>1638</v>
      </c>
      <c r="G116" s="592" t="s">
        <v>516</v>
      </c>
      <c r="H116" s="592" t="s">
        <v>891</v>
      </c>
      <c r="I116" s="592" t="s">
        <v>211</v>
      </c>
      <c r="J116" s="592" t="s">
        <v>892</v>
      </c>
      <c r="K116" s="592"/>
      <c r="L116" s="594">
        <v>64.650130134660742</v>
      </c>
      <c r="M116" s="594">
        <v>5</v>
      </c>
      <c r="N116" s="595">
        <v>323.25065067330371</v>
      </c>
    </row>
    <row r="117" spans="1:14" ht="14.4" customHeight="1" x14ac:dyDescent="0.3">
      <c r="A117" s="590" t="s">
        <v>485</v>
      </c>
      <c r="B117" s="591" t="s">
        <v>1636</v>
      </c>
      <c r="C117" s="592" t="s">
        <v>490</v>
      </c>
      <c r="D117" s="593" t="s">
        <v>1637</v>
      </c>
      <c r="E117" s="592" t="s">
        <v>495</v>
      </c>
      <c r="F117" s="593" t="s">
        <v>1638</v>
      </c>
      <c r="G117" s="592" t="s">
        <v>516</v>
      </c>
      <c r="H117" s="592" t="s">
        <v>893</v>
      </c>
      <c r="I117" s="592" t="s">
        <v>894</v>
      </c>
      <c r="J117" s="592" t="s">
        <v>895</v>
      </c>
      <c r="K117" s="592" t="s">
        <v>896</v>
      </c>
      <c r="L117" s="594">
        <v>49.900897088024969</v>
      </c>
      <c r="M117" s="594">
        <v>52</v>
      </c>
      <c r="N117" s="595">
        <v>2594.8466485772983</v>
      </c>
    </row>
    <row r="118" spans="1:14" ht="14.4" customHeight="1" x14ac:dyDescent="0.3">
      <c r="A118" s="590" t="s">
        <v>485</v>
      </c>
      <c r="B118" s="591" t="s">
        <v>1636</v>
      </c>
      <c r="C118" s="592" t="s">
        <v>490</v>
      </c>
      <c r="D118" s="593" t="s">
        <v>1637</v>
      </c>
      <c r="E118" s="592" t="s">
        <v>495</v>
      </c>
      <c r="F118" s="593" t="s">
        <v>1638</v>
      </c>
      <c r="G118" s="592" t="s">
        <v>516</v>
      </c>
      <c r="H118" s="592" t="s">
        <v>897</v>
      </c>
      <c r="I118" s="592" t="s">
        <v>898</v>
      </c>
      <c r="J118" s="592" t="s">
        <v>544</v>
      </c>
      <c r="K118" s="592" t="s">
        <v>899</v>
      </c>
      <c r="L118" s="594">
        <v>49.554206753810853</v>
      </c>
      <c r="M118" s="594">
        <v>41</v>
      </c>
      <c r="N118" s="595">
        <v>2031.722476906245</v>
      </c>
    </row>
    <row r="119" spans="1:14" ht="14.4" customHeight="1" x14ac:dyDescent="0.3">
      <c r="A119" s="590" t="s">
        <v>485</v>
      </c>
      <c r="B119" s="591" t="s">
        <v>1636</v>
      </c>
      <c r="C119" s="592" t="s">
        <v>490</v>
      </c>
      <c r="D119" s="593" t="s">
        <v>1637</v>
      </c>
      <c r="E119" s="592" t="s">
        <v>495</v>
      </c>
      <c r="F119" s="593" t="s">
        <v>1638</v>
      </c>
      <c r="G119" s="592" t="s">
        <v>516</v>
      </c>
      <c r="H119" s="592" t="s">
        <v>900</v>
      </c>
      <c r="I119" s="592" t="s">
        <v>901</v>
      </c>
      <c r="J119" s="592" t="s">
        <v>902</v>
      </c>
      <c r="K119" s="592" t="s">
        <v>903</v>
      </c>
      <c r="L119" s="594">
        <v>147.99235218601225</v>
      </c>
      <c r="M119" s="594">
        <v>4</v>
      </c>
      <c r="N119" s="595">
        <v>591.96940874404902</v>
      </c>
    </row>
    <row r="120" spans="1:14" ht="14.4" customHeight="1" x14ac:dyDescent="0.3">
      <c r="A120" s="590" t="s">
        <v>485</v>
      </c>
      <c r="B120" s="591" t="s">
        <v>1636</v>
      </c>
      <c r="C120" s="592" t="s">
        <v>490</v>
      </c>
      <c r="D120" s="593" t="s">
        <v>1637</v>
      </c>
      <c r="E120" s="592" t="s">
        <v>495</v>
      </c>
      <c r="F120" s="593" t="s">
        <v>1638</v>
      </c>
      <c r="G120" s="592" t="s">
        <v>516</v>
      </c>
      <c r="H120" s="592" t="s">
        <v>904</v>
      </c>
      <c r="I120" s="592" t="s">
        <v>905</v>
      </c>
      <c r="J120" s="592" t="s">
        <v>906</v>
      </c>
      <c r="K120" s="592" t="s">
        <v>907</v>
      </c>
      <c r="L120" s="594">
        <v>177.80000000000004</v>
      </c>
      <c r="M120" s="594">
        <v>1</v>
      </c>
      <c r="N120" s="595">
        <v>177.80000000000004</v>
      </c>
    </row>
    <row r="121" spans="1:14" ht="14.4" customHeight="1" x14ac:dyDescent="0.3">
      <c r="A121" s="590" t="s">
        <v>485</v>
      </c>
      <c r="B121" s="591" t="s">
        <v>1636</v>
      </c>
      <c r="C121" s="592" t="s">
        <v>490</v>
      </c>
      <c r="D121" s="593" t="s">
        <v>1637</v>
      </c>
      <c r="E121" s="592" t="s">
        <v>495</v>
      </c>
      <c r="F121" s="593" t="s">
        <v>1638</v>
      </c>
      <c r="G121" s="592" t="s">
        <v>516</v>
      </c>
      <c r="H121" s="592" t="s">
        <v>908</v>
      </c>
      <c r="I121" s="592" t="s">
        <v>909</v>
      </c>
      <c r="J121" s="592" t="s">
        <v>910</v>
      </c>
      <c r="K121" s="592" t="s">
        <v>911</v>
      </c>
      <c r="L121" s="594">
        <v>2663.16</v>
      </c>
      <c r="M121" s="594">
        <v>7</v>
      </c>
      <c r="N121" s="595">
        <v>18642.12</v>
      </c>
    </row>
    <row r="122" spans="1:14" ht="14.4" customHeight="1" x14ac:dyDescent="0.3">
      <c r="A122" s="590" t="s">
        <v>485</v>
      </c>
      <c r="B122" s="591" t="s">
        <v>1636</v>
      </c>
      <c r="C122" s="592" t="s">
        <v>490</v>
      </c>
      <c r="D122" s="593" t="s">
        <v>1637</v>
      </c>
      <c r="E122" s="592" t="s">
        <v>495</v>
      </c>
      <c r="F122" s="593" t="s">
        <v>1638</v>
      </c>
      <c r="G122" s="592" t="s">
        <v>516</v>
      </c>
      <c r="H122" s="592" t="s">
        <v>912</v>
      </c>
      <c r="I122" s="592" t="s">
        <v>912</v>
      </c>
      <c r="J122" s="592" t="s">
        <v>913</v>
      </c>
      <c r="K122" s="592" t="s">
        <v>522</v>
      </c>
      <c r="L122" s="594">
        <v>301.64999999999998</v>
      </c>
      <c r="M122" s="594">
        <v>7</v>
      </c>
      <c r="N122" s="595">
        <v>2111.5499999999997</v>
      </c>
    </row>
    <row r="123" spans="1:14" ht="14.4" customHeight="1" x14ac:dyDescent="0.3">
      <c r="A123" s="590" t="s">
        <v>485</v>
      </c>
      <c r="B123" s="591" t="s">
        <v>1636</v>
      </c>
      <c r="C123" s="592" t="s">
        <v>490</v>
      </c>
      <c r="D123" s="593" t="s">
        <v>1637</v>
      </c>
      <c r="E123" s="592" t="s">
        <v>495</v>
      </c>
      <c r="F123" s="593" t="s">
        <v>1638</v>
      </c>
      <c r="G123" s="592" t="s">
        <v>516</v>
      </c>
      <c r="H123" s="592" t="s">
        <v>914</v>
      </c>
      <c r="I123" s="592" t="s">
        <v>914</v>
      </c>
      <c r="J123" s="592" t="s">
        <v>915</v>
      </c>
      <c r="K123" s="592" t="s">
        <v>916</v>
      </c>
      <c r="L123" s="594">
        <v>67.540000000000006</v>
      </c>
      <c r="M123" s="594">
        <v>10</v>
      </c>
      <c r="N123" s="595">
        <v>675.40000000000009</v>
      </c>
    </row>
    <row r="124" spans="1:14" ht="14.4" customHeight="1" x14ac:dyDescent="0.3">
      <c r="A124" s="590" t="s">
        <v>485</v>
      </c>
      <c r="B124" s="591" t="s">
        <v>1636</v>
      </c>
      <c r="C124" s="592" t="s">
        <v>490</v>
      </c>
      <c r="D124" s="593" t="s">
        <v>1637</v>
      </c>
      <c r="E124" s="592" t="s">
        <v>495</v>
      </c>
      <c r="F124" s="593" t="s">
        <v>1638</v>
      </c>
      <c r="G124" s="592" t="s">
        <v>516</v>
      </c>
      <c r="H124" s="592" t="s">
        <v>917</v>
      </c>
      <c r="I124" s="592" t="s">
        <v>918</v>
      </c>
      <c r="J124" s="592" t="s">
        <v>919</v>
      </c>
      <c r="K124" s="592" t="s">
        <v>538</v>
      </c>
      <c r="L124" s="594">
        <v>69.619727891156458</v>
      </c>
      <c r="M124" s="594">
        <v>7</v>
      </c>
      <c r="N124" s="595">
        <v>487.33809523809521</v>
      </c>
    </row>
    <row r="125" spans="1:14" ht="14.4" customHeight="1" x14ac:dyDescent="0.3">
      <c r="A125" s="590" t="s">
        <v>485</v>
      </c>
      <c r="B125" s="591" t="s">
        <v>1636</v>
      </c>
      <c r="C125" s="592" t="s">
        <v>490</v>
      </c>
      <c r="D125" s="593" t="s">
        <v>1637</v>
      </c>
      <c r="E125" s="592" t="s">
        <v>495</v>
      </c>
      <c r="F125" s="593" t="s">
        <v>1638</v>
      </c>
      <c r="G125" s="592" t="s">
        <v>516</v>
      </c>
      <c r="H125" s="592" t="s">
        <v>920</v>
      </c>
      <c r="I125" s="592" t="s">
        <v>921</v>
      </c>
      <c r="J125" s="592" t="s">
        <v>922</v>
      </c>
      <c r="K125" s="592" t="s">
        <v>557</v>
      </c>
      <c r="L125" s="594">
        <v>41.52671448963612</v>
      </c>
      <c r="M125" s="594">
        <v>21</v>
      </c>
      <c r="N125" s="595">
        <v>872.06100428235845</v>
      </c>
    </row>
    <row r="126" spans="1:14" ht="14.4" customHeight="1" x14ac:dyDescent="0.3">
      <c r="A126" s="590" t="s">
        <v>485</v>
      </c>
      <c r="B126" s="591" t="s">
        <v>1636</v>
      </c>
      <c r="C126" s="592" t="s">
        <v>490</v>
      </c>
      <c r="D126" s="593" t="s">
        <v>1637</v>
      </c>
      <c r="E126" s="592" t="s">
        <v>495</v>
      </c>
      <c r="F126" s="593" t="s">
        <v>1638</v>
      </c>
      <c r="G126" s="592" t="s">
        <v>516</v>
      </c>
      <c r="H126" s="592" t="s">
        <v>923</v>
      </c>
      <c r="I126" s="592" t="s">
        <v>924</v>
      </c>
      <c r="J126" s="592" t="s">
        <v>925</v>
      </c>
      <c r="K126" s="592" t="s">
        <v>926</v>
      </c>
      <c r="L126" s="594">
        <v>98.820000000000022</v>
      </c>
      <c r="M126" s="594">
        <v>1</v>
      </c>
      <c r="N126" s="595">
        <v>98.820000000000022</v>
      </c>
    </row>
    <row r="127" spans="1:14" ht="14.4" customHeight="1" x14ac:dyDescent="0.3">
      <c r="A127" s="590" t="s">
        <v>485</v>
      </c>
      <c r="B127" s="591" t="s">
        <v>1636</v>
      </c>
      <c r="C127" s="592" t="s">
        <v>490</v>
      </c>
      <c r="D127" s="593" t="s">
        <v>1637</v>
      </c>
      <c r="E127" s="592" t="s">
        <v>495</v>
      </c>
      <c r="F127" s="593" t="s">
        <v>1638</v>
      </c>
      <c r="G127" s="592" t="s">
        <v>516</v>
      </c>
      <c r="H127" s="592" t="s">
        <v>927</v>
      </c>
      <c r="I127" s="592" t="s">
        <v>928</v>
      </c>
      <c r="J127" s="592" t="s">
        <v>929</v>
      </c>
      <c r="K127" s="592" t="s">
        <v>930</v>
      </c>
      <c r="L127" s="594">
        <v>389.28976546274072</v>
      </c>
      <c r="M127" s="594">
        <v>42</v>
      </c>
      <c r="N127" s="595">
        <v>16350.170149435109</v>
      </c>
    </row>
    <row r="128" spans="1:14" ht="14.4" customHeight="1" x14ac:dyDescent="0.3">
      <c r="A128" s="590" t="s">
        <v>485</v>
      </c>
      <c r="B128" s="591" t="s">
        <v>1636</v>
      </c>
      <c r="C128" s="592" t="s">
        <v>490</v>
      </c>
      <c r="D128" s="593" t="s">
        <v>1637</v>
      </c>
      <c r="E128" s="592" t="s">
        <v>495</v>
      </c>
      <c r="F128" s="593" t="s">
        <v>1638</v>
      </c>
      <c r="G128" s="592" t="s">
        <v>516</v>
      </c>
      <c r="H128" s="592" t="s">
        <v>931</v>
      </c>
      <c r="I128" s="592" t="s">
        <v>932</v>
      </c>
      <c r="J128" s="592" t="s">
        <v>933</v>
      </c>
      <c r="K128" s="592" t="s">
        <v>934</v>
      </c>
      <c r="L128" s="594">
        <v>1006.9599191206613</v>
      </c>
      <c r="M128" s="594">
        <v>19</v>
      </c>
      <c r="N128" s="595">
        <v>19132.238463292564</v>
      </c>
    </row>
    <row r="129" spans="1:14" ht="14.4" customHeight="1" x14ac:dyDescent="0.3">
      <c r="A129" s="590" t="s">
        <v>485</v>
      </c>
      <c r="B129" s="591" t="s">
        <v>1636</v>
      </c>
      <c r="C129" s="592" t="s">
        <v>490</v>
      </c>
      <c r="D129" s="593" t="s">
        <v>1637</v>
      </c>
      <c r="E129" s="592" t="s">
        <v>495</v>
      </c>
      <c r="F129" s="593" t="s">
        <v>1638</v>
      </c>
      <c r="G129" s="592" t="s">
        <v>516</v>
      </c>
      <c r="H129" s="592" t="s">
        <v>935</v>
      </c>
      <c r="I129" s="592" t="s">
        <v>936</v>
      </c>
      <c r="J129" s="592" t="s">
        <v>937</v>
      </c>
      <c r="K129" s="592" t="s">
        <v>938</v>
      </c>
      <c r="L129" s="594">
        <v>273.6928159775216</v>
      </c>
      <c r="M129" s="594">
        <v>17</v>
      </c>
      <c r="N129" s="595">
        <v>4652.7778716178673</v>
      </c>
    </row>
    <row r="130" spans="1:14" ht="14.4" customHeight="1" x14ac:dyDescent="0.3">
      <c r="A130" s="590" t="s">
        <v>485</v>
      </c>
      <c r="B130" s="591" t="s">
        <v>1636</v>
      </c>
      <c r="C130" s="592" t="s">
        <v>490</v>
      </c>
      <c r="D130" s="593" t="s">
        <v>1637</v>
      </c>
      <c r="E130" s="592" t="s">
        <v>495</v>
      </c>
      <c r="F130" s="593" t="s">
        <v>1638</v>
      </c>
      <c r="G130" s="592" t="s">
        <v>516</v>
      </c>
      <c r="H130" s="592" t="s">
        <v>939</v>
      </c>
      <c r="I130" s="592" t="s">
        <v>940</v>
      </c>
      <c r="J130" s="592" t="s">
        <v>941</v>
      </c>
      <c r="K130" s="592" t="s">
        <v>942</v>
      </c>
      <c r="L130" s="594">
        <v>79.93982913172843</v>
      </c>
      <c r="M130" s="594">
        <v>2</v>
      </c>
      <c r="N130" s="595">
        <v>159.87965826345686</v>
      </c>
    </row>
    <row r="131" spans="1:14" ht="14.4" customHeight="1" x14ac:dyDescent="0.3">
      <c r="A131" s="590" t="s">
        <v>485</v>
      </c>
      <c r="B131" s="591" t="s">
        <v>1636</v>
      </c>
      <c r="C131" s="592" t="s">
        <v>490</v>
      </c>
      <c r="D131" s="593" t="s">
        <v>1637</v>
      </c>
      <c r="E131" s="592" t="s">
        <v>495</v>
      </c>
      <c r="F131" s="593" t="s">
        <v>1638</v>
      </c>
      <c r="G131" s="592" t="s">
        <v>516</v>
      </c>
      <c r="H131" s="592" t="s">
        <v>943</v>
      </c>
      <c r="I131" s="592" t="s">
        <v>944</v>
      </c>
      <c r="J131" s="592" t="s">
        <v>945</v>
      </c>
      <c r="K131" s="592" t="s">
        <v>946</v>
      </c>
      <c r="L131" s="594">
        <v>1102.7900000000004</v>
      </c>
      <c r="M131" s="594">
        <v>1</v>
      </c>
      <c r="N131" s="595">
        <v>1102.7900000000004</v>
      </c>
    </row>
    <row r="132" spans="1:14" ht="14.4" customHeight="1" x14ac:dyDescent="0.3">
      <c r="A132" s="590" t="s">
        <v>485</v>
      </c>
      <c r="B132" s="591" t="s">
        <v>1636</v>
      </c>
      <c r="C132" s="592" t="s">
        <v>490</v>
      </c>
      <c r="D132" s="593" t="s">
        <v>1637</v>
      </c>
      <c r="E132" s="592" t="s">
        <v>495</v>
      </c>
      <c r="F132" s="593" t="s">
        <v>1638</v>
      </c>
      <c r="G132" s="592" t="s">
        <v>516</v>
      </c>
      <c r="H132" s="592" t="s">
        <v>947</v>
      </c>
      <c r="I132" s="592" t="s">
        <v>948</v>
      </c>
      <c r="J132" s="592" t="s">
        <v>949</v>
      </c>
      <c r="K132" s="592" t="s">
        <v>950</v>
      </c>
      <c r="L132" s="594">
        <v>334.64166955740842</v>
      </c>
      <c r="M132" s="594">
        <v>12</v>
      </c>
      <c r="N132" s="595">
        <v>4015.7000346889013</v>
      </c>
    </row>
    <row r="133" spans="1:14" ht="14.4" customHeight="1" x14ac:dyDescent="0.3">
      <c r="A133" s="590" t="s">
        <v>485</v>
      </c>
      <c r="B133" s="591" t="s">
        <v>1636</v>
      </c>
      <c r="C133" s="592" t="s">
        <v>490</v>
      </c>
      <c r="D133" s="593" t="s">
        <v>1637</v>
      </c>
      <c r="E133" s="592" t="s">
        <v>495</v>
      </c>
      <c r="F133" s="593" t="s">
        <v>1638</v>
      </c>
      <c r="G133" s="592" t="s">
        <v>516</v>
      </c>
      <c r="H133" s="592" t="s">
        <v>951</v>
      </c>
      <c r="I133" s="592" t="s">
        <v>952</v>
      </c>
      <c r="J133" s="592" t="s">
        <v>953</v>
      </c>
      <c r="K133" s="592" t="s">
        <v>954</v>
      </c>
      <c r="L133" s="594">
        <v>1099.5565040132726</v>
      </c>
      <c r="M133" s="594">
        <v>27</v>
      </c>
      <c r="N133" s="595">
        <v>29688.025608358363</v>
      </c>
    </row>
    <row r="134" spans="1:14" ht="14.4" customHeight="1" x14ac:dyDescent="0.3">
      <c r="A134" s="590" t="s">
        <v>485</v>
      </c>
      <c r="B134" s="591" t="s">
        <v>1636</v>
      </c>
      <c r="C134" s="592" t="s">
        <v>490</v>
      </c>
      <c r="D134" s="593" t="s">
        <v>1637</v>
      </c>
      <c r="E134" s="592" t="s">
        <v>495</v>
      </c>
      <c r="F134" s="593" t="s">
        <v>1638</v>
      </c>
      <c r="G134" s="592" t="s">
        <v>516</v>
      </c>
      <c r="H134" s="592" t="s">
        <v>955</v>
      </c>
      <c r="I134" s="592" t="s">
        <v>211</v>
      </c>
      <c r="J134" s="592" t="s">
        <v>956</v>
      </c>
      <c r="K134" s="592"/>
      <c r="L134" s="594">
        <v>23.466005547497225</v>
      </c>
      <c r="M134" s="594">
        <v>5</v>
      </c>
      <c r="N134" s="595">
        <v>117.33002773748612</v>
      </c>
    </row>
    <row r="135" spans="1:14" ht="14.4" customHeight="1" x14ac:dyDescent="0.3">
      <c r="A135" s="590" t="s">
        <v>485</v>
      </c>
      <c r="B135" s="591" t="s">
        <v>1636</v>
      </c>
      <c r="C135" s="592" t="s">
        <v>490</v>
      </c>
      <c r="D135" s="593" t="s">
        <v>1637</v>
      </c>
      <c r="E135" s="592" t="s">
        <v>495</v>
      </c>
      <c r="F135" s="593" t="s">
        <v>1638</v>
      </c>
      <c r="G135" s="592" t="s">
        <v>516</v>
      </c>
      <c r="H135" s="592" t="s">
        <v>957</v>
      </c>
      <c r="I135" s="592" t="s">
        <v>211</v>
      </c>
      <c r="J135" s="592" t="s">
        <v>958</v>
      </c>
      <c r="K135" s="592"/>
      <c r="L135" s="594">
        <v>63.787603788823205</v>
      </c>
      <c r="M135" s="594">
        <v>17</v>
      </c>
      <c r="N135" s="595">
        <v>1084.3892644099944</v>
      </c>
    </row>
    <row r="136" spans="1:14" ht="14.4" customHeight="1" x14ac:dyDescent="0.3">
      <c r="A136" s="590" t="s">
        <v>485</v>
      </c>
      <c r="B136" s="591" t="s">
        <v>1636</v>
      </c>
      <c r="C136" s="592" t="s">
        <v>490</v>
      </c>
      <c r="D136" s="593" t="s">
        <v>1637</v>
      </c>
      <c r="E136" s="592" t="s">
        <v>495</v>
      </c>
      <c r="F136" s="593" t="s">
        <v>1638</v>
      </c>
      <c r="G136" s="592" t="s">
        <v>516</v>
      </c>
      <c r="H136" s="592" t="s">
        <v>959</v>
      </c>
      <c r="I136" s="592" t="s">
        <v>211</v>
      </c>
      <c r="J136" s="592" t="s">
        <v>960</v>
      </c>
      <c r="K136" s="592"/>
      <c r="L136" s="594">
        <v>102.85547708379156</v>
      </c>
      <c r="M136" s="594">
        <v>10</v>
      </c>
      <c r="N136" s="595">
        <v>1028.5547708379156</v>
      </c>
    </row>
    <row r="137" spans="1:14" ht="14.4" customHeight="1" x14ac:dyDescent="0.3">
      <c r="A137" s="590" t="s">
        <v>485</v>
      </c>
      <c r="B137" s="591" t="s">
        <v>1636</v>
      </c>
      <c r="C137" s="592" t="s">
        <v>490</v>
      </c>
      <c r="D137" s="593" t="s">
        <v>1637</v>
      </c>
      <c r="E137" s="592" t="s">
        <v>495</v>
      </c>
      <c r="F137" s="593" t="s">
        <v>1638</v>
      </c>
      <c r="G137" s="592" t="s">
        <v>516</v>
      </c>
      <c r="H137" s="592" t="s">
        <v>961</v>
      </c>
      <c r="I137" s="592" t="s">
        <v>962</v>
      </c>
      <c r="J137" s="592" t="s">
        <v>963</v>
      </c>
      <c r="K137" s="592" t="s">
        <v>964</v>
      </c>
      <c r="L137" s="594">
        <v>269.62</v>
      </c>
      <c r="M137" s="594">
        <v>2</v>
      </c>
      <c r="N137" s="595">
        <v>539.24</v>
      </c>
    </row>
    <row r="138" spans="1:14" ht="14.4" customHeight="1" x14ac:dyDescent="0.3">
      <c r="A138" s="590" t="s">
        <v>485</v>
      </c>
      <c r="B138" s="591" t="s">
        <v>1636</v>
      </c>
      <c r="C138" s="592" t="s">
        <v>490</v>
      </c>
      <c r="D138" s="593" t="s">
        <v>1637</v>
      </c>
      <c r="E138" s="592" t="s">
        <v>495</v>
      </c>
      <c r="F138" s="593" t="s">
        <v>1638</v>
      </c>
      <c r="G138" s="592" t="s">
        <v>516</v>
      </c>
      <c r="H138" s="592" t="s">
        <v>965</v>
      </c>
      <c r="I138" s="592" t="s">
        <v>966</v>
      </c>
      <c r="J138" s="592" t="s">
        <v>967</v>
      </c>
      <c r="K138" s="592" t="s">
        <v>968</v>
      </c>
      <c r="L138" s="594">
        <v>298.99999999999983</v>
      </c>
      <c r="M138" s="594">
        <v>3</v>
      </c>
      <c r="N138" s="595">
        <v>896.99999999999955</v>
      </c>
    </row>
    <row r="139" spans="1:14" ht="14.4" customHeight="1" x14ac:dyDescent="0.3">
      <c r="A139" s="590" t="s">
        <v>485</v>
      </c>
      <c r="B139" s="591" t="s">
        <v>1636</v>
      </c>
      <c r="C139" s="592" t="s">
        <v>490</v>
      </c>
      <c r="D139" s="593" t="s">
        <v>1637</v>
      </c>
      <c r="E139" s="592" t="s">
        <v>495</v>
      </c>
      <c r="F139" s="593" t="s">
        <v>1638</v>
      </c>
      <c r="G139" s="592" t="s">
        <v>516</v>
      </c>
      <c r="H139" s="592" t="s">
        <v>969</v>
      </c>
      <c r="I139" s="592" t="s">
        <v>970</v>
      </c>
      <c r="J139" s="592" t="s">
        <v>971</v>
      </c>
      <c r="K139" s="592" t="s">
        <v>972</v>
      </c>
      <c r="L139" s="594">
        <v>61.550072617706064</v>
      </c>
      <c r="M139" s="594">
        <v>2</v>
      </c>
      <c r="N139" s="595">
        <v>123.10014523541213</v>
      </c>
    </row>
    <row r="140" spans="1:14" ht="14.4" customHeight="1" x14ac:dyDescent="0.3">
      <c r="A140" s="590" t="s">
        <v>485</v>
      </c>
      <c r="B140" s="591" t="s">
        <v>1636</v>
      </c>
      <c r="C140" s="592" t="s">
        <v>490</v>
      </c>
      <c r="D140" s="593" t="s">
        <v>1637</v>
      </c>
      <c r="E140" s="592" t="s">
        <v>495</v>
      </c>
      <c r="F140" s="593" t="s">
        <v>1638</v>
      </c>
      <c r="G140" s="592" t="s">
        <v>516</v>
      </c>
      <c r="H140" s="592" t="s">
        <v>973</v>
      </c>
      <c r="I140" s="592" t="s">
        <v>974</v>
      </c>
      <c r="J140" s="592" t="s">
        <v>975</v>
      </c>
      <c r="K140" s="592" t="s">
        <v>976</v>
      </c>
      <c r="L140" s="594">
        <v>190.18241379310342</v>
      </c>
      <c r="M140" s="594">
        <v>29</v>
      </c>
      <c r="N140" s="595">
        <v>5515.2899999999991</v>
      </c>
    </row>
    <row r="141" spans="1:14" ht="14.4" customHeight="1" x14ac:dyDescent="0.3">
      <c r="A141" s="590" t="s">
        <v>485</v>
      </c>
      <c r="B141" s="591" t="s">
        <v>1636</v>
      </c>
      <c r="C141" s="592" t="s">
        <v>490</v>
      </c>
      <c r="D141" s="593" t="s">
        <v>1637</v>
      </c>
      <c r="E141" s="592" t="s">
        <v>495</v>
      </c>
      <c r="F141" s="593" t="s">
        <v>1638</v>
      </c>
      <c r="G141" s="592" t="s">
        <v>516</v>
      </c>
      <c r="H141" s="592" t="s">
        <v>977</v>
      </c>
      <c r="I141" s="592" t="s">
        <v>978</v>
      </c>
      <c r="J141" s="592" t="s">
        <v>979</v>
      </c>
      <c r="K141" s="592" t="s">
        <v>980</v>
      </c>
      <c r="L141" s="594">
        <v>128.41</v>
      </c>
      <c r="M141" s="594">
        <v>1</v>
      </c>
      <c r="N141" s="595">
        <v>128.41</v>
      </c>
    </row>
    <row r="142" spans="1:14" ht="14.4" customHeight="1" x14ac:dyDescent="0.3">
      <c r="A142" s="590" t="s">
        <v>485</v>
      </c>
      <c r="B142" s="591" t="s">
        <v>1636</v>
      </c>
      <c r="C142" s="592" t="s">
        <v>490</v>
      </c>
      <c r="D142" s="593" t="s">
        <v>1637</v>
      </c>
      <c r="E142" s="592" t="s">
        <v>495</v>
      </c>
      <c r="F142" s="593" t="s">
        <v>1638</v>
      </c>
      <c r="G142" s="592" t="s">
        <v>516</v>
      </c>
      <c r="H142" s="592" t="s">
        <v>981</v>
      </c>
      <c r="I142" s="592" t="s">
        <v>981</v>
      </c>
      <c r="J142" s="592" t="s">
        <v>982</v>
      </c>
      <c r="K142" s="592" t="s">
        <v>983</v>
      </c>
      <c r="L142" s="594">
        <v>175.03</v>
      </c>
      <c r="M142" s="594">
        <v>1</v>
      </c>
      <c r="N142" s="595">
        <v>175.03</v>
      </c>
    </row>
    <row r="143" spans="1:14" ht="14.4" customHeight="1" x14ac:dyDescent="0.3">
      <c r="A143" s="590" t="s">
        <v>485</v>
      </c>
      <c r="B143" s="591" t="s">
        <v>1636</v>
      </c>
      <c r="C143" s="592" t="s">
        <v>490</v>
      </c>
      <c r="D143" s="593" t="s">
        <v>1637</v>
      </c>
      <c r="E143" s="592" t="s">
        <v>495</v>
      </c>
      <c r="F143" s="593" t="s">
        <v>1638</v>
      </c>
      <c r="G143" s="592" t="s">
        <v>516</v>
      </c>
      <c r="H143" s="592" t="s">
        <v>984</v>
      </c>
      <c r="I143" s="592" t="s">
        <v>211</v>
      </c>
      <c r="J143" s="592" t="s">
        <v>985</v>
      </c>
      <c r="K143" s="592"/>
      <c r="L143" s="594">
        <v>431.08848520470701</v>
      </c>
      <c r="M143" s="594">
        <v>12</v>
      </c>
      <c r="N143" s="595">
        <v>5173.0618224564842</v>
      </c>
    </row>
    <row r="144" spans="1:14" ht="14.4" customHeight="1" x14ac:dyDescent="0.3">
      <c r="A144" s="590" t="s">
        <v>485</v>
      </c>
      <c r="B144" s="591" t="s">
        <v>1636</v>
      </c>
      <c r="C144" s="592" t="s">
        <v>490</v>
      </c>
      <c r="D144" s="593" t="s">
        <v>1637</v>
      </c>
      <c r="E144" s="592" t="s">
        <v>495</v>
      </c>
      <c r="F144" s="593" t="s">
        <v>1638</v>
      </c>
      <c r="G144" s="592" t="s">
        <v>516</v>
      </c>
      <c r="H144" s="592" t="s">
        <v>986</v>
      </c>
      <c r="I144" s="592" t="s">
        <v>987</v>
      </c>
      <c r="J144" s="592" t="s">
        <v>823</v>
      </c>
      <c r="K144" s="592" t="s">
        <v>988</v>
      </c>
      <c r="L144" s="594">
        <v>59.730120231141292</v>
      </c>
      <c r="M144" s="594">
        <v>3</v>
      </c>
      <c r="N144" s="595">
        <v>179.19036069342388</v>
      </c>
    </row>
    <row r="145" spans="1:14" ht="14.4" customHeight="1" x14ac:dyDescent="0.3">
      <c r="A145" s="590" t="s">
        <v>485</v>
      </c>
      <c r="B145" s="591" t="s">
        <v>1636</v>
      </c>
      <c r="C145" s="592" t="s">
        <v>490</v>
      </c>
      <c r="D145" s="593" t="s">
        <v>1637</v>
      </c>
      <c r="E145" s="592" t="s">
        <v>495</v>
      </c>
      <c r="F145" s="593" t="s">
        <v>1638</v>
      </c>
      <c r="G145" s="592" t="s">
        <v>516</v>
      </c>
      <c r="H145" s="592" t="s">
        <v>989</v>
      </c>
      <c r="I145" s="592" t="s">
        <v>990</v>
      </c>
      <c r="J145" s="592" t="s">
        <v>560</v>
      </c>
      <c r="K145" s="592" t="s">
        <v>991</v>
      </c>
      <c r="L145" s="594">
        <v>97.946460399380854</v>
      </c>
      <c r="M145" s="594">
        <v>155</v>
      </c>
      <c r="N145" s="595">
        <v>15181.701361904032</v>
      </c>
    </row>
    <row r="146" spans="1:14" ht="14.4" customHeight="1" x14ac:dyDescent="0.3">
      <c r="A146" s="590" t="s">
        <v>485</v>
      </c>
      <c r="B146" s="591" t="s">
        <v>1636</v>
      </c>
      <c r="C146" s="592" t="s">
        <v>490</v>
      </c>
      <c r="D146" s="593" t="s">
        <v>1637</v>
      </c>
      <c r="E146" s="592" t="s">
        <v>495</v>
      </c>
      <c r="F146" s="593" t="s">
        <v>1638</v>
      </c>
      <c r="G146" s="592" t="s">
        <v>516</v>
      </c>
      <c r="H146" s="592" t="s">
        <v>992</v>
      </c>
      <c r="I146" s="592" t="s">
        <v>993</v>
      </c>
      <c r="J146" s="592" t="s">
        <v>994</v>
      </c>
      <c r="K146" s="592" t="s">
        <v>995</v>
      </c>
      <c r="L146" s="594">
        <v>25.516666134547382</v>
      </c>
      <c r="M146" s="594">
        <v>3</v>
      </c>
      <c r="N146" s="595">
        <v>76.549998403642149</v>
      </c>
    </row>
    <row r="147" spans="1:14" ht="14.4" customHeight="1" x14ac:dyDescent="0.3">
      <c r="A147" s="590" t="s">
        <v>485</v>
      </c>
      <c r="B147" s="591" t="s">
        <v>1636</v>
      </c>
      <c r="C147" s="592" t="s">
        <v>490</v>
      </c>
      <c r="D147" s="593" t="s">
        <v>1637</v>
      </c>
      <c r="E147" s="592" t="s">
        <v>495</v>
      </c>
      <c r="F147" s="593" t="s">
        <v>1638</v>
      </c>
      <c r="G147" s="592" t="s">
        <v>516</v>
      </c>
      <c r="H147" s="592" t="s">
        <v>996</v>
      </c>
      <c r="I147" s="592" t="s">
        <v>997</v>
      </c>
      <c r="J147" s="592" t="s">
        <v>998</v>
      </c>
      <c r="K147" s="592" t="s">
        <v>999</v>
      </c>
      <c r="L147" s="594">
        <v>306.31</v>
      </c>
      <c r="M147" s="594">
        <v>1</v>
      </c>
      <c r="N147" s="595">
        <v>306.31</v>
      </c>
    </row>
    <row r="148" spans="1:14" ht="14.4" customHeight="1" x14ac:dyDescent="0.3">
      <c r="A148" s="590" t="s">
        <v>485</v>
      </c>
      <c r="B148" s="591" t="s">
        <v>1636</v>
      </c>
      <c r="C148" s="592" t="s">
        <v>490</v>
      </c>
      <c r="D148" s="593" t="s">
        <v>1637</v>
      </c>
      <c r="E148" s="592" t="s">
        <v>495</v>
      </c>
      <c r="F148" s="593" t="s">
        <v>1638</v>
      </c>
      <c r="G148" s="592" t="s">
        <v>516</v>
      </c>
      <c r="H148" s="592" t="s">
        <v>1000</v>
      </c>
      <c r="I148" s="592" t="s">
        <v>1001</v>
      </c>
      <c r="J148" s="592" t="s">
        <v>1002</v>
      </c>
      <c r="K148" s="592" t="s">
        <v>1003</v>
      </c>
      <c r="L148" s="594">
        <v>108.57305507643413</v>
      </c>
      <c r="M148" s="594">
        <v>202</v>
      </c>
      <c r="N148" s="595">
        <v>21931.757125439693</v>
      </c>
    </row>
    <row r="149" spans="1:14" ht="14.4" customHeight="1" x14ac:dyDescent="0.3">
      <c r="A149" s="590" t="s">
        <v>485</v>
      </c>
      <c r="B149" s="591" t="s">
        <v>1636</v>
      </c>
      <c r="C149" s="592" t="s">
        <v>490</v>
      </c>
      <c r="D149" s="593" t="s">
        <v>1637</v>
      </c>
      <c r="E149" s="592" t="s">
        <v>495</v>
      </c>
      <c r="F149" s="593" t="s">
        <v>1638</v>
      </c>
      <c r="G149" s="592" t="s">
        <v>516</v>
      </c>
      <c r="H149" s="592" t="s">
        <v>1004</v>
      </c>
      <c r="I149" s="592" t="s">
        <v>1005</v>
      </c>
      <c r="J149" s="592" t="s">
        <v>1006</v>
      </c>
      <c r="K149" s="592" t="s">
        <v>1007</v>
      </c>
      <c r="L149" s="594">
        <v>3779.3574842049129</v>
      </c>
      <c r="M149" s="594">
        <v>10</v>
      </c>
      <c r="N149" s="595">
        <v>37793.574842049129</v>
      </c>
    </row>
    <row r="150" spans="1:14" ht="14.4" customHeight="1" x14ac:dyDescent="0.3">
      <c r="A150" s="590" t="s">
        <v>485</v>
      </c>
      <c r="B150" s="591" t="s">
        <v>1636</v>
      </c>
      <c r="C150" s="592" t="s">
        <v>490</v>
      </c>
      <c r="D150" s="593" t="s">
        <v>1637</v>
      </c>
      <c r="E150" s="592" t="s">
        <v>495</v>
      </c>
      <c r="F150" s="593" t="s">
        <v>1638</v>
      </c>
      <c r="G150" s="592" t="s">
        <v>516</v>
      </c>
      <c r="H150" s="592" t="s">
        <v>1008</v>
      </c>
      <c r="I150" s="592" t="s">
        <v>1009</v>
      </c>
      <c r="J150" s="592" t="s">
        <v>1010</v>
      </c>
      <c r="K150" s="592" t="s">
        <v>1011</v>
      </c>
      <c r="L150" s="594">
        <v>303.69935085446491</v>
      </c>
      <c r="M150" s="594">
        <v>1</v>
      </c>
      <c r="N150" s="595">
        <v>303.69935085446491</v>
      </c>
    </row>
    <row r="151" spans="1:14" ht="14.4" customHeight="1" x14ac:dyDescent="0.3">
      <c r="A151" s="590" t="s">
        <v>485</v>
      </c>
      <c r="B151" s="591" t="s">
        <v>1636</v>
      </c>
      <c r="C151" s="592" t="s">
        <v>490</v>
      </c>
      <c r="D151" s="593" t="s">
        <v>1637</v>
      </c>
      <c r="E151" s="592" t="s">
        <v>495</v>
      </c>
      <c r="F151" s="593" t="s">
        <v>1638</v>
      </c>
      <c r="G151" s="592" t="s">
        <v>516</v>
      </c>
      <c r="H151" s="592" t="s">
        <v>1012</v>
      </c>
      <c r="I151" s="592" t="s">
        <v>1013</v>
      </c>
      <c r="J151" s="592" t="s">
        <v>1014</v>
      </c>
      <c r="K151" s="592" t="s">
        <v>1015</v>
      </c>
      <c r="L151" s="594">
        <v>49.726666666666659</v>
      </c>
      <c r="M151" s="594">
        <v>6</v>
      </c>
      <c r="N151" s="595">
        <v>298.35999999999996</v>
      </c>
    </row>
    <row r="152" spans="1:14" ht="14.4" customHeight="1" x14ac:dyDescent="0.3">
      <c r="A152" s="590" t="s">
        <v>485</v>
      </c>
      <c r="B152" s="591" t="s">
        <v>1636</v>
      </c>
      <c r="C152" s="592" t="s">
        <v>490</v>
      </c>
      <c r="D152" s="593" t="s">
        <v>1637</v>
      </c>
      <c r="E152" s="592" t="s">
        <v>495</v>
      </c>
      <c r="F152" s="593" t="s">
        <v>1638</v>
      </c>
      <c r="G152" s="592" t="s">
        <v>516</v>
      </c>
      <c r="H152" s="592" t="s">
        <v>1016</v>
      </c>
      <c r="I152" s="592" t="s">
        <v>1017</v>
      </c>
      <c r="J152" s="592" t="s">
        <v>1018</v>
      </c>
      <c r="K152" s="592" t="s">
        <v>1019</v>
      </c>
      <c r="L152" s="594">
        <v>55.890000000000008</v>
      </c>
      <c r="M152" s="594">
        <v>6</v>
      </c>
      <c r="N152" s="595">
        <v>335.34000000000003</v>
      </c>
    </row>
    <row r="153" spans="1:14" ht="14.4" customHeight="1" x14ac:dyDescent="0.3">
      <c r="A153" s="590" t="s">
        <v>485</v>
      </c>
      <c r="B153" s="591" t="s">
        <v>1636</v>
      </c>
      <c r="C153" s="592" t="s">
        <v>490</v>
      </c>
      <c r="D153" s="593" t="s">
        <v>1637</v>
      </c>
      <c r="E153" s="592" t="s">
        <v>495</v>
      </c>
      <c r="F153" s="593" t="s">
        <v>1638</v>
      </c>
      <c r="G153" s="592" t="s">
        <v>516</v>
      </c>
      <c r="H153" s="592" t="s">
        <v>1020</v>
      </c>
      <c r="I153" s="592" t="s">
        <v>1021</v>
      </c>
      <c r="J153" s="592" t="s">
        <v>1022</v>
      </c>
      <c r="K153" s="592" t="s">
        <v>1023</v>
      </c>
      <c r="L153" s="594">
        <v>111.58</v>
      </c>
      <c r="M153" s="594">
        <v>24</v>
      </c>
      <c r="N153" s="595">
        <v>2677.92</v>
      </c>
    </row>
    <row r="154" spans="1:14" ht="14.4" customHeight="1" x14ac:dyDescent="0.3">
      <c r="A154" s="590" t="s">
        <v>485</v>
      </c>
      <c r="B154" s="591" t="s">
        <v>1636</v>
      </c>
      <c r="C154" s="592" t="s">
        <v>490</v>
      </c>
      <c r="D154" s="593" t="s">
        <v>1637</v>
      </c>
      <c r="E154" s="592" t="s">
        <v>495</v>
      </c>
      <c r="F154" s="593" t="s">
        <v>1638</v>
      </c>
      <c r="G154" s="592" t="s">
        <v>516</v>
      </c>
      <c r="H154" s="592" t="s">
        <v>1024</v>
      </c>
      <c r="I154" s="592" t="s">
        <v>211</v>
      </c>
      <c r="J154" s="592" t="s">
        <v>1025</v>
      </c>
      <c r="K154" s="592"/>
      <c r="L154" s="594">
        <v>146.81294076510261</v>
      </c>
      <c r="M154" s="594">
        <v>33</v>
      </c>
      <c r="N154" s="595">
        <v>4844.8270452483857</v>
      </c>
    </row>
    <row r="155" spans="1:14" ht="14.4" customHeight="1" x14ac:dyDescent="0.3">
      <c r="A155" s="590" t="s">
        <v>485</v>
      </c>
      <c r="B155" s="591" t="s">
        <v>1636</v>
      </c>
      <c r="C155" s="592" t="s">
        <v>490</v>
      </c>
      <c r="D155" s="593" t="s">
        <v>1637</v>
      </c>
      <c r="E155" s="592" t="s">
        <v>495</v>
      </c>
      <c r="F155" s="593" t="s">
        <v>1638</v>
      </c>
      <c r="G155" s="592" t="s">
        <v>516</v>
      </c>
      <c r="H155" s="592" t="s">
        <v>1026</v>
      </c>
      <c r="I155" s="592" t="s">
        <v>211</v>
      </c>
      <c r="J155" s="592" t="s">
        <v>1027</v>
      </c>
      <c r="K155" s="592"/>
      <c r="L155" s="594">
        <v>77.748821038701379</v>
      </c>
      <c r="M155" s="594">
        <v>26</v>
      </c>
      <c r="N155" s="595">
        <v>2021.4693470062357</v>
      </c>
    </row>
    <row r="156" spans="1:14" ht="14.4" customHeight="1" x14ac:dyDescent="0.3">
      <c r="A156" s="590" t="s">
        <v>485</v>
      </c>
      <c r="B156" s="591" t="s">
        <v>1636</v>
      </c>
      <c r="C156" s="592" t="s">
        <v>490</v>
      </c>
      <c r="D156" s="593" t="s">
        <v>1637</v>
      </c>
      <c r="E156" s="592" t="s">
        <v>495</v>
      </c>
      <c r="F156" s="593" t="s">
        <v>1638</v>
      </c>
      <c r="G156" s="592" t="s">
        <v>516</v>
      </c>
      <c r="H156" s="592" t="s">
        <v>1028</v>
      </c>
      <c r="I156" s="592" t="s">
        <v>211</v>
      </c>
      <c r="J156" s="592" t="s">
        <v>1029</v>
      </c>
      <c r="K156" s="592"/>
      <c r="L156" s="594">
        <v>222.98042120530241</v>
      </c>
      <c r="M156" s="594">
        <v>5</v>
      </c>
      <c r="N156" s="595">
        <v>1114.902106026512</v>
      </c>
    </row>
    <row r="157" spans="1:14" ht="14.4" customHeight="1" x14ac:dyDescent="0.3">
      <c r="A157" s="590" t="s">
        <v>485</v>
      </c>
      <c r="B157" s="591" t="s">
        <v>1636</v>
      </c>
      <c r="C157" s="592" t="s">
        <v>490</v>
      </c>
      <c r="D157" s="593" t="s">
        <v>1637</v>
      </c>
      <c r="E157" s="592" t="s">
        <v>495</v>
      </c>
      <c r="F157" s="593" t="s">
        <v>1638</v>
      </c>
      <c r="G157" s="592" t="s">
        <v>516</v>
      </c>
      <c r="H157" s="592" t="s">
        <v>1030</v>
      </c>
      <c r="I157" s="592" t="s">
        <v>211</v>
      </c>
      <c r="J157" s="592" t="s">
        <v>1031</v>
      </c>
      <c r="K157" s="592"/>
      <c r="L157" s="594">
        <v>216.83999661297227</v>
      </c>
      <c r="M157" s="594">
        <v>4</v>
      </c>
      <c r="N157" s="595">
        <v>867.35998645188909</v>
      </c>
    </row>
    <row r="158" spans="1:14" ht="14.4" customHeight="1" x14ac:dyDescent="0.3">
      <c r="A158" s="590" t="s">
        <v>485</v>
      </c>
      <c r="B158" s="591" t="s">
        <v>1636</v>
      </c>
      <c r="C158" s="592" t="s">
        <v>490</v>
      </c>
      <c r="D158" s="593" t="s">
        <v>1637</v>
      </c>
      <c r="E158" s="592" t="s">
        <v>495</v>
      </c>
      <c r="F158" s="593" t="s">
        <v>1638</v>
      </c>
      <c r="G158" s="592" t="s">
        <v>516</v>
      </c>
      <c r="H158" s="592" t="s">
        <v>1032</v>
      </c>
      <c r="I158" s="592" t="s">
        <v>211</v>
      </c>
      <c r="J158" s="592" t="s">
        <v>1033</v>
      </c>
      <c r="K158" s="592"/>
      <c r="L158" s="594">
        <v>217.80425159952622</v>
      </c>
      <c r="M158" s="594">
        <v>6</v>
      </c>
      <c r="N158" s="595">
        <v>1306.8255095971574</v>
      </c>
    </row>
    <row r="159" spans="1:14" ht="14.4" customHeight="1" x14ac:dyDescent="0.3">
      <c r="A159" s="590" t="s">
        <v>485</v>
      </c>
      <c r="B159" s="591" t="s">
        <v>1636</v>
      </c>
      <c r="C159" s="592" t="s">
        <v>490</v>
      </c>
      <c r="D159" s="593" t="s">
        <v>1637</v>
      </c>
      <c r="E159" s="592" t="s">
        <v>495</v>
      </c>
      <c r="F159" s="593" t="s">
        <v>1638</v>
      </c>
      <c r="G159" s="592" t="s">
        <v>516</v>
      </c>
      <c r="H159" s="592" t="s">
        <v>1034</v>
      </c>
      <c r="I159" s="592" t="s">
        <v>1034</v>
      </c>
      <c r="J159" s="592" t="s">
        <v>1035</v>
      </c>
      <c r="K159" s="592" t="s">
        <v>1036</v>
      </c>
      <c r="L159" s="594">
        <v>235.32000000000002</v>
      </c>
      <c r="M159" s="594">
        <v>3</v>
      </c>
      <c r="N159" s="595">
        <v>705.96</v>
      </c>
    </row>
    <row r="160" spans="1:14" ht="14.4" customHeight="1" x14ac:dyDescent="0.3">
      <c r="A160" s="590" t="s">
        <v>485</v>
      </c>
      <c r="B160" s="591" t="s">
        <v>1636</v>
      </c>
      <c r="C160" s="592" t="s">
        <v>490</v>
      </c>
      <c r="D160" s="593" t="s">
        <v>1637</v>
      </c>
      <c r="E160" s="592" t="s">
        <v>495</v>
      </c>
      <c r="F160" s="593" t="s">
        <v>1638</v>
      </c>
      <c r="G160" s="592" t="s">
        <v>516</v>
      </c>
      <c r="H160" s="592" t="s">
        <v>1037</v>
      </c>
      <c r="I160" s="592" t="s">
        <v>1038</v>
      </c>
      <c r="J160" s="592" t="s">
        <v>1039</v>
      </c>
      <c r="K160" s="592" t="s">
        <v>684</v>
      </c>
      <c r="L160" s="594">
        <v>41.12</v>
      </c>
      <c r="M160" s="594">
        <v>1</v>
      </c>
      <c r="N160" s="595">
        <v>41.12</v>
      </c>
    </row>
    <row r="161" spans="1:14" ht="14.4" customHeight="1" x14ac:dyDescent="0.3">
      <c r="A161" s="590" t="s">
        <v>485</v>
      </c>
      <c r="B161" s="591" t="s">
        <v>1636</v>
      </c>
      <c r="C161" s="592" t="s">
        <v>490</v>
      </c>
      <c r="D161" s="593" t="s">
        <v>1637</v>
      </c>
      <c r="E161" s="592" t="s">
        <v>495</v>
      </c>
      <c r="F161" s="593" t="s">
        <v>1638</v>
      </c>
      <c r="G161" s="592" t="s">
        <v>516</v>
      </c>
      <c r="H161" s="592" t="s">
        <v>1040</v>
      </c>
      <c r="I161" s="592" t="s">
        <v>1041</v>
      </c>
      <c r="J161" s="592" t="s">
        <v>1042</v>
      </c>
      <c r="K161" s="592" t="s">
        <v>1043</v>
      </c>
      <c r="L161" s="594">
        <v>117.7397361863534</v>
      </c>
      <c r="M161" s="594">
        <v>140</v>
      </c>
      <c r="N161" s="595">
        <v>16483.563066089475</v>
      </c>
    </row>
    <row r="162" spans="1:14" ht="14.4" customHeight="1" x14ac:dyDescent="0.3">
      <c r="A162" s="590" t="s">
        <v>485</v>
      </c>
      <c r="B162" s="591" t="s">
        <v>1636</v>
      </c>
      <c r="C162" s="592" t="s">
        <v>490</v>
      </c>
      <c r="D162" s="593" t="s">
        <v>1637</v>
      </c>
      <c r="E162" s="592" t="s">
        <v>495</v>
      </c>
      <c r="F162" s="593" t="s">
        <v>1638</v>
      </c>
      <c r="G162" s="592" t="s">
        <v>516</v>
      </c>
      <c r="H162" s="592" t="s">
        <v>1044</v>
      </c>
      <c r="I162" s="592" t="s">
        <v>1045</v>
      </c>
      <c r="J162" s="592" t="s">
        <v>860</v>
      </c>
      <c r="K162" s="592" t="s">
        <v>1046</v>
      </c>
      <c r="L162" s="594">
        <v>326.32</v>
      </c>
      <c r="M162" s="594">
        <v>3</v>
      </c>
      <c r="N162" s="595">
        <v>978.96</v>
      </c>
    </row>
    <row r="163" spans="1:14" ht="14.4" customHeight="1" x14ac:dyDescent="0.3">
      <c r="A163" s="590" t="s">
        <v>485</v>
      </c>
      <c r="B163" s="591" t="s">
        <v>1636</v>
      </c>
      <c r="C163" s="592" t="s">
        <v>490</v>
      </c>
      <c r="D163" s="593" t="s">
        <v>1637</v>
      </c>
      <c r="E163" s="592" t="s">
        <v>495</v>
      </c>
      <c r="F163" s="593" t="s">
        <v>1638</v>
      </c>
      <c r="G163" s="592" t="s">
        <v>516</v>
      </c>
      <c r="H163" s="592" t="s">
        <v>1047</v>
      </c>
      <c r="I163" s="592" t="s">
        <v>1048</v>
      </c>
      <c r="J163" s="592" t="s">
        <v>1049</v>
      </c>
      <c r="K163" s="592" t="s">
        <v>1050</v>
      </c>
      <c r="L163" s="594">
        <v>102.93001232066463</v>
      </c>
      <c r="M163" s="594">
        <v>1</v>
      </c>
      <c r="N163" s="595">
        <v>102.93001232066463</v>
      </c>
    </row>
    <row r="164" spans="1:14" ht="14.4" customHeight="1" x14ac:dyDescent="0.3">
      <c r="A164" s="590" t="s">
        <v>485</v>
      </c>
      <c r="B164" s="591" t="s">
        <v>1636</v>
      </c>
      <c r="C164" s="592" t="s">
        <v>490</v>
      </c>
      <c r="D164" s="593" t="s">
        <v>1637</v>
      </c>
      <c r="E164" s="592" t="s">
        <v>495</v>
      </c>
      <c r="F164" s="593" t="s">
        <v>1638</v>
      </c>
      <c r="G164" s="592" t="s">
        <v>516</v>
      </c>
      <c r="H164" s="592" t="s">
        <v>1051</v>
      </c>
      <c r="I164" s="592" t="s">
        <v>1052</v>
      </c>
      <c r="J164" s="592" t="s">
        <v>1053</v>
      </c>
      <c r="K164" s="592" t="s">
        <v>1054</v>
      </c>
      <c r="L164" s="594">
        <v>1015.7061263310968</v>
      </c>
      <c r="M164" s="594">
        <v>10</v>
      </c>
      <c r="N164" s="595">
        <v>10157.061263310969</v>
      </c>
    </row>
    <row r="165" spans="1:14" ht="14.4" customHeight="1" x14ac:dyDescent="0.3">
      <c r="A165" s="590" t="s">
        <v>485</v>
      </c>
      <c r="B165" s="591" t="s">
        <v>1636</v>
      </c>
      <c r="C165" s="592" t="s">
        <v>490</v>
      </c>
      <c r="D165" s="593" t="s">
        <v>1637</v>
      </c>
      <c r="E165" s="592" t="s">
        <v>495</v>
      </c>
      <c r="F165" s="593" t="s">
        <v>1638</v>
      </c>
      <c r="G165" s="592" t="s">
        <v>516</v>
      </c>
      <c r="H165" s="592" t="s">
        <v>1055</v>
      </c>
      <c r="I165" s="592" t="s">
        <v>1055</v>
      </c>
      <c r="J165" s="592" t="s">
        <v>1056</v>
      </c>
      <c r="K165" s="592" t="s">
        <v>1057</v>
      </c>
      <c r="L165" s="594">
        <v>96.19</v>
      </c>
      <c r="M165" s="594">
        <v>1</v>
      </c>
      <c r="N165" s="595">
        <v>96.19</v>
      </c>
    </row>
    <row r="166" spans="1:14" ht="14.4" customHeight="1" x14ac:dyDescent="0.3">
      <c r="A166" s="590" t="s">
        <v>485</v>
      </c>
      <c r="B166" s="591" t="s">
        <v>1636</v>
      </c>
      <c r="C166" s="592" t="s">
        <v>490</v>
      </c>
      <c r="D166" s="593" t="s">
        <v>1637</v>
      </c>
      <c r="E166" s="592" t="s">
        <v>495</v>
      </c>
      <c r="F166" s="593" t="s">
        <v>1638</v>
      </c>
      <c r="G166" s="592" t="s">
        <v>516</v>
      </c>
      <c r="H166" s="592" t="s">
        <v>1058</v>
      </c>
      <c r="I166" s="592" t="s">
        <v>1059</v>
      </c>
      <c r="J166" s="592" t="s">
        <v>1060</v>
      </c>
      <c r="K166" s="592" t="s">
        <v>1061</v>
      </c>
      <c r="L166" s="594">
        <v>1036.82</v>
      </c>
      <c r="M166" s="594">
        <v>63</v>
      </c>
      <c r="N166" s="595">
        <v>65319.659999999989</v>
      </c>
    </row>
    <row r="167" spans="1:14" ht="14.4" customHeight="1" x14ac:dyDescent="0.3">
      <c r="A167" s="590" t="s">
        <v>485</v>
      </c>
      <c r="B167" s="591" t="s">
        <v>1636</v>
      </c>
      <c r="C167" s="592" t="s">
        <v>490</v>
      </c>
      <c r="D167" s="593" t="s">
        <v>1637</v>
      </c>
      <c r="E167" s="592" t="s">
        <v>495</v>
      </c>
      <c r="F167" s="593" t="s">
        <v>1638</v>
      </c>
      <c r="G167" s="592" t="s">
        <v>516</v>
      </c>
      <c r="H167" s="592" t="s">
        <v>1062</v>
      </c>
      <c r="I167" s="592" t="s">
        <v>1063</v>
      </c>
      <c r="J167" s="592" t="s">
        <v>1064</v>
      </c>
      <c r="K167" s="592" t="s">
        <v>1065</v>
      </c>
      <c r="L167" s="594">
        <v>4539.4800000000005</v>
      </c>
      <c r="M167" s="594">
        <v>2</v>
      </c>
      <c r="N167" s="595">
        <v>9078.9600000000009</v>
      </c>
    </row>
    <row r="168" spans="1:14" ht="14.4" customHeight="1" x14ac:dyDescent="0.3">
      <c r="A168" s="590" t="s">
        <v>485</v>
      </c>
      <c r="B168" s="591" t="s">
        <v>1636</v>
      </c>
      <c r="C168" s="592" t="s">
        <v>490</v>
      </c>
      <c r="D168" s="593" t="s">
        <v>1637</v>
      </c>
      <c r="E168" s="592" t="s">
        <v>495</v>
      </c>
      <c r="F168" s="593" t="s">
        <v>1638</v>
      </c>
      <c r="G168" s="592" t="s">
        <v>516</v>
      </c>
      <c r="H168" s="592" t="s">
        <v>1066</v>
      </c>
      <c r="I168" s="592" t="s">
        <v>1067</v>
      </c>
      <c r="J168" s="592" t="s">
        <v>1068</v>
      </c>
      <c r="K168" s="592" t="s">
        <v>1069</v>
      </c>
      <c r="L168" s="594">
        <v>399.47991148508618</v>
      </c>
      <c r="M168" s="594">
        <v>61</v>
      </c>
      <c r="N168" s="595">
        <v>24368.274600590255</v>
      </c>
    </row>
    <row r="169" spans="1:14" ht="14.4" customHeight="1" x14ac:dyDescent="0.3">
      <c r="A169" s="590" t="s">
        <v>485</v>
      </c>
      <c r="B169" s="591" t="s">
        <v>1636</v>
      </c>
      <c r="C169" s="592" t="s">
        <v>490</v>
      </c>
      <c r="D169" s="593" t="s">
        <v>1637</v>
      </c>
      <c r="E169" s="592" t="s">
        <v>495</v>
      </c>
      <c r="F169" s="593" t="s">
        <v>1638</v>
      </c>
      <c r="G169" s="592" t="s">
        <v>516</v>
      </c>
      <c r="H169" s="592" t="s">
        <v>1070</v>
      </c>
      <c r="I169" s="592" t="s">
        <v>211</v>
      </c>
      <c r="J169" s="592" t="s">
        <v>1071</v>
      </c>
      <c r="K169" s="592"/>
      <c r="L169" s="594">
        <v>113.59907600406629</v>
      </c>
      <c r="M169" s="594">
        <v>19</v>
      </c>
      <c r="N169" s="595">
        <v>2158.3824440772596</v>
      </c>
    </row>
    <row r="170" spans="1:14" ht="14.4" customHeight="1" x14ac:dyDescent="0.3">
      <c r="A170" s="590" t="s">
        <v>485</v>
      </c>
      <c r="B170" s="591" t="s">
        <v>1636</v>
      </c>
      <c r="C170" s="592" t="s">
        <v>490</v>
      </c>
      <c r="D170" s="593" t="s">
        <v>1637</v>
      </c>
      <c r="E170" s="592" t="s">
        <v>495</v>
      </c>
      <c r="F170" s="593" t="s">
        <v>1638</v>
      </c>
      <c r="G170" s="592" t="s">
        <v>516</v>
      </c>
      <c r="H170" s="592" t="s">
        <v>1072</v>
      </c>
      <c r="I170" s="592" t="s">
        <v>1073</v>
      </c>
      <c r="J170" s="592" t="s">
        <v>1074</v>
      </c>
      <c r="K170" s="592" t="s">
        <v>1075</v>
      </c>
      <c r="L170" s="594">
        <v>225.91</v>
      </c>
      <c r="M170" s="594">
        <v>1</v>
      </c>
      <c r="N170" s="595">
        <v>225.91</v>
      </c>
    </row>
    <row r="171" spans="1:14" ht="14.4" customHeight="1" x14ac:dyDescent="0.3">
      <c r="A171" s="590" t="s">
        <v>485</v>
      </c>
      <c r="B171" s="591" t="s">
        <v>1636</v>
      </c>
      <c r="C171" s="592" t="s">
        <v>490</v>
      </c>
      <c r="D171" s="593" t="s">
        <v>1637</v>
      </c>
      <c r="E171" s="592" t="s">
        <v>495</v>
      </c>
      <c r="F171" s="593" t="s">
        <v>1638</v>
      </c>
      <c r="G171" s="592" t="s">
        <v>516</v>
      </c>
      <c r="H171" s="592" t="s">
        <v>1076</v>
      </c>
      <c r="I171" s="592" t="s">
        <v>1077</v>
      </c>
      <c r="J171" s="592" t="s">
        <v>719</v>
      </c>
      <c r="K171" s="592" t="s">
        <v>1078</v>
      </c>
      <c r="L171" s="594">
        <v>474.18</v>
      </c>
      <c r="M171" s="594">
        <v>1</v>
      </c>
      <c r="N171" s="595">
        <v>474.18</v>
      </c>
    </row>
    <row r="172" spans="1:14" ht="14.4" customHeight="1" x14ac:dyDescent="0.3">
      <c r="A172" s="590" t="s">
        <v>485</v>
      </c>
      <c r="B172" s="591" t="s">
        <v>1636</v>
      </c>
      <c r="C172" s="592" t="s">
        <v>490</v>
      </c>
      <c r="D172" s="593" t="s">
        <v>1637</v>
      </c>
      <c r="E172" s="592" t="s">
        <v>495</v>
      </c>
      <c r="F172" s="593" t="s">
        <v>1638</v>
      </c>
      <c r="G172" s="592" t="s">
        <v>516</v>
      </c>
      <c r="H172" s="592" t="s">
        <v>1079</v>
      </c>
      <c r="I172" s="592" t="s">
        <v>211</v>
      </c>
      <c r="J172" s="592" t="s">
        <v>1080</v>
      </c>
      <c r="K172" s="592" t="s">
        <v>1081</v>
      </c>
      <c r="L172" s="594">
        <v>367.33000000000004</v>
      </c>
      <c r="M172" s="594">
        <v>4</v>
      </c>
      <c r="N172" s="595">
        <v>1469.3200000000002</v>
      </c>
    </row>
    <row r="173" spans="1:14" ht="14.4" customHeight="1" x14ac:dyDescent="0.3">
      <c r="A173" s="590" t="s">
        <v>485</v>
      </c>
      <c r="B173" s="591" t="s">
        <v>1636</v>
      </c>
      <c r="C173" s="592" t="s">
        <v>490</v>
      </c>
      <c r="D173" s="593" t="s">
        <v>1637</v>
      </c>
      <c r="E173" s="592" t="s">
        <v>495</v>
      </c>
      <c r="F173" s="593" t="s">
        <v>1638</v>
      </c>
      <c r="G173" s="592" t="s">
        <v>516</v>
      </c>
      <c r="H173" s="592" t="s">
        <v>1082</v>
      </c>
      <c r="I173" s="592" t="s">
        <v>1083</v>
      </c>
      <c r="J173" s="592" t="s">
        <v>1084</v>
      </c>
      <c r="K173" s="592" t="s">
        <v>1085</v>
      </c>
      <c r="L173" s="594">
        <v>79.204915498233206</v>
      </c>
      <c r="M173" s="594">
        <v>6</v>
      </c>
      <c r="N173" s="595">
        <v>475.2294929893992</v>
      </c>
    </row>
    <row r="174" spans="1:14" ht="14.4" customHeight="1" x14ac:dyDescent="0.3">
      <c r="A174" s="590" t="s">
        <v>485</v>
      </c>
      <c r="B174" s="591" t="s">
        <v>1636</v>
      </c>
      <c r="C174" s="592" t="s">
        <v>490</v>
      </c>
      <c r="D174" s="593" t="s">
        <v>1637</v>
      </c>
      <c r="E174" s="592" t="s">
        <v>495</v>
      </c>
      <c r="F174" s="593" t="s">
        <v>1638</v>
      </c>
      <c r="G174" s="592" t="s">
        <v>516</v>
      </c>
      <c r="H174" s="592" t="s">
        <v>1086</v>
      </c>
      <c r="I174" s="592" t="s">
        <v>1087</v>
      </c>
      <c r="J174" s="592" t="s">
        <v>1088</v>
      </c>
      <c r="K174" s="592" t="s">
        <v>1089</v>
      </c>
      <c r="L174" s="594">
        <v>2788.64</v>
      </c>
      <c r="M174" s="594">
        <v>1</v>
      </c>
      <c r="N174" s="595">
        <v>2788.64</v>
      </c>
    </row>
    <row r="175" spans="1:14" ht="14.4" customHeight="1" x14ac:dyDescent="0.3">
      <c r="A175" s="590" t="s">
        <v>485</v>
      </c>
      <c r="B175" s="591" t="s">
        <v>1636</v>
      </c>
      <c r="C175" s="592" t="s">
        <v>490</v>
      </c>
      <c r="D175" s="593" t="s">
        <v>1637</v>
      </c>
      <c r="E175" s="592" t="s">
        <v>495</v>
      </c>
      <c r="F175" s="593" t="s">
        <v>1638</v>
      </c>
      <c r="G175" s="592" t="s">
        <v>516</v>
      </c>
      <c r="H175" s="592" t="s">
        <v>1090</v>
      </c>
      <c r="I175" s="592" t="s">
        <v>211</v>
      </c>
      <c r="J175" s="592" t="s">
        <v>1091</v>
      </c>
      <c r="K175" s="592"/>
      <c r="L175" s="594">
        <v>125.06509684057956</v>
      </c>
      <c r="M175" s="594">
        <v>34</v>
      </c>
      <c r="N175" s="595">
        <v>4252.213292579705</v>
      </c>
    </row>
    <row r="176" spans="1:14" ht="14.4" customHeight="1" x14ac:dyDescent="0.3">
      <c r="A176" s="590" t="s">
        <v>485</v>
      </c>
      <c r="B176" s="591" t="s">
        <v>1636</v>
      </c>
      <c r="C176" s="592" t="s">
        <v>490</v>
      </c>
      <c r="D176" s="593" t="s">
        <v>1637</v>
      </c>
      <c r="E176" s="592" t="s">
        <v>495</v>
      </c>
      <c r="F176" s="593" t="s">
        <v>1638</v>
      </c>
      <c r="G176" s="592" t="s">
        <v>516</v>
      </c>
      <c r="H176" s="592" t="s">
        <v>1092</v>
      </c>
      <c r="I176" s="592" t="s">
        <v>1093</v>
      </c>
      <c r="J176" s="592" t="s">
        <v>1094</v>
      </c>
      <c r="K176" s="592" t="s">
        <v>1095</v>
      </c>
      <c r="L176" s="594">
        <v>109.22999999999999</v>
      </c>
      <c r="M176" s="594">
        <v>144</v>
      </c>
      <c r="N176" s="595">
        <v>15729.119999999999</v>
      </c>
    </row>
    <row r="177" spans="1:14" ht="14.4" customHeight="1" x14ac:dyDescent="0.3">
      <c r="A177" s="590" t="s">
        <v>485</v>
      </c>
      <c r="B177" s="591" t="s">
        <v>1636</v>
      </c>
      <c r="C177" s="592" t="s">
        <v>490</v>
      </c>
      <c r="D177" s="593" t="s">
        <v>1637</v>
      </c>
      <c r="E177" s="592" t="s">
        <v>495</v>
      </c>
      <c r="F177" s="593" t="s">
        <v>1638</v>
      </c>
      <c r="G177" s="592" t="s">
        <v>516</v>
      </c>
      <c r="H177" s="592" t="s">
        <v>1096</v>
      </c>
      <c r="I177" s="592" t="s">
        <v>1097</v>
      </c>
      <c r="J177" s="592" t="s">
        <v>1098</v>
      </c>
      <c r="K177" s="592" t="s">
        <v>1099</v>
      </c>
      <c r="L177" s="594">
        <v>734.05</v>
      </c>
      <c r="M177" s="594">
        <v>1</v>
      </c>
      <c r="N177" s="595">
        <v>734.05</v>
      </c>
    </row>
    <row r="178" spans="1:14" ht="14.4" customHeight="1" x14ac:dyDescent="0.3">
      <c r="A178" s="590" t="s">
        <v>485</v>
      </c>
      <c r="B178" s="591" t="s">
        <v>1636</v>
      </c>
      <c r="C178" s="592" t="s">
        <v>490</v>
      </c>
      <c r="D178" s="593" t="s">
        <v>1637</v>
      </c>
      <c r="E178" s="592" t="s">
        <v>495</v>
      </c>
      <c r="F178" s="593" t="s">
        <v>1638</v>
      </c>
      <c r="G178" s="592" t="s">
        <v>516</v>
      </c>
      <c r="H178" s="592" t="s">
        <v>1100</v>
      </c>
      <c r="I178" s="592" t="s">
        <v>1101</v>
      </c>
      <c r="J178" s="592" t="s">
        <v>1102</v>
      </c>
      <c r="K178" s="592" t="s">
        <v>608</v>
      </c>
      <c r="L178" s="594">
        <v>210.45</v>
      </c>
      <c r="M178" s="594">
        <v>7</v>
      </c>
      <c r="N178" s="595">
        <v>1473.1499999999999</v>
      </c>
    </row>
    <row r="179" spans="1:14" ht="14.4" customHeight="1" x14ac:dyDescent="0.3">
      <c r="A179" s="590" t="s">
        <v>485</v>
      </c>
      <c r="B179" s="591" t="s">
        <v>1636</v>
      </c>
      <c r="C179" s="592" t="s">
        <v>490</v>
      </c>
      <c r="D179" s="593" t="s">
        <v>1637</v>
      </c>
      <c r="E179" s="592" t="s">
        <v>495</v>
      </c>
      <c r="F179" s="593" t="s">
        <v>1638</v>
      </c>
      <c r="G179" s="592" t="s">
        <v>516</v>
      </c>
      <c r="H179" s="592" t="s">
        <v>1103</v>
      </c>
      <c r="I179" s="592" t="s">
        <v>1104</v>
      </c>
      <c r="J179" s="592" t="s">
        <v>1105</v>
      </c>
      <c r="K179" s="592" t="s">
        <v>1106</v>
      </c>
      <c r="L179" s="594">
        <v>116.56</v>
      </c>
      <c r="M179" s="594">
        <v>1</v>
      </c>
      <c r="N179" s="595">
        <v>116.56</v>
      </c>
    </row>
    <row r="180" spans="1:14" ht="14.4" customHeight="1" x14ac:dyDescent="0.3">
      <c r="A180" s="590" t="s">
        <v>485</v>
      </c>
      <c r="B180" s="591" t="s">
        <v>1636</v>
      </c>
      <c r="C180" s="592" t="s">
        <v>490</v>
      </c>
      <c r="D180" s="593" t="s">
        <v>1637</v>
      </c>
      <c r="E180" s="592" t="s">
        <v>495</v>
      </c>
      <c r="F180" s="593" t="s">
        <v>1638</v>
      </c>
      <c r="G180" s="592" t="s">
        <v>516</v>
      </c>
      <c r="H180" s="592" t="s">
        <v>1107</v>
      </c>
      <c r="I180" s="592" t="s">
        <v>1108</v>
      </c>
      <c r="J180" s="592" t="s">
        <v>1109</v>
      </c>
      <c r="K180" s="592" t="s">
        <v>1110</v>
      </c>
      <c r="L180" s="594">
        <v>339.93996667601112</v>
      </c>
      <c r="M180" s="594">
        <v>7</v>
      </c>
      <c r="N180" s="595">
        <v>2379.579766732078</v>
      </c>
    </row>
    <row r="181" spans="1:14" ht="14.4" customHeight="1" x14ac:dyDescent="0.3">
      <c r="A181" s="590" t="s">
        <v>485</v>
      </c>
      <c r="B181" s="591" t="s">
        <v>1636</v>
      </c>
      <c r="C181" s="592" t="s">
        <v>490</v>
      </c>
      <c r="D181" s="593" t="s">
        <v>1637</v>
      </c>
      <c r="E181" s="592" t="s">
        <v>495</v>
      </c>
      <c r="F181" s="593" t="s">
        <v>1638</v>
      </c>
      <c r="G181" s="592" t="s">
        <v>516</v>
      </c>
      <c r="H181" s="592" t="s">
        <v>1111</v>
      </c>
      <c r="I181" s="592" t="s">
        <v>211</v>
      </c>
      <c r="J181" s="592" t="s">
        <v>1112</v>
      </c>
      <c r="K181" s="592"/>
      <c r="L181" s="594">
        <v>167.17434648843945</v>
      </c>
      <c r="M181" s="594">
        <v>11</v>
      </c>
      <c r="N181" s="595">
        <v>1838.917811372834</v>
      </c>
    </row>
    <row r="182" spans="1:14" ht="14.4" customHeight="1" x14ac:dyDescent="0.3">
      <c r="A182" s="590" t="s">
        <v>485</v>
      </c>
      <c r="B182" s="591" t="s">
        <v>1636</v>
      </c>
      <c r="C182" s="592" t="s">
        <v>490</v>
      </c>
      <c r="D182" s="593" t="s">
        <v>1637</v>
      </c>
      <c r="E182" s="592" t="s">
        <v>495</v>
      </c>
      <c r="F182" s="593" t="s">
        <v>1638</v>
      </c>
      <c r="G182" s="592" t="s">
        <v>516</v>
      </c>
      <c r="H182" s="592" t="s">
        <v>1113</v>
      </c>
      <c r="I182" s="592" t="s">
        <v>211</v>
      </c>
      <c r="J182" s="592" t="s">
        <v>1114</v>
      </c>
      <c r="K182" s="592"/>
      <c r="L182" s="594">
        <v>153.9645993843605</v>
      </c>
      <c r="M182" s="594">
        <v>2</v>
      </c>
      <c r="N182" s="595">
        <v>307.92919876872099</v>
      </c>
    </row>
    <row r="183" spans="1:14" ht="14.4" customHeight="1" x14ac:dyDescent="0.3">
      <c r="A183" s="590" t="s">
        <v>485</v>
      </c>
      <c r="B183" s="591" t="s">
        <v>1636</v>
      </c>
      <c r="C183" s="592" t="s">
        <v>490</v>
      </c>
      <c r="D183" s="593" t="s">
        <v>1637</v>
      </c>
      <c r="E183" s="592" t="s">
        <v>495</v>
      </c>
      <c r="F183" s="593" t="s">
        <v>1638</v>
      </c>
      <c r="G183" s="592" t="s">
        <v>516</v>
      </c>
      <c r="H183" s="592" t="s">
        <v>1115</v>
      </c>
      <c r="I183" s="592" t="s">
        <v>1116</v>
      </c>
      <c r="J183" s="592" t="s">
        <v>1117</v>
      </c>
      <c r="K183" s="592" t="s">
        <v>1118</v>
      </c>
      <c r="L183" s="594">
        <v>146.22000000000003</v>
      </c>
      <c r="M183" s="594">
        <v>1</v>
      </c>
      <c r="N183" s="595">
        <v>146.22000000000003</v>
      </c>
    </row>
    <row r="184" spans="1:14" ht="14.4" customHeight="1" x14ac:dyDescent="0.3">
      <c r="A184" s="590" t="s">
        <v>485</v>
      </c>
      <c r="B184" s="591" t="s">
        <v>1636</v>
      </c>
      <c r="C184" s="592" t="s">
        <v>490</v>
      </c>
      <c r="D184" s="593" t="s">
        <v>1637</v>
      </c>
      <c r="E184" s="592" t="s">
        <v>495</v>
      </c>
      <c r="F184" s="593" t="s">
        <v>1638</v>
      </c>
      <c r="G184" s="592" t="s">
        <v>516</v>
      </c>
      <c r="H184" s="592" t="s">
        <v>1119</v>
      </c>
      <c r="I184" s="592" t="s">
        <v>1120</v>
      </c>
      <c r="J184" s="592" t="s">
        <v>1121</v>
      </c>
      <c r="K184" s="592" t="s">
        <v>1122</v>
      </c>
      <c r="L184" s="594">
        <v>2225.7696695570603</v>
      </c>
      <c r="M184" s="594">
        <v>12</v>
      </c>
      <c r="N184" s="595">
        <v>26709.236034684724</v>
      </c>
    </row>
    <row r="185" spans="1:14" ht="14.4" customHeight="1" x14ac:dyDescent="0.3">
      <c r="A185" s="590" t="s">
        <v>485</v>
      </c>
      <c r="B185" s="591" t="s">
        <v>1636</v>
      </c>
      <c r="C185" s="592" t="s">
        <v>490</v>
      </c>
      <c r="D185" s="593" t="s">
        <v>1637</v>
      </c>
      <c r="E185" s="592" t="s">
        <v>495</v>
      </c>
      <c r="F185" s="593" t="s">
        <v>1638</v>
      </c>
      <c r="G185" s="592" t="s">
        <v>516</v>
      </c>
      <c r="H185" s="592" t="s">
        <v>1123</v>
      </c>
      <c r="I185" s="592" t="s">
        <v>1124</v>
      </c>
      <c r="J185" s="592" t="s">
        <v>1125</v>
      </c>
      <c r="K185" s="592" t="s">
        <v>1126</v>
      </c>
      <c r="L185" s="594">
        <v>2300.0022222222219</v>
      </c>
      <c r="M185" s="594">
        <v>3</v>
      </c>
      <c r="N185" s="595">
        <v>6900.0066666666662</v>
      </c>
    </row>
    <row r="186" spans="1:14" ht="14.4" customHeight="1" x14ac:dyDescent="0.3">
      <c r="A186" s="590" t="s">
        <v>485</v>
      </c>
      <c r="B186" s="591" t="s">
        <v>1636</v>
      </c>
      <c r="C186" s="592" t="s">
        <v>490</v>
      </c>
      <c r="D186" s="593" t="s">
        <v>1637</v>
      </c>
      <c r="E186" s="592" t="s">
        <v>495</v>
      </c>
      <c r="F186" s="593" t="s">
        <v>1638</v>
      </c>
      <c r="G186" s="592" t="s">
        <v>516</v>
      </c>
      <c r="H186" s="592" t="s">
        <v>1127</v>
      </c>
      <c r="I186" s="592" t="s">
        <v>1127</v>
      </c>
      <c r="J186" s="592" t="s">
        <v>1128</v>
      </c>
      <c r="K186" s="592" t="s">
        <v>522</v>
      </c>
      <c r="L186" s="594">
        <v>382.61</v>
      </c>
      <c r="M186" s="594">
        <v>2</v>
      </c>
      <c r="N186" s="595">
        <v>765.22</v>
      </c>
    </row>
    <row r="187" spans="1:14" ht="14.4" customHeight="1" x14ac:dyDescent="0.3">
      <c r="A187" s="590" t="s">
        <v>485</v>
      </c>
      <c r="B187" s="591" t="s">
        <v>1636</v>
      </c>
      <c r="C187" s="592" t="s">
        <v>490</v>
      </c>
      <c r="D187" s="593" t="s">
        <v>1637</v>
      </c>
      <c r="E187" s="592" t="s">
        <v>495</v>
      </c>
      <c r="F187" s="593" t="s">
        <v>1638</v>
      </c>
      <c r="G187" s="592" t="s">
        <v>516</v>
      </c>
      <c r="H187" s="592" t="s">
        <v>1129</v>
      </c>
      <c r="I187" s="592" t="s">
        <v>1130</v>
      </c>
      <c r="J187" s="592" t="s">
        <v>1131</v>
      </c>
      <c r="K187" s="592" t="s">
        <v>1065</v>
      </c>
      <c r="L187" s="594">
        <v>2700</v>
      </c>
      <c r="M187" s="594">
        <v>9</v>
      </c>
      <c r="N187" s="595">
        <v>24300</v>
      </c>
    </row>
    <row r="188" spans="1:14" ht="14.4" customHeight="1" x14ac:dyDescent="0.3">
      <c r="A188" s="590" t="s">
        <v>485</v>
      </c>
      <c r="B188" s="591" t="s">
        <v>1636</v>
      </c>
      <c r="C188" s="592" t="s">
        <v>490</v>
      </c>
      <c r="D188" s="593" t="s">
        <v>1637</v>
      </c>
      <c r="E188" s="592" t="s">
        <v>495</v>
      </c>
      <c r="F188" s="593" t="s">
        <v>1638</v>
      </c>
      <c r="G188" s="592" t="s">
        <v>516</v>
      </c>
      <c r="H188" s="592" t="s">
        <v>1132</v>
      </c>
      <c r="I188" s="592" t="s">
        <v>1133</v>
      </c>
      <c r="J188" s="592" t="s">
        <v>1134</v>
      </c>
      <c r="K188" s="592" t="s">
        <v>1135</v>
      </c>
      <c r="L188" s="594">
        <v>3818.0861643042203</v>
      </c>
      <c r="M188" s="594">
        <v>7</v>
      </c>
      <c r="N188" s="595">
        <v>26726.603150129544</v>
      </c>
    </row>
    <row r="189" spans="1:14" ht="14.4" customHeight="1" x14ac:dyDescent="0.3">
      <c r="A189" s="590" t="s">
        <v>485</v>
      </c>
      <c r="B189" s="591" t="s">
        <v>1636</v>
      </c>
      <c r="C189" s="592" t="s">
        <v>490</v>
      </c>
      <c r="D189" s="593" t="s">
        <v>1637</v>
      </c>
      <c r="E189" s="592" t="s">
        <v>495</v>
      </c>
      <c r="F189" s="593" t="s">
        <v>1638</v>
      </c>
      <c r="G189" s="592" t="s">
        <v>516</v>
      </c>
      <c r="H189" s="592" t="s">
        <v>1136</v>
      </c>
      <c r="I189" s="592" t="s">
        <v>211</v>
      </c>
      <c r="J189" s="592" t="s">
        <v>1137</v>
      </c>
      <c r="K189" s="592"/>
      <c r="L189" s="594">
        <v>84.038267775792434</v>
      </c>
      <c r="M189" s="594">
        <v>10</v>
      </c>
      <c r="N189" s="595">
        <v>840.38267775792428</v>
      </c>
    </row>
    <row r="190" spans="1:14" ht="14.4" customHeight="1" x14ac:dyDescent="0.3">
      <c r="A190" s="590" t="s">
        <v>485</v>
      </c>
      <c r="B190" s="591" t="s">
        <v>1636</v>
      </c>
      <c r="C190" s="592" t="s">
        <v>490</v>
      </c>
      <c r="D190" s="593" t="s">
        <v>1637</v>
      </c>
      <c r="E190" s="592" t="s">
        <v>495</v>
      </c>
      <c r="F190" s="593" t="s">
        <v>1638</v>
      </c>
      <c r="G190" s="592" t="s">
        <v>516</v>
      </c>
      <c r="H190" s="592" t="s">
        <v>1138</v>
      </c>
      <c r="I190" s="592" t="s">
        <v>1138</v>
      </c>
      <c r="J190" s="592" t="s">
        <v>1139</v>
      </c>
      <c r="K190" s="592" t="s">
        <v>1140</v>
      </c>
      <c r="L190" s="594">
        <v>187.98023695883205</v>
      </c>
      <c r="M190" s="594">
        <v>4</v>
      </c>
      <c r="N190" s="595">
        <v>751.92094783532821</v>
      </c>
    </row>
    <row r="191" spans="1:14" ht="14.4" customHeight="1" x14ac:dyDescent="0.3">
      <c r="A191" s="590" t="s">
        <v>485</v>
      </c>
      <c r="B191" s="591" t="s">
        <v>1636</v>
      </c>
      <c r="C191" s="592" t="s">
        <v>490</v>
      </c>
      <c r="D191" s="593" t="s">
        <v>1637</v>
      </c>
      <c r="E191" s="592" t="s">
        <v>495</v>
      </c>
      <c r="F191" s="593" t="s">
        <v>1638</v>
      </c>
      <c r="G191" s="592" t="s">
        <v>516</v>
      </c>
      <c r="H191" s="592" t="s">
        <v>1141</v>
      </c>
      <c r="I191" s="592" t="s">
        <v>1142</v>
      </c>
      <c r="J191" s="592" t="s">
        <v>1143</v>
      </c>
      <c r="K191" s="592" t="s">
        <v>1095</v>
      </c>
      <c r="L191" s="594">
        <v>36.64</v>
      </c>
      <c r="M191" s="594">
        <v>20</v>
      </c>
      <c r="N191" s="595">
        <v>732.8</v>
      </c>
    </row>
    <row r="192" spans="1:14" ht="14.4" customHeight="1" x14ac:dyDescent="0.3">
      <c r="A192" s="590" t="s">
        <v>485</v>
      </c>
      <c r="B192" s="591" t="s">
        <v>1636</v>
      </c>
      <c r="C192" s="592" t="s">
        <v>490</v>
      </c>
      <c r="D192" s="593" t="s">
        <v>1637</v>
      </c>
      <c r="E192" s="592" t="s">
        <v>495</v>
      </c>
      <c r="F192" s="593" t="s">
        <v>1638</v>
      </c>
      <c r="G192" s="592" t="s">
        <v>516</v>
      </c>
      <c r="H192" s="592" t="s">
        <v>1144</v>
      </c>
      <c r="I192" s="592" t="s">
        <v>1145</v>
      </c>
      <c r="J192" s="592" t="s">
        <v>1146</v>
      </c>
      <c r="K192" s="592" t="s">
        <v>1147</v>
      </c>
      <c r="L192" s="594">
        <v>999.15</v>
      </c>
      <c r="M192" s="594">
        <v>1</v>
      </c>
      <c r="N192" s="595">
        <v>999.15</v>
      </c>
    </row>
    <row r="193" spans="1:14" ht="14.4" customHeight="1" x14ac:dyDescent="0.3">
      <c r="A193" s="590" t="s">
        <v>485</v>
      </c>
      <c r="B193" s="591" t="s">
        <v>1636</v>
      </c>
      <c r="C193" s="592" t="s">
        <v>490</v>
      </c>
      <c r="D193" s="593" t="s">
        <v>1637</v>
      </c>
      <c r="E193" s="592" t="s">
        <v>495</v>
      </c>
      <c r="F193" s="593" t="s">
        <v>1638</v>
      </c>
      <c r="G193" s="592" t="s">
        <v>516</v>
      </c>
      <c r="H193" s="592" t="s">
        <v>1148</v>
      </c>
      <c r="I193" s="592" t="s">
        <v>1149</v>
      </c>
      <c r="J193" s="592" t="s">
        <v>1150</v>
      </c>
      <c r="K193" s="592" t="s">
        <v>1151</v>
      </c>
      <c r="L193" s="594">
        <v>3548.5800000000008</v>
      </c>
      <c r="M193" s="594">
        <v>0.7</v>
      </c>
      <c r="N193" s="595">
        <v>2484.0060000000003</v>
      </c>
    </row>
    <row r="194" spans="1:14" ht="14.4" customHeight="1" x14ac:dyDescent="0.3">
      <c r="A194" s="590" t="s">
        <v>485</v>
      </c>
      <c r="B194" s="591" t="s">
        <v>1636</v>
      </c>
      <c r="C194" s="592" t="s">
        <v>490</v>
      </c>
      <c r="D194" s="593" t="s">
        <v>1637</v>
      </c>
      <c r="E194" s="592" t="s">
        <v>495</v>
      </c>
      <c r="F194" s="593" t="s">
        <v>1638</v>
      </c>
      <c r="G194" s="592" t="s">
        <v>516</v>
      </c>
      <c r="H194" s="592" t="s">
        <v>1152</v>
      </c>
      <c r="I194" s="592" t="s">
        <v>1153</v>
      </c>
      <c r="J194" s="592" t="s">
        <v>1154</v>
      </c>
      <c r="K194" s="592" t="s">
        <v>1155</v>
      </c>
      <c r="L194" s="594">
        <v>649.85</v>
      </c>
      <c r="M194" s="594">
        <v>1</v>
      </c>
      <c r="N194" s="595">
        <v>649.85</v>
      </c>
    </row>
    <row r="195" spans="1:14" ht="14.4" customHeight="1" x14ac:dyDescent="0.3">
      <c r="A195" s="590" t="s">
        <v>485</v>
      </c>
      <c r="B195" s="591" t="s">
        <v>1636</v>
      </c>
      <c r="C195" s="592" t="s">
        <v>490</v>
      </c>
      <c r="D195" s="593" t="s">
        <v>1637</v>
      </c>
      <c r="E195" s="592" t="s">
        <v>495</v>
      </c>
      <c r="F195" s="593" t="s">
        <v>1638</v>
      </c>
      <c r="G195" s="592" t="s">
        <v>516</v>
      </c>
      <c r="H195" s="592" t="s">
        <v>1156</v>
      </c>
      <c r="I195" s="592" t="s">
        <v>1156</v>
      </c>
      <c r="J195" s="592" t="s">
        <v>1157</v>
      </c>
      <c r="K195" s="592" t="s">
        <v>1158</v>
      </c>
      <c r="L195" s="594">
        <v>580.98</v>
      </c>
      <c r="M195" s="594">
        <v>11</v>
      </c>
      <c r="N195" s="595">
        <v>6390.7800000000007</v>
      </c>
    </row>
    <row r="196" spans="1:14" ht="14.4" customHeight="1" x14ac:dyDescent="0.3">
      <c r="A196" s="590" t="s">
        <v>485</v>
      </c>
      <c r="B196" s="591" t="s">
        <v>1636</v>
      </c>
      <c r="C196" s="592" t="s">
        <v>490</v>
      </c>
      <c r="D196" s="593" t="s">
        <v>1637</v>
      </c>
      <c r="E196" s="592" t="s">
        <v>495</v>
      </c>
      <c r="F196" s="593" t="s">
        <v>1638</v>
      </c>
      <c r="G196" s="592" t="s">
        <v>516</v>
      </c>
      <c r="H196" s="592" t="s">
        <v>1159</v>
      </c>
      <c r="I196" s="592" t="s">
        <v>1160</v>
      </c>
      <c r="J196" s="592" t="s">
        <v>1161</v>
      </c>
      <c r="K196" s="592" t="s">
        <v>1162</v>
      </c>
      <c r="L196" s="594">
        <v>75.92</v>
      </c>
      <c r="M196" s="594">
        <v>1</v>
      </c>
      <c r="N196" s="595">
        <v>75.92</v>
      </c>
    </row>
    <row r="197" spans="1:14" ht="14.4" customHeight="1" x14ac:dyDescent="0.3">
      <c r="A197" s="590" t="s">
        <v>485</v>
      </c>
      <c r="B197" s="591" t="s">
        <v>1636</v>
      </c>
      <c r="C197" s="592" t="s">
        <v>490</v>
      </c>
      <c r="D197" s="593" t="s">
        <v>1637</v>
      </c>
      <c r="E197" s="592" t="s">
        <v>495</v>
      </c>
      <c r="F197" s="593" t="s">
        <v>1638</v>
      </c>
      <c r="G197" s="592" t="s">
        <v>516</v>
      </c>
      <c r="H197" s="592" t="s">
        <v>1163</v>
      </c>
      <c r="I197" s="592" t="s">
        <v>211</v>
      </c>
      <c r="J197" s="592" t="s">
        <v>1164</v>
      </c>
      <c r="K197" s="592" t="s">
        <v>1165</v>
      </c>
      <c r="L197" s="594">
        <v>761.62</v>
      </c>
      <c r="M197" s="594">
        <v>3</v>
      </c>
      <c r="N197" s="595">
        <v>2284.86</v>
      </c>
    </row>
    <row r="198" spans="1:14" ht="14.4" customHeight="1" x14ac:dyDescent="0.3">
      <c r="A198" s="590" t="s">
        <v>485</v>
      </c>
      <c r="B198" s="591" t="s">
        <v>1636</v>
      </c>
      <c r="C198" s="592" t="s">
        <v>490</v>
      </c>
      <c r="D198" s="593" t="s">
        <v>1637</v>
      </c>
      <c r="E198" s="592" t="s">
        <v>495</v>
      </c>
      <c r="F198" s="593" t="s">
        <v>1638</v>
      </c>
      <c r="G198" s="592" t="s">
        <v>516</v>
      </c>
      <c r="H198" s="592" t="s">
        <v>1166</v>
      </c>
      <c r="I198" s="592" t="s">
        <v>1167</v>
      </c>
      <c r="J198" s="592" t="s">
        <v>1168</v>
      </c>
      <c r="K198" s="592" t="s">
        <v>1169</v>
      </c>
      <c r="L198" s="594">
        <v>78.679836917377514</v>
      </c>
      <c r="M198" s="594">
        <v>2</v>
      </c>
      <c r="N198" s="595">
        <v>157.35967383475503</v>
      </c>
    </row>
    <row r="199" spans="1:14" ht="14.4" customHeight="1" x14ac:dyDescent="0.3">
      <c r="A199" s="590" t="s">
        <v>485</v>
      </c>
      <c r="B199" s="591" t="s">
        <v>1636</v>
      </c>
      <c r="C199" s="592" t="s">
        <v>490</v>
      </c>
      <c r="D199" s="593" t="s">
        <v>1637</v>
      </c>
      <c r="E199" s="592" t="s">
        <v>495</v>
      </c>
      <c r="F199" s="593" t="s">
        <v>1638</v>
      </c>
      <c r="G199" s="592" t="s">
        <v>516</v>
      </c>
      <c r="H199" s="592" t="s">
        <v>1170</v>
      </c>
      <c r="I199" s="592" t="s">
        <v>1171</v>
      </c>
      <c r="J199" s="592" t="s">
        <v>1172</v>
      </c>
      <c r="K199" s="592" t="s">
        <v>1173</v>
      </c>
      <c r="L199" s="594">
        <v>12.509999999999998</v>
      </c>
      <c r="M199" s="594">
        <v>30</v>
      </c>
      <c r="N199" s="595">
        <v>375.29999999999995</v>
      </c>
    </row>
    <row r="200" spans="1:14" ht="14.4" customHeight="1" x14ac:dyDescent="0.3">
      <c r="A200" s="590" t="s">
        <v>485</v>
      </c>
      <c r="B200" s="591" t="s">
        <v>1636</v>
      </c>
      <c r="C200" s="592" t="s">
        <v>490</v>
      </c>
      <c r="D200" s="593" t="s">
        <v>1637</v>
      </c>
      <c r="E200" s="592" t="s">
        <v>495</v>
      </c>
      <c r="F200" s="593" t="s">
        <v>1638</v>
      </c>
      <c r="G200" s="592" t="s">
        <v>516</v>
      </c>
      <c r="H200" s="592" t="s">
        <v>1174</v>
      </c>
      <c r="I200" s="592" t="s">
        <v>1175</v>
      </c>
      <c r="J200" s="592" t="s">
        <v>1176</v>
      </c>
      <c r="K200" s="592" t="s">
        <v>1177</v>
      </c>
      <c r="L200" s="594">
        <v>30.649999999999995</v>
      </c>
      <c r="M200" s="594">
        <v>12</v>
      </c>
      <c r="N200" s="595">
        <v>367.79999999999995</v>
      </c>
    </row>
    <row r="201" spans="1:14" ht="14.4" customHeight="1" x14ac:dyDescent="0.3">
      <c r="A201" s="590" t="s">
        <v>485</v>
      </c>
      <c r="B201" s="591" t="s">
        <v>1636</v>
      </c>
      <c r="C201" s="592" t="s">
        <v>490</v>
      </c>
      <c r="D201" s="593" t="s">
        <v>1637</v>
      </c>
      <c r="E201" s="592" t="s">
        <v>495</v>
      </c>
      <c r="F201" s="593" t="s">
        <v>1638</v>
      </c>
      <c r="G201" s="592" t="s">
        <v>516</v>
      </c>
      <c r="H201" s="592" t="s">
        <v>1178</v>
      </c>
      <c r="I201" s="592" t="s">
        <v>1179</v>
      </c>
      <c r="J201" s="592" t="s">
        <v>1180</v>
      </c>
      <c r="K201" s="592" t="s">
        <v>1181</v>
      </c>
      <c r="L201" s="594">
        <v>151.36000000000001</v>
      </c>
      <c r="M201" s="594">
        <v>1</v>
      </c>
      <c r="N201" s="595">
        <v>151.36000000000001</v>
      </c>
    </row>
    <row r="202" spans="1:14" ht="14.4" customHeight="1" x14ac:dyDescent="0.3">
      <c r="A202" s="590" t="s">
        <v>485</v>
      </c>
      <c r="B202" s="591" t="s">
        <v>1636</v>
      </c>
      <c r="C202" s="592" t="s">
        <v>490</v>
      </c>
      <c r="D202" s="593" t="s">
        <v>1637</v>
      </c>
      <c r="E202" s="592" t="s">
        <v>495</v>
      </c>
      <c r="F202" s="593" t="s">
        <v>1638</v>
      </c>
      <c r="G202" s="592" t="s">
        <v>516</v>
      </c>
      <c r="H202" s="592" t="s">
        <v>1182</v>
      </c>
      <c r="I202" s="592" t="s">
        <v>1183</v>
      </c>
      <c r="J202" s="592" t="s">
        <v>1184</v>
      </c>
      <c r="K202" s="592" t="s">
        <v>1185</v>
      </c>
      <c r="L202" s="594">
        <v>104.28</v>
      </c>
      <c r="M202" s="594">
        <v>1</v>
      </c>
      <c r="N202" s="595">
        <v>104.28</v>
      </c>
    </row>
    <row r="203" spans="1:14" ht="14.4" customHeight="1" x14ac:dyDescent="0.3">
      <c r="A203" s="590" t="s">
        <v>485</v>
      </c>
      <c r="B203" s="591" t="s">
        <v>1636</v>
      </c>
      <c r="C203" s="592" t="s">
        <v>490</v>
      </c>
      <c r="D203" s="593" t="s">
        <v>1637</v>
      </c>
      <c r="E203" s="592" t="s">
        <v>495</v>
      </c>
      <c r="F203" s="593" t="s">
        <v>1638</v>
      </c>
      <c r="G203" s="592" t="s">
        <v>516</v>
      </c>
      <c r="H203" s="592" t="s">
        <v>1186</v>
      </c>
      <c r="I203" s="592" t="s">
        <v>1186</v>
      </c>
      <c r="J203" s="592" t="s">
        <v>699</v>
      </c>
      <c r="K203" s="592" t="s">
        <v>1187</v>
      </c>
      <c r="L203" s="594">
        <v>569.83000000000004</v>
      </c>
      <c r="M203" s="594">
        <v>0.4</v>
      </c>
      <c r="N203" s="595">
        <v>227.93200000000002</v>
      </c>
    </row>
    <row r="204" spans="1:14" ht="14.4" customHeight="1" x14ac:dyDescent="0.3">
      <c r="A204" s="590" t="s">
        <v>485</v>
      </c>
      <c r="B204" s="591" t="s">
        <v>1636</v>
      </c>
      <c r="C204" s="592" t="s">
        <v>490</v>
      </c>
      <c r="D204" s="593" t="s">
        <v>1637</v>
      </c>
      <c r="E204" s="592" t="s">
        <v>495</v>
      </c>
      <c r="F204" s="593" t="s">
        <v>1638</v>
      </c>
      <c r="G204" s="592" t="s">
        <v>516</v>
      </c>
      <c r="H204" s="592" t="s">
        <v>1188</v>
      </c>
      <c r="I204" s="592" t="s">
        <v>1189</v>
      </c>
      <c r="J204" s="592" t="s">
        <v>1190</v>
      </c>
      <c r="K204" s="592" t="s">
        <v>1191</v>
      </c>
      <c r="L204" s="594">
        <v>174.35000000000002</v>
      </c>
      <c r="M204" s="594">
        <v>1</v>
      </c>
      <c r="N204" s="595">
        <v>174.35000000000002</v>
      </c>
    </row>
    <row r="205" spans="1:14" ht="14.4" customHeight="1" x14ac:dyDescent="0.3">
      <c r="A205" s="590" t="s">
        <v>485</v>
      </c>
      <c r="B205" s="591" t="s">
        <v>1636</v>
      </c>
      <c r="C205" s="592" t="s">
        <v>490</v>
      </c>
      <c r="D205" s="593" t="s">
        <v>1637</v>
      </c>
      <c r="E205" s="592" t="s">
        <v>495</v>
      </c>
      <c r="F205" s="593" t="s">
        <v>1638</v>
      </c>
      <c r="G205" s="592" t="s">
        <v>516</v>
      </c>
      <c r="H205" s="592" t="s">
        <v>1192</v>
      </c>
      <c r="I205" s="592" t="s">
        <v>211</v>
      </c>
      <c r="J205" s="592" t="s">
        <v>1193</v>
      </c>
      <c r="K205" s="592"/>
      <c r="L205" s="594">
        <v>110.84000000000003</v>
      </c>
      <c r="M205" s="594">
        <v>10</v>
      </c>
      <c r="N205" s="595">
        <v>1108.4000000000003</v>
      </c>
    </row>
    <row r="206" spans="1:14" ht="14.4" customHeight="1" x14ac:dyDescent="0.3">
      <c r="A206" s="590" t="s">
        <v>485</v>
      </c>
      <c r="B206" s="591" t="s">
        <v>1636</v>
      </c>
      <c r="C206" s="592" t="s">
        <v>490</v>
      </c>
      <c r="D206" s="593" t="s">
        <v>1637</v>
      </c>
      <c r="E206" s="592" t="s">
        <v>495</v>
      </c>
      <c r="F206" s="593" t="s">
        <v>1638</v>
      </c>
      <c r="G206" s="592" t="s">
        <v>516</v>
      </c>
      <c r="H206" s="592" t="s">
        <v>1194</v>
      </c>
      <c r="I206" s="592" t="s">
        <v>1194</v>
      </c>
      <c r="J206" s="592" t="s">
        <v>556</v>
      </c>
      <c r="K206" s="592" t="s">
        <v>1195</v>
      </c>
      <c r="L206" s="594">
        <v>60.02414487768079</v>
      </c>
      <c r="M206" s="594">
        <v>24</v>
      </c>
      <c r="N206" s="595">
        <v>1440.579477064339</v>
      </c>
    </row>
    <row r="207" spans="1:14" ht="14.4" customHeight="1" x14ac:dyDescent="0.3">
      <c r="A207" s="590" t="s">
        <v>485</v>
      </c>
      <c r="B207" s="591" t="s">
        <v>1636</v>
      </c>
      <c r="C207" s="592" t="s">
        <v>490</v>
      </c>
      <c r="D207" s="593" t="s">
        <v>1637</v>
      </c>
      <c r="E207" s="592" t="s">
        <v>495</v>
      </c>
      <c r="F207" s="593" t="s">
        <v>1638</v>
      </c>
      <c r="G207" s="592" t="s">
        <v>516</v>
      </c>
      <c r="H207" s="592" t="s">
        <v>1196</v>
      </c>
      <c r="I207" s="592" t="s">
        <v>211</v>
      </c>
      <c r="J207" s="592" t="s">
        <v>1197</v>
      </c>
      <c r="K207" s="592"/>
      <c r="L207" s="594">
        <v>147.49950971397899</v>
      </c>
      <c r="M207" s="594">
        <v>6</v>
      </c>
      <c r="N207" s="595">
        <v>884.99705828387391</v>
      </c>
    </row>
    <row r="208" spans="1:14" ht="14.4" customHeight="1" x14ac:dyDescent="0.3">
      <c r="A208" s="590" t="s">
        <v>485</v>
      </c>
      <c r="B208" s="591" t="s">
        <v>1636</v>
      </c>
      <c r="C208" s="592" t="s">
        <v>490</v>
      </c>
      <c r="D208" s="593" t="s">
        <v>1637</v>
      </c>
      <c r="E208" s="592" t="s">
        <v>495</v>
      </c>
      <c r="F208" s="593" t="s">
        <v>1638</v>
      </c>
      <c r="G208" s="592" t="s">
        <v>516</v>
      </c>
      <c r="H208" s="592" t="s">
        <v>1198</v>
      </c>
      <c r="I208" s="592" t="s">
        <v>211</v>
      </c>
      <c r="J208" s="592" t="s">
        <v>1199</v>
      </c>
      <c r="K208" s="592"/>
      <c r="L208" s="594">
        <v>169.94</v>
      </c>
      <c r="M208" s="594">
        <v>5</v>
      </c>
      <c r="N208" s="595">
        <v>849.7</v>
      </c>
    </row>
    <row r="209" spans="1:14" ht="14.4" customHeight="1" x14ac:dyDescent="0.3">
      <c r="A209" s="590" t="s">
        <v>485</v>
      </c>
      <c r="B209" s="591" t="s">
        <v>1636</v>
      </c>
      <c r="C209" s="592" t="s">
        <v>490</v>
      </c>
      <c r="D209" s="593" t="s">
        <v>1637</v>
      </c>
      <c r="E209" s="592" t="s">
        <v>495</v>
      </c>
      <c r="F209" s="593" t="s">
        <v>1638</v>
      </c>
      <c r="G209" s="592" t="s">
        <v>516</v>
      </c>
      <c r="H209" s="592" t="s">
        <v>1200</v>
      </c>
      <c r="I209" s="592" t="s">
        <v>211</v>
      </c>
      <c r="J209" s="592" t="s">
        <v>1201</v>
      </c>
      <c r="K209" s="592"/>
      <c r="L209" s="594">
        <v>42.971506426322989</v>
      </c>
      <c r="M209" s="594">
        <v>13</v>
      </c>
      <c r="N209" s="595">
        <v>558.62958354219882</v>
      </c>
    </row>
    <row r="210" spans="1:14" ht="14.4" customHeight="1" x14ac:dyDescent="0.3">
      <c r="A210" s="590" t="s">
        <v>485</v>
      </c>
      <c r="B210" s="591" t="s">
        <v>1636</v>
      </c>
      <c r="C210" s="592" t="s">
        <v>490</v>
      </c>
      <c r="D210" s="593" t="s">
        <v>1637</v>
      </c>
      <c r="E210" s="592" t="s">
        <v>495</v>
      </c>
      <c r="F210" s="593" t="s">
        <v>1638</v>
      </c>
      <c r="G210" s="592" t="s">
        <v>516</v>
      </c>
      <c r="H210" s="592" t="s">
        <v>1202</v>
      </c>
      <c r="I210" s="592" t="s">
        <v>211</v>
      </c>
      <c r="J210" s="592" t="s">
        <v>1203</v>
      </c>
      <c r="K210" s="592"/>
      <c r="L210" s="594">
        <v>32.447647058823527</v>
      </c>
      <c r="M210" s="594">
        <v>17</v>
      </c>
      <c r="N210" s="595">
        <v>551.61</v>
      </c>
    </row>
    <row r="211" spans="1:14" ht="14.4" customHeight="1" x14ac:dyDescent="0.3">
      <c r="A211" s="590" t="s">
        <v>485</v>
      </c>
      <c r="B211" s="591" t="s">
        <v>1636</v>
      </c>
      <c r="C211" s="592" t="s">
        <v>490</v>
      </c>
      <c r="D211" s="593" t="s">
        <v>1637</v>
      </c>
      <c r="E211" s="592" t="s">
        <v>495</v>
      </c>
      <c r="F211" s="593" t="s">
        <v>1638</v>
      </c>
      <c r="G211" s="592" t="s">
        <v>516</v>
      </c>
      <c r="H211" s="592" t="s">
        <v>1204</v>
      </c>
      <c r="I211" s="592" t="s">
        <v>211</v>
      </c>
      <c r="J211" s="592" t="s">
        <v>1205</v>
      </c>
      <c r="K211" s="592"/>
      <c r="L211" s="594">
        <v>68.089995745753228</v>
      </c>
      <c r="M211" s="594">
        <v>3</v>
      </c>
      <c r="N211" s="595">
        <v>204.26998723725967</v>
      </c>
    </row>
    <row r="212" spans="1:14" ht="14.4" customHeight="1" x14ac:dyDescent="0.3">
      <c r="A212" s="590" t="s">
        <v>485</v>
      </c>
      <c r="B212" s="591" t="s">
        <v>1636</v>
      </c>
      <c r="C212" s="592" t="s">
        <v>490</v>
      </c>
      <c r="D212" s="593" t="s">
        <v>1637</v>
      </c>
      <c r="E212" s="592" t="s">
        <v>495</v>
      </c>
      <c r="F212" s="593" t="s">
        <v>1638</v>
      </c>
      <c r="G212" s="592" t="s">
        <v>516</v>
      </c>
      <c r="H212" s="592" t="s">
        <v>1206</v>
      </c>
      <c r="I212" s="592" t="s">
        <v>1207</v>
      </c>
      <c r="J212" s="592" t="s">
        <v>1208</v>
      </c>
      <c r="K212" s="592" t="s">
        <v>1209</v>
      </c>
      <c r="L212" s="594">
        <v>97.580000000000027</v>
      </c>
      <c r="M212" s="594">
        <v>1</v>
      </c>
      <c r="N212" s="595">
        <v>97.580000000000027</v>
      </c>
    </row>
    <row r="213" spans="1:14" ht="14.4" customHeight="1" x14ac:dyDescent="0.3">
      <c r="A213" s="590" t="s">
        <v>485</v>
      </c>
      <c r="B213" s="591" t="s">
        <v>1636</v>
      </c>
      <c r="C213" s="592" t="s">
        <v>490</v>
      </c>
      <c r="D213" s="593" t="s">
        <v>1637</v>
      </c>
      <c r="E213" s="592" t="s">
        <v>495</v>
      </c>
      <c r="F213" s="593" t="s">
        <v>1638</v>
      </c>
      <c r="G213" s="592" t="s">
        <v>516</v>
      </c>
      <c r="H213" s="592" t="s">
        <v>1210</v>
      </c>
      <c r="I213" s="592" t="s">
        <v>211</v>
      </c>
      <c r="J213" s="592" t="s">
        <v>1211</v>
      </c>
      <c r="K213" s="592" t="s">
        <v>1212</v>
      </c>
      <c r="L213" s="594">
        <v>82.763856011524069</v>
      </c>
      <c r="M213" s="594">
        <v>1</v>
      </c>
      <c r="N213" s="595">
        <v>82.763856011524069</v>
      </c>
    </row>
    <row r="214" spans="1:14" ht="14.4" customHeight="1" x14ac:dyDescent="0.3">
      <c r="A214" s="590" t="s">
        <v>485</v>
      </c>
      <c r="B214" s="591" t="s">
        <v>1636</v>
      </c>
      <c r="C214" s="592" t="s">
        <v>490</v>
      </c>
      <c r="D214" s="593" t="s">
        <v>1637</v>
      </c>
      <c r="E214" s="592" t="s">
        <v>495</v>
      </c>
      <c r="F214" s="593" t="s">
        <v>1638</v>
      </c>
      <c r="G214" s="592" t="s">
        <v>1213</v>
      </c>
      <c r="H214" s="592" t="s">
        <v>1214</v>
      </c>
      <c r="I214" s="592" t="s">
        <v>1215</v>
      </c>
      <c r="J214" s="592" t="s">
        <v>1216</v>
      </c>
      <c r="K214" s="592" t="s">
        <v>1217</v>
      </c>
      <c r="L214" s="594">
        <v>36.33</v>
      </c>
      <c r="M214" s="594">
        <v>10</v>
      </c>
      <c r="N214" s="595">
        <v>363.3</v>
      </c>
    </row>
    <row r="215" spans="1:14" ht="14.4" customHeight="1" x14ac:dyDescent="0.3">
      <c r="A215" s="590" t="s">
        <v>485</v>
      </c>
      <c r="B215" s="591" t="s">
        <v>1636</v>
      </c>
      <c r="C215" s="592" t="s">
        <v>490</v>
      </c>
      <c r="D215" s="593" t="s">
        <v>1637</v>
      </c>
      <c r="E215" s="592" t="s">
        <v>495</v>
      </c>
      <c r="F215" s="593" t="s">
        <v>1638</v>
      </c>
      <c r="G215" s="592" t="s">
        <v>1213</v>
      </c>
      <c r="H215" s="592" t="s">
        <v>1218</v>
      </c>
      <c r="I215" s="592" t="s">
        <v>1219</v>
      </c>
      <c r="J215" s="592" t="s">
        <v>1220</v>
      </c>
      <c r="K215" s="592" t="s">
        <v>1221</v>
      </c>
      <c r="L215" s="594">
        <v>47.33</v>
      </c>
      <c r="M215" s="594">
        <v>1</v>
      </c>
      <c r="N215" s="595">
        <v>47.33</v>
      </c>
    </row>
    <row r="216" spans="1:14" ht="14.4" customHeight="1" x14ac:dyDescent="0.3">
      <c r="A216" s="590" t="s">
        <v>485</v>
      </c>
      <c r="B216" s="591" t="s">
        <v>1636</v>
      </c>
      <c r="C216" s="592" t="s">
        <v>490</v>
      </c>
      <c r="D216" s="593" t="s">
        <v>1637</v>
      </c>
      <c r="E216" s="592" t="s">
        <v>495</v>
      </c>
      <c r="F216" s="593" t="s">
        <v>1638</v>
      </c>
      <c r="G216" s="592" t="s">
        <v>1213</v>
      </c>
      <c r="H216" s="592" t="s">
        <v>1222</v>
      </c>
      <c r="I216" s="592" t="s">
        <v>1223</v>
      </c>
      <c r="J216" s="592" t="s">
        <v>1220</v>
      </c>
      <c r="K216" s="592" t="s">
        <v>1224</v>
      </c>
      <c r="L216" s="594">
        <v>94.67</v>
      </c>
      <c r="M216" s="594">
        <v>1</v>
      </c>
      <c r="N216" s="595">
        <v>94.67</v>
      </c>
    </row>
    <row r="217" spans="1:14" ht="14.4" customHeight="1" x14ac:dyDescent="0.3">
      <c r="A217" s="590" t="s">
        <v>485</v>
      </c>
      <c r="B217" s="591" t="s">
        <v>1636</v>
      </c>
      <c r="C217" s="592" t="s">
        <v>490</v>
      </c>
      <c r="D217" s="593" t="s">
        <v>1637</v>
      </c>
      <c r="E217" s="592" t="s">
        <v>495</v>
      </c>
      <c r="F217" s="593" t="s">
        <v>1638</v>
      </c>
      <c r="G217" s="592" t="s">
        <v>1213</v>
      </c>
      <c r="H217" s="592" t="s">
        <v>1225</v>
      </c>
      <c r="I217" s="592" t="s">
        <v>1226</v>
      </c>
      <c r="J217" s="592" t="s">
        <v>1227</v>
      </c>
      <c r="K217" s="592" t="s">
        <v>1228</v>
      </c>
      <c r="L217" s="594">
        <v>54.460004707237275</v>
      </c>
      <c r="M217" s="594">
        <v>26</v>
      </c>
      <c r="N217" s="595">
        <v>1415.9601223881691</v>
      </c>
    </row>
    <row r="218" spans="1:14" ht="14.4" customHeight="1" x14ac:dyDescent="0.3">
      <c r="A218" s="590" t="s">
        <v>485</v>
      </c>
      <c r="B218" s="591" t="s">
        <v>1636</v>
      </c>
      <c r="C218" s="592" t="s">
        <v>490</v>
      </c>
      <c r="D218" s="593" t="s">
        <v>1637</v>
      </c>
      <c r="E218" s="592" t="s">
        <v>495</v>
      </c>
      <c r="F218" s="593" t="s">
        <v>1638</v>
      </c>
      <c r="G218" s="592" t="s">
        <v>1213</v>
      </c>
      <c r="H218" s="592" t="s">
        <v>1229</v>
      </c>
      <c r="I218" s="592" t="s">
        <v>1230</v>
      </c>
      <c r="J218" s="592" t="s">
        <v>1231</v>
      </c>
      <c r="K218" s="592" t="s">
        <v>1232</v>
      </c>
      <c r="L218" s="594">
        <v>218.1</v>
      </c>
      <c r="M218" s="594">
        <v>1</v>
      </c>
      <c r="N218" s="595">
        <v>218.1</v>
      </c>
    </row>
    <row r="219" spans="1:14" ht="14.4" customHeight="1" x14ac:dyDescent="0.3">
      <c r="A219" s="590" t="s">
        <v>485</v>
      </c>
      <c r="B219" s="591" t="s">
        <v>1636</v>
      </c>
      <c r="C219" s="592" t="s">
        <v>490</v>
      </c>
      <c r="D219" s="593" t="s">
        <v>1637</v>
      </c>
      <c r="E219" s="592" t="s">
        <v>495</v>
      </c>
      <c r="F219" s="593" t="s">
        <v>1638</v>
      </c>
      <c r="G219" s="592" t="s">
        <v>1213</v>
      </c>
      <c r="H219" s="592" t="s">
        <v>1233</v>
      </c>
      <c r="I219" s="592" t="s">
        <v>1234</v>
      </c>
      <c r="J219" s="592" t="s">
        <v>1235</v>
      </c>
      <c r="K219" s="592" t="s">
        <v>1236</v>
      </c>
      <c r="L219" s="594">
        <v>117.73500000000001</v>
      </c>
      <c r="M219" s="594">
        <v>2</v>
      </c>
      <c r="N219" s="595">
        <v>235.47000000000003</v>
      </c>
    </row>
    <row r="220" spans="1:14" ht="14.4" customHeight="1" x14ac:dyDescent="0.3">
      <c r="A220" s="590" t="s">
        <v>485</v>
      </c>
      <c r="B220" s="591" t="s">
        <v>1636</v>
      </c>
      <c r="C220" s="592" t="s">
        <v>490</v>
      </c>
      <c r="D220" s="593" t="s">
        <v>1637</v>
      </c>
      <c r="E220" s="592" t="s">
        <v>495</v>
      </c>
      <c r="F220" s="593" t="s">
        <v>1638</v>
      </c>
      <c r="G220" s="592" t="s">
        <v>1213</v>
      </c>
      <c r="H220" s="592" t="s">
        <v>1237</v>
      </c>
      <c r="I220" s="592" t="s">
        <v>1238</v>
      </c>
      <c r="J220" s="592" t="s">
        <v>1239</v>
      </c>
      <c r="K220" s="592" t="s">
        <v>1240</v>
      </c>
      <c r="L220" s="594">
        <v>62.04999999999999</v>
      </c>
      <c r="M220" s="594">
        <v>3</v>
      </c>
      <c r="N220" s="595">
        <v>186.14999999999998</v>
      </c>
    </row>
    <row r="221" spans="1:14" ht="14.4" customHeight="1" x14ac:dyDescent="0.3">
      <c r="A221" s="590" t="s">
        <v>485</v>
      </c>
      <c r="B221" s="591" t="s">
        <v>1636</v>
      </c>
      <c r="C221" s="592" t="s">
        <v>490</v>
      </c>
      <c r="D221" s="593" t="s">
        <v>1637</v>
      </c>
      <c r="E221" s="592" t="s">
        <v>495</v>
      </c>
      <c r="F221" s="593" t="s">
        <v>1638</v>
      </c>
      <c r="G221" s="592" t="s">
        <v>1213</v>
      </c>
      <c r="H221" s="592" t="s">
        <v>1241</v>
      </c>
      <c r="I221" s="592" t="s">
        <v>1242</v>
      </c>
      <c r="J221" s="592" t="s">
        <v>1243</v>
      </c>
      <c r="K221" s="592" t="s">
        <v>1244</v>
      </c>
      <c r="L221" s="594">
        <v>79.83</v>
      </c>
      <c r="M221" s="594">
        <v>2</v>
      </c>
      <c r="N221" s="595">
        <v>159.66</v>
      </c>
    </row>
    <row r="222" spans="1:14" ht="14.4" customHeight="1" x14ac:dyDescent="0.3">
      <c r="A222" s="590" t="s">
        <v>485</v>
      </c>
      <c r="B222" s="591" t="s">
        <v>1636</v>
      </c>
      <c r="C222" s="592" t="s">
        <v>490</v>
      </c>
      <c r="D222" s="593" t="s">
        <v>1637</v>
      </c>
      <c r="E222" s="592" t="s">
        <v>495</v>
      </c>
      <c r="F222" s="593" t="s">
        <v>1638</v>
      </c>
      <c r="G222" s="592" t="s">
        <v>1213</v>
      </c>
      <c r="H222" s="592" t="s">
        <v>1245</v>
      </c>
      <c r="I222" s="592" t="s">
        <v>1246</v>
      </c>
      <c r="J222" s="592" t="s">
        <v>1247</v>
      </c>
      <c r="K222" s="592" t="s">
        <v>1248</v>
      </c>
      <c r="L222" s="594">
        <v>3450.0002726796993</v>
      </c>
      <c r="M222" s="594">
        <v>16</v>
      </c>
      <c r="N222" s="595">
        <v>55200.004362875188</v>
      </c>
    </row>
    <row r="223" spans="1:14" ht="14.4" customHeight="1" x14ac:dyDescent="0.3">
      <c r="A223" s="590" t="s">
        <v>485</v>
      </c>
      <c r="B223" s="591" t="s">
        <v>1636</v>
      </c>
      <c r="C223" s="592" t="s">
        <v>490</v>
      </c>
      <c r="D223" s="593" t="s">
        <v>1637</v>
      </c>
      <c r="E223" s="592" t="s">
        <v>495</v>
      </c>
      <c r="F223" s="593" t="s">
        <v>1638</v>
      </c>
      <c r="G223" s="592" t="s">
        <v>1213</v>
      </c>
      <c r="H223" s="592" t="s">
        <v>1249</v>
      </c>
      <c r="I223" s="592" t="s">
        <v>1250</v>
      </c>
      <c r="J223" s="592" t="s">
        <v>1251</v>
      </c>
      <c r="K223" s="592" t="s">
        <v>1252</v>
      </c>
      <c r="L223" s="594">
        <v>140.94</v>
      </c>
      <c r="M223" s="594">
        <v>1</v>
      </c>
      <c r="N223" s="595">
        <v>140.94</v>
      </c>
    </row>
    <row r="224" spans="1:14" ht="14.4" customHeight="1" x14ac:dyDescent="0.3">
      <c r="A224" s="590" t="s">
        <v>485</v>
      </c>
      <c r="B224" s="591" t="s">
        <v>1636</v>
      </c>
      <c r="C224" s="592" t="s">
        <v>490</v>
      </c>
      <c r="D224" s="593" t="s">
        <v>1637</v>
      </c>
      <c r="E224" s="592" t="s">
        <v>495</v>
      </c>
      <c r="F224" s="593" t="s">
        <v>1638</v>
      </c>
      <c r="G224" s="592" t="s">
        <v>1213</v>
      </c>
      <c r="H224" s="592" t="s">
        <v>1253</v>
      </c>
      <c r="I224" s="592" t="s">
        <v>1254</v>
      </c>
      <c r="J224" s="592" t="s">
        <v>1255</v>
      </c>
      <c r="K224" s="592" t="s">
        <v>1256</v>
      </c>
      <c r="L224" s="594">
        <v>85.542652868234285</v>
      </c>
      <c r="M224" s="594">
        <v>19</v>
      </c>
      <c r="N224" s="595">
        <v>1625.3104044964514</v>
      </c>
    </row>
    <row r="225" spans="1:14" ht="14.4" customHeight="1" x14ac:dyDescent="0.3">
      <c r="A225" s="590" t="s">
        <v>485</v>
      </c>
      <c r="B225" s="591" t="s">
        <v>1636</v>
      </c>
      <c r="C225" s="592" t="s">
        <v>490</v>
      </c>
      <c r="D225" s="593" t="s">
        <v>1637</v>
      </c>
      <c r="E225" s="592" t="s">
        <v>495</v>
      </c>
      <c r="F225" s="593" t="s">
        <v>1638</v>
      </c>
      <c r="G225" s="592" t="s">
        <v>1213</v>
      </c>
      <c r="H225" s="592" t="s">
        <v>1257</v>
      </c>
      <c r="I225" s="592" t="s">
        <v>1258</v>
      </c>
      <c r="J225" s="592" t="s">
        <v>1259</v>
      </c>
      <c r="K225" s="592" t="s">
        <v>1260</v>
      </c>
      <c r="L225" s="594">
        <v>337.15</v>
      </c>
      <c r="M225" s="594">
        <v>1</v>
      </c>
      <c r="N225" s="595">
        <v>337.15</v>
      </c>
    </row>
    <row r="226" spans="1:14" ht="14.4" customHeight="1" x14ac:dyDescent="0.3">
      <c r="A226" s="590" t="s">
        <v>485</v>
      </c>
      <c r="B226" s="591" t="s">
        <v>1636</v>
      </c>
      <c r="C226" s="592" t="s">
        <v>490</v>
      </c>
      <c r="D226" s="593" t="s">
        <v>1637</v>
      </c>
      <c r="E226" s="592" t="s">
        <v>495</v>
      </c>
      <c r="F226" s="593" t="s">
        <v>1638</v>
      </c>
      <c r="G226" s="592" t="s">
        <v>1213</v>
      </c>
      <c r="H226" s="592" t="s">
        <v>1261</v>
      </c>
      <c r="I226" s="592" t="s">
        <v>1262</v>
      </c>
      <c r="J226" s="592" t="s">
        <v>1263</v>
      </c>
      <c r="K226" s="592" t="s">
        <v>1264</v>
      </c>
      <c r="L226" s="594">
        <v>89.25</v>
      </c>
      <c r="M226" s="594">
        <v>1</v>
      </c>
      <c r="N226" s="595">
        <v>89.25</v>
      </c>
    </row>
    <row r="227" spans="1:14" ht="14.4" customHeight="1" x14ac:dyDescent="0.3">
      <c r="A227" s="590" t="s">
        <v>485</v>
      </c>
      <c r="B227" s="591" t="s">
        <v>1636</v>
      </c>
      <c r="C227" s="592" t="s">
        <v>490</v>
      </c>
      <c r="D227" s="593" t="s">
        <v>1637</v>
      </c>
      <c r="E227" s="592" t="s">
        <v>495</v>
      </c>
      <c r="F227" s="593" t="s">
        <v>1638</v>
      </c>
      <c r="G227" s="592" t="s">
        <v>1213</v>
      </c>
      <c r="H227" s="592" t="s">
        <v>1265</v>
      </c>
      <c r="I227" s="592" t="s">
        <v>1266</v>
      </c>
      <c r="J227" s="592" t="s">
        <v>1220</v>
      </c>
      <c r="K227" s="592" t="s">
        <v>1267</v>
      </c>
      <c r="L227" s="594">
        <v>135.33786562670662</v>
      </c>
      <c r="M227" s="594">
        <v>63</v>
      </c>
      <c r="N227" s="595">
        <v>8526.2855344825166</v>
      </c>
    </row>
    <row r="228" spans="1:14" ht="14.4" customHeight="1" x14ac:dyDescent="0.3">
      <c r="A228" s="590" t="s">
        <v>485</v>
      </c>
      <c r="B228" s="591" t="s">
        <v>1636</v>
      </c>
      <c r="C228" s="592" t="s">
        <v>490</v>
      </c>
      <c r="D228" s="593" t="s">
        <v>1637</v>
      </c>
      <c r="E228" s="592" t="s">
        <v>495</v>
      </c>
      <c r="F228" s="593" t="s">
        <v>1638</v>
      </c>
      <c r="G228" s="592" t="s">
        <v>1213</v>
      </c>
      <c r="H228" s="592" t="s">
        <v>1268</v>
      </c>
      <c r="I228" s="592" t="s">
        <v>1269</v>
      </c>
      <c r="J228" s="592" t="s">
        <v>1270</v>
      </c>
      <c r="K228" s="592" t="s">
        <v>1122</v>
      </c>
      <c r="L228" s="594">
        <v>472.84224798897606</v>
      </c>
      <c r="M228" s="594">
        <v>38</v>
      </c>
      <c r="N228" s="595">
        <v>17968.005423581089</v>
      </c>
    </row>
    <row r="229" spans="1:14" ht="14.4" customHeight="1" x14ac:dyDescent="0.3">
      <c r="A229" s="590" t="s">
        <v>485</v>
      </c>
      <c r="B229" s="591" t="s">
        <v>1636</v>
      </c>
      <c r="C229" s="592" t="s">
        <v>490</v>
      </c>
      <c r="D229" s="593" t="s">
        <v>1637</v>
      </c>
      <c r="E229" s="592" t="s">
        <v>495</v>
      </c>
      <c r="F229" s="593" t="s">
        <v>1638</v>
      </c>
      <c r="G229" s="592" t="s">
        <v>1213</v>
      </c>
      <c r="H229" s="592" t="s">
        <v>1271</v>
      </c>
      <c r="I229" s="592" t="s">
        <v>1272</v>
      </c>
      <c r="J229" s="592" t="s">
        <v>1235</v>
      </c>
      <c r="K229" s="592" t="s">
        <v>1273</v>
      </c>
      <c r="L229" s="594">
        <v>74.742992892396046</v>
      </c>
      <c r="M229" s="594">
        <v>10</v>
      </c>
      <c r="N229" s="595">
        <v>747.42992892396046</v>
      </c>
    </row>
    <row r="230" spans="1:14" ht="14.4" customHeight="1" x14ac:dyDescent="0.3">
      <c r="A230" s="590" t="s">
        <v>485</v>
      </c>
      <c r="B230" s="591" t="s">
        <v>1636</v>
      </c>
      <c r="C230" s="592" t="s">
        <v>490</v>
      </c>
      <c r="D230" s="593" t="s">
        <v>1637</v>
      </c>
      <c r="E230" s="592" t="s">
        <v>495</v>
      </c>
      <c r="F230" s="593" t="s">
        <v>1638</v>
      </c>
      <c r="G230" s="592" t="s">
        <v>1213</v>
      </c>
      <c r="H230" s="592" t="s">
        <v>1274</v>
      </c>
      <c r="I230" s="592" t="s">
        <v>1275</v>
      </c>
      <c r="J230" s="592" t="s">
        <v>1276</v>
      </c>
      <c r="K230" s="592" t="s">
        <v>1277</v>
      </c>
      <c r="L230" s="594">
        <v>70.93944421901908</v>
      </c>
      <c r="M230" s="594">
        <v>1120</v>
      </c>
      <c r="N230" s="595">
        <v>79452.177525301362</v>
      </c>
    </row>
    <row r="231" spans="1:14" ht="14.4" customHeight="1" x14ac:dyDescent="0.3">
      <c r="A231" s="590" t="s">
        <v>485</v>
      </c>
      <c r="B231" s="591" t="s">
        <v>1636</v>
      </c>
      <c r="C231" s="592" t="s">
        <v>490</v>
      </c>
      <c r="D231" s="593" t="s">
        <v>1637</v>
      </c>
      <c r="E231" s="592" t="s">
        <v>495</v>
      </c>
      <c r="F231" s="593" t="s">
        <v>1638</v>
      </c>
      <c r="G231" s="592" t="s">
        <v>1213</v>
      </c>
      <c r="H231" s="592" t="s">
        <v>1278</v>
      </c>
      <c r="I231" s="592" t="s">
        <v>1279</v>
      </c>
      <c r="J231" s="592" t="s">
        <v>1280</v>
      </c>
      <c r="K231" s="592" t="s">
        <v>983</v>
      </c>
      <c r="L231" s="594">
        <v>41.519999999999989</v>
      </c>
      <c r="M231" s="594">
        <v>1</v>
      </c>
      <c r="N231" s="595">
        <v>41.519999999999989</v>
      </c>
    </row>
    <row r="232" spans="1:14" ht="14.4" customHeight="1" x14ac:dyDescent="0.3">
      <c r="A232" s="590" t="s">
        <v>485</v>
      </c>
      <c r="B232" s="591" t="s">
        <v>1636</v>
      </c>
      <c r="C232" s="592" t="s">
        <v>490</v>
      </c>
      <c r="D232" s="593" t="s">
        <v>1637</v>
      </c>
      <c r="E232" s="592" t="s">
        <v>495</v>
      </c>
      <c r="F232" s="593" t="s">
        <v>1638</v>
      </c>
      <c r="G232" s="592" t="s">
        <v>1213</v>
      </c>
      <c r="H232" s="592" t="s">
        <v>1281</v>
      </c>
      <c r="I232" s="592" t="s">
        <v>1282</v>
      </c>
      <c r="J232" s="592" t="s">
        <v>1283</v>
      </c>
      <c r="K232" s="592" t="s">
        <v>1284</v>
      </c>
      <c r="L232" s="594">
        <v>890.09997401612316</v>
      </c>
      <c r="M232" s="594">
        <v>29</v>
      </c>
      <c r="N232" s="595">
        <v>25812.899246467572</v>
      </c>
    </row>
    <row r="233" spans="1:14" ht="14.4" customHeight="1" x14ac:dyDescent="0.3">
      <c r="A233" s="590" t="s">
        <v>485</v>
      </c>
      <c r="B233" s="591" t="s">
        <v>1636</v>
      </c>
      <c r="C233" s="592" t="s">
        <v>490</v>
      </c>
      <c r="D233" s="593" t="s">
        <v>1637</v>
      </c>
      <c r="E233" s="592" t="s">
        <v>495</v>
      </c>
      <c r="F233" s="593" t="s">
        <v>1638</v>
      </c>
      <c r="G233" s="592" t="s">
        <v>1213</v>
      </c>
      <c r="H233" s="592" t="s">
        <v>1285</v>
      </c>
      <c r="I233" s="592" t="s">
        <v>1286</v>
      </c>
      <c r="J233" s="592" t="s">
        <v>1287</v>
      </c>
      <c r="K233" s="592" t="s">
        <v>1288</v>
      </c>
      <c r="L233" s="594">
        <v>1603.93</v>
      </c>
      <c r="M233" s="594">
        <v>2</v>
      </c>
      <c r="N233" s="595">
        <v>3207.86</v>
      </c>
    </row>
    <row r="234" spans="1:14" ht="14.4" customHeight="1" x14ac:dyDescent="0.3">
      <c r="A234" s="590" t="s">
        <v>485</v>
      </c>
      <c r="B234" s="591" t="s">
        <v>1636</v>
      </c>
      <c r="C234" s="592" t="s">
        <v>490</v>
      </c>
      <c r="D234" s="593" t="s">
        <v>1637</v>
      </c>
      <c r="E234" s="592" t="s">
        <v>495</v>
      </c>
      <c r="F234" s="593" t="s">
        <v>1638</v>
      </c>
      <c r="G234" s="592" t="s">
        <v>1213</v>
      </c>
      <c r="H234" s="592" t="s">
        <v>1289</v>
      </c>
      <c r="I234" s="592" t="s">
        <v>1289</v>
      </c>
      <c r="J234" s="592" t="s">
        <v>1290</v>
      </c>
      <c r="K234" s="592" t="s">
        <v>1291</v>
      </c>
      <c r="L234" s="594">
        <v>28.98</v>
      </c>
      <c r="M234" s="594">
        <v>1</v>
      </c>
      <c r="N234" s="595">
        <v>28.98</v>
      </c>
    </row>
    <row r="235" spans="1:14" ht="14.4" customHeight="1" x14ac:dyDescent="0.3">
      <c r="A235" s="590" t="s">
        <v>485</v>
      </c>
      <c r="B235" s="591" t="s">
        <v>1636</v>
      </c>
      <c r="C235" s="592" t="s">
        <v>490</v>
      </c>
      <c r="D235" s="593" t="s">
        <v>1637</v>
      </c>
      <c r="E235" s="592" t="s">
        <v>495</v>
      </c>
      <c r="F235" s="593" t="s">
        <v>1638</v>
      </c>
      <c r="G235" s="592" t="s">
        <v>1213</v>
      </c>
      <c r="H235" s="592" t="s">
        <v>1292</v>
      </c>
      <c r="I235" s="592" t="s">
        <v>1293</v>
      </c>
      <c r="J235" s="592" t="s">
        <v>1294</v>
      </c>
      <c r="K235" s="592" t="s">
        <v>1295</v>
      </c>
      <c r="L235" s="594">
        <v>97.57</v>
      </c>
      <c r="M235" s="594">
        <v>1</v>
      </c>
      <c r="N235" s="595">
        <v>97.57</v>
      </c>
    </row>
    <row r="236" spans="1:14" ht="14.4" customHeight="1" x14ac:dyDescent="0.3">
      <c r="A236" s="590" t="s">
        <v>485</v>
      </c>
      <c r="B236" s="591" t="s">
        <v>1636</v>
      </c>
      <c r="C236" s="592" t="s">
        <v>490</v>
      </c>
      <c r="D236" s="593" t="s">
        <v>1637</v>
      </c>
      <c r="E236" s="592" t="s">
        <v>495</v>
      </c>
      <c r="F236" s="593" t="s">
        <v>1638</v>
      </c>
      <c r="G236" s="592" t="s">
        <v>1213</v>
      </c>
      <c r="H236" s="592" t="s">
        <v>1296</v>
      </c>
      <c r="I236" s="592" t="s">
        <v>1297</v>
      </c>
      <c r="J236" s="592" t="s">
        <v>1298</v>
      </c>
      <c r="K236" s="592" t="s">
        <v>1299</v>
      </c>
      <c r="L236" s="594">
        <v>380.52000000000004</v>
      </c>
      <c r="M236" s="594">
        <v>1</v>
      </c>
      <c r="N236" s="595">
        <v>380.52000000000004</v>
      </c>
    </row>
    <row r="237" spans="1:14" ht="14.4" customHeight="1" x14ac:dyDescent="0.3">
      <c r="A237" s="590" t="s">
        <v>485</v>
      </c>
      <c r="B237" s="591" t="s">
        <v>1636</v>
      </c>
      <c r="C237" s="592" t="s">
        <v>490</v>
      </c>
      <c r="D237" s="593" t="s">
        <v>1637</v>
      </c>
      <c r="E237" s="592" t="s">
        <v>495</v>
      </c>
      <c r="F237" s="593" t="s">
        <v>1638</v>
      </c>
      <c r="G237" s="592" t="s">
        <v>1213</v>
      </c>
      <c r="H237" s="592" t="s">
        <v>1300</v>
      </c>
      <c r="I237" s="592" t="s">
        <v>1301</v>
      </c>
      <c r="J237" s="592" t="s">
        <v>1302</v>
      </c>
      <c r="K237" s="592" t="s">
        <v>1303</v>
      </c>
      <c r="L237" s="594">
        <v>162.36000000000001</v>
      </c>
      <c r="M237" s="594">
        <v>2</v>
      </c>
      <c r="N237" s="595">
        <v>324.72000000000003</v>
      </c>
    </row>
    <row r="238" spans="1:14" ht="14.4" customHeight="1" x14ac:dyDescent="0.3">
      <c r="A238" s="590" t="s">
        <v>485</v>
      </c>
      <c r="B238" s="591" t="s">
        <v>1636</v>
      </c>
      <c r="C238" s="592" t="s">
        <v>490</v>
      </c>
      <c r="D238" s="593" t="s">
        <v>1637</v>
      </c>
      <c r="E238" s="592" t="s">
        <v>495</v>
      </c>
      <c r="F238" s="593" t="s">
        <v>1638</v>
      </c>
      <c r="G238" s="592" t="s">
        <v>1213</v>
      </c>
      <c r="H238" s="592" t="s">
        <v>1304</v>
      </c>
      <c r="I238" s="592" t="s">
        <v>1305</v>
      </c>
      <c r="J238" s="592" t="s">
        <v>1306</v>
      </c>
      <c r="K238" s="592" t="s">
        <v>1307</v>
      </c>
      <c r="L238" s="594">
        <v>112.47999999999998</v>
      </c>
      <c r="M238" s="594">
        <v>2</v>
      </c>
      <c r="N238" s="595">
        <v>224.95999999999995</v>
      </c>
    </row>
    <row r="239" spans="1:14" ht="14.4" customHeight="1" x14ac:dyDescent="0.3">
      <c r="A239" s="590" t="s">
        <v>485</v>
      </c>
      <c r="B239" s="591" t="s">
        <v>1636</v>
      </c>
      <c r="C239" s="592" t="s">
        <v>490</v>
      </c>
      <c r="D239" s="593" t="s">
        <v>1637</v>
      </c>
      <c r="E239" s="592" t="s">
        <v>495</v>
      </c>
      <c r="F239" s="593" t="s">
        <v>1638</v>
      </c>
      <c r="G239" s="592" t="s">
        <v>1213</v>
      </c>
      <c r="H239" s="592" t="s">
        <v>1308</v>
      </c>
      <c r="I239" s="592" t="s">
        <v>1309</v>
      </c>
      <c r="J239" s="592" t="s">
        <v>1310</v>
      </c>
      <c r="K239" s="592" t="s">
        <v>1311</v>
      </c>
      <c r="L239" s="594">
        <v>84.180106113386984</v>
      </c>
      <c r="M239" s="594">
        <v>1</v>
      </c>
      <c r="N239" s="595">
        <v>84.180106113386984</v>
      </c>
    </row>
    <row r="240" spans="1:14" ht="14.4" customHeight="1" x14ac:dyDescent="0.3">
      <c r="A240" s="590" t="s">
        <v>485</v>
      </c>
      <c r="B240" s="591" t="s">
        <v>1636</v>
      </c>
      <c r="C240" s="592" t="s">
        <v>490</v>
      </c>
      <c r="D240" s="593" t="s">
        <v>1637</v>
      </c>
      <c r="E240" s="592" t="s">
        <v>495</v>
      </c>
      <c r="F240" s="593" t="s">
        <v>1638</v>
      </c>
      <c r="G240" s="592" t="s">
        <v>1213</v>
      </c>
      <c r="H240" s="592" t="s">
        <v>1312</v>
      </c>
      <c r="I240" s="592" t="s">
        <v>1312</v>
      </c>
      <c r="J240" s="592" t="s">
        <v>1313</v>
      </c>
      <c r="K240" s="592" t="s">
        <v>1314</v>
      </c>
      <c r="L240" s="594">
        <v>411.0200000000001</v>
      </c>
      <c r="M240" s="594">
        <v>1</v>
      </c>
      <c r="N240" s="595">
        <v>411.0200000000001</v>
      </c>
    </row>
    <row r="241" spans="1:14" ht="14.4" customHeight="1" x14ac:dyDescent="0.3">
      <c r="A241" s="590" t="s">
        <v>485</v>
      </c>
      <c r="B241" s="591" t="s">
        <v>1636</v>
      </c>
      <c r="C241" s="592" t="s">
        <v>490</v>
      </c>
      <c r="D241" s="593" t="s">
        <v>1637</v>
      </c>
      <c r="E241" s="592" t="s">
        <v>495</v>
      </c>
      <c r="F241" s="593" t="s">
        <v>1638</v>
      </c>
      <c r="G241" s="592" t="s">
        <v>1213</v>
      </c>
      <c r="H241" s="592" t="s">
        <v>1315</v>
      </c>
      <c r="I241" s="592" t="s">
        <v>1316</v>
      </c>
      <c r="J241" s="592" t="s">
        <v>1317</v>
      </c>
      <c r="K241" s="592" t="s">
        <v>1318</v>
      </c>
      <c r="L241" s="594">
        <v>177.96999258698466</v>
      </c>
      <c r="M241" s="594">
        <v>3</v>
      </c>
      <c r="N241" s="595">
        <v>533.90997776095401</v>
      </c>
    </row>
    <row r="242" spans="1:14" ht="14.4" customHeight="1" x14ac:dyDescent="0.3">
      <c r="A242" s="590" t="s">
        <v>485</v>
      </c>
      <c r="B242" s="591" t="s">
        <v>1636</v>
      </c>
      <c r="C242" s="592" t="s">
        <v>490</v>
      </c>
      <c r="D242" s="593" t="s">
        <v>1637</v>
      </c>
      <c r="E242" s="592" t="s">
        <v>495</v>
      </c>
      <c r="F242" s="593" t="s">
        <v>1638</v>
      </c>
      <c r="G242" s="592" t="s">
        <v>1213</v>
      </c>
      <c r="H242" s="592" t="s">
        <v>1319</v>
      </c>
      <c r="I242" s="592" t="s">
        <v>1320</v>
      </c>
      <c r="J242" s="592" t="s">
        <v>1321</v>
      </c>
      <c r="K242" s="592" t="s">
        <v>1322</v>
      </c>
      <c r="L242" s="594">
        <v>1470.012310385596</v>
      </c>
      <c r="M242" s="594">
        <v>26</v>
      </c>
      <c r="N242" s="595">
        <v>38220.320070025497</v>
      </c>
    </row>
    <row r="243" spans="1:14" ht="14.4" customHeight="1" x14ac:dyDescent="0.3">
      <c r="A243" s="590" t="s">
        <v>485</v>
      </c>
      <c r="B243" s="591" t="s">
        <v>1636</v>
      </c>
      <c r="C243" s="592" t="s">
        <v>490</v>
      </c>
      <c r="D243" s="593" t="s">
        <v>1637</v>
      </c>
      <c r="E243" s="592" t="s">
        <v>495</v>
      </c>
      <c r="F243" s="593" t="s">
        <v>1638</v>
      </c>
      <c r="G243" s="592" t="s">
        <v>1213</v>
      </c>
      <c r="H243" s="592" t="s">
        <v>1323</v>
      </c>
      <c r="I243" s="592" t="s">
        <v>1324</v>
      </c>
      <c r="J243" s="592" t="s">
        <v>1325</v>
      </c>
      <c r="K243" s="592" t="s">
        <v>767</v>
      </c>
      <c r="L243" s="594">
        <v>257.05000000000007</v>
      </c>
      <c r="M243" s="594">
        <v>2</v>
      </c>
      <c r="N243" s="595">
        <v>514.10000000000014</v>
      </c>
    </row>
    <row r="244" spans="1:14" ht="14.4" customHeight="1" x14ac:dyDescent="0.3">
      <c r="A244" s="590" t="s">
        <v>485</v>
      </c>
      <c r="B244" s="591" t="s">
        <v>1636</v>
      </c>
      <c r="C244" s="592" t="s">
        <v>490</v>
      </c>
      <c r="D244" s="593" t="s">
        <v>1637</v>
      </c>
      <c r="E244" s="592" t="s">
        <v>1326</v>
      </c>
      <c r="F244" s="593" t="s">
        <v>1639</v>
      </c>
      <c r="G244" s="592" t="s">
        <v>516</v>
      </c>
      <c r="H244" s="592" t="s">
        <v>1327</v>
      </c>
      <c r="I244" s="592" t="s">
        <v>1328</v>
      </c>
      <c r="J244" s="592" t="s">
        <v>1329</v>
      </c>
      <c r="K244" s="592" t="s">
        <v>1330</v>
      </c>
      <c r="L244" s="594">
        <v>2175.8071391902176</v>
      </c>
      <c r="M244" s="594">
        <v>60</v>
      </c>
      <c r="N244" s="595">
        <v>130548.42835141305</v>
      </c>
    </row>
    <row r="245" spans="1:14" ht="14.4" customHeight="1" x14ac:dyDescent="0.3">
      <c r="A245" s="590" t="s">
        <v>485</v>
      </c>
      <c r="B245" s="591" t="s">
        <v>1636</v>
      </c>
      <c r="C245" s="592" t="s">
        <v>490</v>
      </c>
      <c r="D245" s="593" t="s">
        <v>1637</v>
      </c>
      <c r="E245" s="592" t="s">
        <v>1326</v>
      </c>
      <c r="F245" s="593" t="s">
        <v>1639</v>
      </c>
      <c r="G245" s="592" t="s">
        <v>516</v>
      </c>
      <c r="H245" s="592" t="s">
        <v>1331</v>
      </c>
      <c r="I245" s="592" t="s">
        <v>1332</v>
      </c>
      <c r="J245" s="592" t="s">
        <v>1333</v>
      </c>
      <c r="K245" s="592" t="s">
        <v>1177</v>
      </c>
      <c r="L245" s="594">
        <v>323.98</v>
      </c>
      <c r="M245" s="594">
        <v>50</v>
      </c>
      <c r="N245" s="595">
        <v>16199</v>
      </c>
    </row>
    <row r="246" spans="1:14" ht="14.4" customHeight="1" x14ac:dyDescent="0.3">
      <c r="A246" s="590" t="s">
        <v>485</v>
      </c>
      <c r="B246" s="591" t="s">
        <v>1636</v>
      </c>
      <c r="C246" s="592" t="s">
        <v>490</v>
      </c>
      <c r="D246" s="593" t="s">
        <v>1637</v>
      </c>
      <c r="E246" s="592" t="s">
        <v>1326</v>
      </c>
      <c r="F246" s="593" t="s">
        <v>1639</v>
      </c>
      <c r="G246" s="592" t="s">
        <v>516</v>
      </c>
      <c r="H246" s="592" t="s">
        <v>1334</v>
      </c>
      <c r="I246" s="592" t="s">
        <v>1335</v>
      </c>
      <c r="J246" s="592" t="s">
        <v>1336</v>
      </c>
      <c r="K246" s="592" t="s">
        <v>1337</v>
      </c>
      <c r="L246" s="594">
        <v>2842.8</v>
      </c>
      <c r="M246" s="594">
        <v>7</v>
      </c>
      <c r="N246" s="595">
        <v>19899.600000000002</v>
      </c>
    </row>
    <row r="247" spans="1:14" ht="14.4" customHeight="1" x14ac:dyDescent="0.3">
      <c r="A247" s="590" t="s">
        <v>485</v>
      </c>
      <c r="B247" s="591" t="s">
        <v>1636</v>
      </c>
      <c r="C247" s="592" t="s">
        <v>490</v>
      </c>
      <c r="D247" s="593" t="s">
        <v>1637</v>
      </c>
      <c r="E247" s="592" t="s">
        <v>1326</v>
      </c>
      <c r="F247" s="593" t="s">
        <v>1639</v>
      </c>
      <c r="G247" s="592" t="s">
        <v>516</v>
      </c>
      <c r="H247" s="592" t="s">
        <v>1338</v>
      </c>
      <c r="I247" s="592" t="s">
        <v>211</v>
      </c>
      <c r="J247" s="592" t="s">
        <v>1339</v>
      </c>
      <c r="K247" s="592"/>
      <c r="L247" s="594">
        <v>1161.165</v>
      </c>
      <c r="M247" s="594">
        <v>1.5325666666666666</v>
      </c>
      <c r="N247" s="595">
        <v>1779.5627734999998</v>
      </c>
    </row>
    <row r="248" spans="1:14" ht="14.4" customHeight="1" x14ac:dyDescent="0.3">
      <c r="A248" s="590" t="s">
        <v>485</v>
      </c>
      <c r="B248" s="591" t="s">
        <v>1636</v>
      </c>
      <c r="C248" s="592" t="s">
        <v>490</v>
      </c>
      <c r="D248" s="593" t="s">
        <v>1637</v>
      </c>
      <c r="E248" s="592" t="s">
        <v>1326</v>
      </c>
      <c r="F248" s="593" t="s">
        <v>1639</v>
      </c>
      <c r="G248" s="592" t="s">
        <v>516</v>
      </c>
      <c r="H248" s="592" t="s">
        <v>1340</v>
      </c>
      <c r="I248" s="592" t="s">
        <v>211</v>
      </c>
      <c r="J248" s="592" t="s">
        <v>1341</v>
      </c>
      <c r="K248" s="592" t="s">
        <v>1342</v>
      </c>
      <c r="L248" s="594">
        <v>211.91989065997427</v>
      </c>
      <c r="M248" s="594">
        <v>16</v>
      </c>
      <c r="N248" s="595">
        <v>3390.7182505595883</v>
      </c>
    </row>
    <row r="249" spans="1:14" ht="14.4" customHeight="1" x14ac:dyDescent="0.3">
      <c r="A249" s="590" t="s">
        <v>485</v>
      </c>
      <c r="B249" s="591" t="s">
        <v>1636</v>
      </c>
      <c r="C249" s="592" t="s">
        <v>490</v>
      </c>
      <c r="D249" s="593" t="s">
        <v>1637</v>
      </c>
      <c r="E249" s="592" t="s">
        <v>1326</v>
      </c>
      <c r="F249" s="593" t="s">
        <v>1639</v>
      </c>
      <c r="G249" s="592" t="s">
        <v>516</v>
      </c>
      <c r="H249" s="592" t="s">
        <v>1343</v>
      </c>
      <c r="I249" s="592" t="s">
        <v>1344</v>
      </c>
      <c r="J249" s="592" t="s">
        <v>1345</v>
      </c>
      <c r="K249" s="592" t="s">
        <v>1346</v>
      </c>
      <c r="L249" s="594">
        <v>2245.2005319958257</v>
      </c>
      <c r="M249" s="594">
        <v>94</v>
      </c>
      <c r="N249" s="595">
        <v>211048.85000760763</v>
      </c>
    </row>
    <row r="250" spans="1:14" ht="14.4" customHeight="1" x14ac:dyDescent="0.3">
      <c r="A250" s="590" t="s">
        <v>485</v>
      </c>
      <c r="B250" s="591" t="s">
        <v>1636</v>
      </c>
      <c r="C250" s="592" t="s">
        <v>490</v>
      </c>
      <c r="D250" s="593" t="s">
        <v>1637</v>
      </c>
      <c r="E250" s="592" t="s">
        <v>1326</v>
      </c>
      <c r="F250" s="593" t="s">
        <v>1639</v>
      </c>
      <c r="G250" s="592" t="s">
        <v>516</v>
      </c>
      <c r="H250" s="592" t="s">
        <v>1347</v>
      </c>
      <c r="I250" s="592" t="s">
        <v>1347</v>
      </c>
      <c r="J250" s="592" t="s">
        <v>1348</v>
      </c>
      <c r="K250" s="592" t="s">
        <v>1349</v>
      </c>
      <c r="L250" s="594">
        <v>3681.0100000000007</v>
      </c>
      <c r="M250" s="594">
        <v>5</v>
      </c>
      <c r="N250" s="595">
        <v>18405.050000000003</v>
      </c>
    </row>
    <row r="251" spans="1:14" ht="14.4" customHeight="1" x14ac:dyDescent="0.3">
      <c r="A251" s="590" t="s">
        <v>485</v>
      </c>
      <c r="B251" s="591" t="s">
        <v>1636</v>
      </c>
      <c r="C251" s="592" t="s">
        <v>490</v>
      </c>
      <c r="D251" s="593" t="s">
        <v>1637</v>
      </c>
      <c r="E251" s="592" t="s">
        <v>1326</v>
      </c>
      <c r="F251" s="593" t="s">
        <v>1639</v>
      </c>
      <c r="G251" s="592" t="s">
        <v>516</v>
      </c>
      <c r="H251" s="592" t="s">
        <v>1350</v>
      </c>
      <c r="I251" s="592" t="s">
        <v>1351</v>
      </c>
      <c r="J251" s="592" t="s">
        <v>1352</v>
      </c>
      <c r="K251" s="592" t="s">
        <v>1349</v>
      </c>
      <c r="L251" s="594">
        <v>1735.6600000000005</v>
      </c>
      <c r="M251" s="594">
        <v>3</v>
      </c>
      <c r="N251" s="595">
        <v>5206.9800000000014</v>
      </c>
    </row>
    <row r="252" spans="1:14" ht="14.4" customHeight="1" x14ac:dyDescent="0.3">
      <c r="A252" s="590" t="s">
        <v>485</v>
      </c>
      <c r="B252" s="591" t="s">
        <v>1636</v>
      </c>
      <c r="C252" s="592" t="s">
        <v>490</v>
      </c>
      <c r="D252" s="593" t="s">
        <v>1637</v>
      </c>
      <c r="E252" s="592" t="s">
        <v>1326</v>
      </c>
      <c r="F252" s="593" t="s">
        <v>1639</v>
      </c>
      <c r="G252" s="592" t="s">
        <v>516</v>
      </c>
      <c r="H252" s="592" t="s">
        <v>1353</v>
      </c>
      <c r="I252" s="592" t="s">
        <v>1354</v>
      </c>
      <c r="J252" s="592" t="s">
        <v>1355</v>
      </c>
      <c r="K252" s="592" t="s">
        <v>1349</v>
      </c>
      <c r="L252" s="594">
        <v>1389.89</v>
      </c>
      <c r="M252" s="594">
        <v>1</v>
      </c>
      <c r="N252" s="595">
        <v>1389.89</v>
      </c>
    </row>
    <row r="253" spans="1:14" ht="14.4" customHeight="1" x14ac:dyDescent="0.3">
      <c r="A253" s="590" t="s">
        <v>485</v>
      </c>
      <c r="B253" s="591" t="s">
        <v>1636</v>
      </c>
      <c r="C253" s="592" t="s">
        <v>490</v>
      </c>
      <c r="D253" s="593" t="s">
        <v>1637</v>
      </c>
      <c r="E253" s="592" t="s">
        <v>1326</v>
      </c>
      <c r="F253" s="593" t="s">
        <v>1639</v>
      </c>
      <c r="G253" s="592" t="s">
        <v>516</v>
      </c>
      <c r="H253" s="592" t="s">
        <v>1356</v>
      </c>
      <c r="I253" s="592" t="s">
        <v>1357</v>
      </c>
      <c r="J253" s="592" t="s">
        <v>1358</v>
      </c>
      <c r="K253" s="592" t="s">
        <v>1359</v>
      </c>
      <c r="L253" s="594">
        <v>2156.2640864787309</v>
      </c>
      <c r="M253" s="594">
        <v>43</v>
      </c>
      <c r="N253" s="595">
        <v>92719.35571858543</v>
      </c>
    </row>
    <row r="254" spans="1:14" ht="14.4" customHeight="1" x14ac:dyDescent="0.3">
      <c r="A254" s="590" t="s">
        <v>485</v>
      </c>
      <c r="B254" s="591" t="s">
        <v>1636</v>
      </c>
      <c r="C254" s="592" t="s">
        <v>490</v>
      </c>
      <c r="D254" s="593" t="s">
        <v>1637</v>
      </c>
      <c r="E254" s="592" t="s">
        <v>1326</v>
      </c>
      <c r="F254" s="593" t="s">
        <v>1639</v>
      </c>
      <c r="G254" s="592" t="s">
        <v>516</v>
      </c>
      <c r="H254" s="592" t="s">
        <v>1360</v>
      </c>
      <c r="I254" s="592" t="s">
        <v>1361</v>
      </c>
      <c r="J254" s="592" t="s">
        <v>1362</v>
      </c>
      <c r="K254" s="592" t="s">
        <v>1363</v>
      </c>
      <c r="L254" s="594">
        <v>2206.4041351569872</v>
      </c>
      <c r="M254" s="594">
        <v>1</v>
      </c>
      <c r="N254" s="595">
        <v>2206.4041351569872</v>
      </c>
    </row>
    <row r="255" spans="1:14" ht="14.4" customHeight="1" x14ac:dyDescent="0.3">
      <c r="A255" s="590" t="s">
        <v>485</v>
      </c>
      <c r="B255" s="591" t="s">
        <v>1636</v>
      </c>
      <c r="C255" s="592" t="s">
        <v>490</v>
      </c>
      <c r="D255" s="593" t="s">
        <v>1637</v>
      </c>
      <c r="E255" s="592" t="s">
        <v>1326</v>
      </c>
      <c r="F255" s="593" t="s">
        <v>1639</v>
      </c>
      <c r="G255" s="592" t="s">
        <v>516</v>
      </c>
      <c r="H255" s="592" t="s">
        <v>1364</v>
      </c>
      <c r="I255" s="592" t="s">
        <v>1365</v>
      </c>
      <c r="J255" s="592" t="s">
        <v>1366</v>
      </c>
      <c r="K255" s="592" t="s">
        <v>1367</v>
      </c>
      <c r="L255" s="594">
        <v>1938.4899999999996</v>
      </c>
      <c r="M255" s="594">
        <v>1</v>
      </c>
      <c r="N255" s="595">
        <v>1938.4899999999996</v>
      </c>
    </row>
    <row r="256" spans="1:14" ht="14.4" customHeight="1" x14ac:dyDescent="0.3">
      <c r="A256" s="590" t="s">
        <v>485</v>
      </c>
      <c r="B256" s="591" t="s">
        <v>1636</v>
      </c>
      <c r="C256" s="592" t="s">
        <v>490</v>
      </c>
      <c r="D256" s="593" t="s">
        <v>1637</v>
      </c>
      <c r="E256" s="592" t="s">
        <v>1326</v>
      </c>
      <c r="F256" s="593" t="s">
        <v>1639</v>
      </c>
      <c r="G256" s="592" t="s">
        <v>516</v>
      </c>
      <c r="H256" s="592" t="s">
        <v>1368</v>
      </c>
      <c r="I256" s="592" t="s">
        <v>1369</v>
      </c>
      <c r="J256" s="592" t="s">
        <v>1370</v>
      </c>
      <c r="K256" s="592" t="s">
        <v>1371</v>
      </c>
      <c r="L256" s="594">
        <v>4358.66</v>
      </c>
      <c r="M256" s="594">
        <v>1</v>
      </c>
      <c r="N256" s="595">
        <v>4358.66</v>
      </c>
    </row>
    <row r="257" spans="1:14" ht="14.4" customHeight="1" x14ac:dyDescent="0.3">
      <c r="A257" s="590" t="s">
        <v>485</v>
      </c>
      <c r="B257" s="591" t="s">
        <v>1636</v>
      </c>
      <c r="C257" s="592" t="s">
        <v>490</v>
      </c>
      <c r="D257" s="593" t="s">
        <v>1637</v>
      </c>
      <c r="E257" s="592" t="s">
        <v>1326</v>
      </c>
      <c r="F257" s="593" t="s">
        <v>1639</v>
      </c>
      <c r="G257" s="592" t="s">
        <v>516</v>
      </c>
      <c r="H257" s="592" t="s">
        <v>1372</v>
      </c>
      <c r="I257" s="592" t="s">
        <v>211</v>
      </c>
      <c r="J257" s="592" t="s">
        <v>1373</v>
      </c>
      <c r="K257" s="592"/>
      <c r="L257" s="594">
        <v>252.96999894003531</v>
      </c>
      <c r="M257" s="594">
        <v>102</v>
      </c>
      <c r="N257" s="595">
        <v>25802.939891883601</v>
      </c>
    </row>
    <row r="258" spans="1:14" ht="14.4" customHeight="1" x14ac:dyDescent="0.3">
      <c r="A258" s="590" t="s">
        <v>485</v>
      </c>
      <c r="B258" s="591" t="s">
        <v>1636</v>
      </c>
      <c r="C258" s="592" t="s">
        <v>490</v>
      </c>
      <c r="D258" s="593" t="s">
        <v>1637</v>
      </c>
      <c r="E258" s="592" t="s">
        <v>1326</v>
      </c>
      <c r="F258" s="593" t="s">
        <v>1639</v>
      </c>
      <c r="G258" s="592" t="s">
        <v>516</v>
      </c>
      <c r="H258" s="592" t="s">
        <v>1374</v>
      </c>
      <c r="I258" s="592" t="s">
        <v>1375</v>
      </c>
      <c r="J258" s="592" t="s">
        <v>1358</v>
      </c>
      <c r="K258" s="592" t="s">
        <v>1376</v>
      </c>
      <c r="L258" s="594">
        <v>3379.3900000000003</v>
      </c>
      <c r="M258" s="594">
        <v>21.8</v>
      </c>
      <c r="N258" s="595">
        <v>73670.702000000005</v>
      </c>
    </row>
    <row r="259" spans="1:14" ht="14.4" customHeight="1" x14ac:dyDescent="0.3">
      <c r="A259" s="590" t="s">
        <v>485</v>
      </c>
      <c r="B259" s="591" t="s">
        <v>1636</v>
      </c>
      <c r="C259" s="592" t="s">
        <v>490</v>
      </c>
      <c r="D259" s="593" t="s">
        <v>1637</v>
      </c>
      <c r="E259" s="592" t="s">
        <v>1326</v>
      </c>
      <c r="F259" s="593" t="s">
        <v>1639</v>
      </c>
      <c r="G259" s="592" t="s">
        <v>516</v>
      </c>
      <c r="H259" s="592" t="s">
        <v>1377</v>
      </c>
      <c r="I259" s="592" t="s">
        <v>1378</v>
      </c>
      <c r="J259" s="592" t="s">
        <v>1379</v>
      </c>
      <c r="K259" s="592" t="s">
        <v>1151</v>
      </c>
      <c r="L259" s="594">
        <v>2903.29</v>
      </c>
      <c r="M259" s="594">
        <v>1</v>
      </c>
      <c r="N259" s="595">
        <v>2903.29</v>
      </c>
    </row>
    <row r="260" spans="1:14" ht="14.4" customHeight="1" x14ac:dyDescent="0.3">
      <c r="A260" s="590" t="s">
        <v>485</v>
      </c>
      <c r="B260" s="591" t="s">
        <v>1636</v>
      </c>
      <c r="C260" s="592" t="s">
        <v>490</v>
      </c>
      <c r="D260" s="593" t="s">
        <v>1637</v>
      </c>
      <c r="E260" s="592" t="s">
        <v>1326</v>
      </c>
      <c r="F260" s="593" t="s">
        <v>1639</v>
      </c>
      <c r="G260" s="592" t="s">
        <v>516</v>
      </c>
      <c r="H260" s="592" t="s">
        <v>1380</v>
      </c>
      <c r="I260" s="592" t="s">
        <v>1381</v>
      </c>
      <c r="J260" s="592" t="s">
        <v>1382</v>
      </c>
      <c r="K260" s="592" t="s">
        <v>1151</v>
      </c>
      <c r="L260" s="594">
        <v>2322.3060764296001</v>
      </c>
      <c r="M260" s="594">
        <v>4</v>
      </c>
      <c r="N260" s="595">
        <v>9289.2243057184005</v>
      </c>
    </row>
    <row r="261" spans="1:14" ht="14.4" customHeight="1" x14ac:dyDescent="0.3">
      <c r="A261" s="590" t="s">
        <v>485</v>
      </c>
      <c r="B261" s="591" t="s">
        <v>1636</v>
      </c>
      <c r="C261" s="592" t="s">
        <v>490</v>
      </c>
      <c r="D261" s="593" t="s">
        <v>1637</v>
      </c>
      <c r="E261" s="592" t="s">
        <v>1326</v>
      </c>
      <c r="F261" s="593" t="s">
        <v>1639</v>
      </c>
      <c r="G261" s="592" t="s">
        <v>516</v>
      </c>
      <c r="H261" s="592" t="s">
        <v>1383</v>
      </c>
      <c r="I261" s="592" t="s">
        <v>1384</v>
      </c>
      <c r="J261" s="592" t="s">
        <v>1385</v>
      </c>
      <c r="K261" s="592" t="s">
        <v>1386</v>
      </c>
      <c r="L261" s="594">
        <v>1886</v>
      </c>
      <c r="M261" s="594">
        <v>4</v>
      </c>
      <c r="N261" s="595">
        <v>7544</v>
      </c>
    </row>
    <row r="262" spans="1:14" ht="14.4" customHeight="1" x14ac:dyDescent="0.3">
      <c r="A262" s="590" t="s">
        <v>485</v>
      </c>
      <c r="B262" s="591" t="s">
        <v>1636</v>
      </c>
      <c r="C262" s="592" t="s">
        <v>490</v>
      </c>
      <c r="D262" s="593" t="s">
        <v>1637</v>
      </c>
      <c r="E262" s="592" t="s">
        <v>1326</v>
      </c>
      <c r="F262" s="593" t="s">
        <v>1639</v>
      </c>
      <c r="G262" s="592" t="s">
        <v>1213</v>
      </c>
      <c r="H262" s="592" t="s">
        <v>1387</v>
      </c>
      <c r="I262" s="592" t="s">
        <v>1388</v>
      </c>
      <c r="J262" s="592" t="s">
        <v>1389</v>
      </c>
      <c r="K262" s="592" t="s">
        <v>1228</v>
      </c>
      <c r="L262" s="594">
        <v>40.569962750572437</v>
      </c>
      <c r="M262" s="594">
        <v>38</v>
      </c>
      <c r="N262" s="595">
        <v>1541.6585845217526</v>
      </c>
    </row>
    <row r="263" spans="1:14" ht="14.4" customHeight="1" x14ac:dyDescent="0.3">
      <c r="A263" s="590" t="s">
        <v>485</v>
      </c>
      <c r="B263" s="591" t="s">
        <v>1636</v>
      </c>
      <c r="C263" s="592" t="s">
        <v>490</v>
      </c>
      <c r="D263" s="593" t="s">
        <v>1637</v>
      </c>
      <c r="E263" s="592" t="s">
        <v>1326</v>
      </c>
      <c r="F263" s="593" t="s">
        <v>1639</v>
      </c>
      <c r="G263" s="592" t="s">
        <v>1213</v>
      </c>
      <c r="H263" s="592" t="s">
        <v>1390</v>
      </c>
      <c r="I263" s="592" t="s">
        <v>1391</v>
      </c>
      <c r="J263" s="592" t="s">
        <v>1392</v>
      </c>
      <c r="K263" s="592" t="s">
        <v>1228</v>
      </c>
      <c r="L263" s="594">
        <v>52.016665462915505</v>
      </c>
      <c r="M263" s="594">
        <v>66</v>
      </c>
      <c r="N263" s="595">
        <v>3433.0999205524231</v>
      </c>
    </row>
    <row r="264" spans="1:14" ht="14.4" customHeight="1" x14ac:dyDescent="0.3">
      <c r="A264" s="590" t="s">
        <v>485</v>
      </c>
      <c r="B264" s="591" t="s">
        <v>1636</v>
      </c>
      <c r="C264" s="592" t="s">
        <v>490</v>
      </c>
      <c r="D264" s="593" t="s">
        <v>1637</v>
      </c>
      <c r="E264" s="592" t="s">
        <v>1326</v>
      </c>
      <c r="F264" s="593" t="s">
        <v>1639</v>
      </c>
      <c r="G264" s="592" t="s">
        <v>1213</v>
      </c>
      <c r="H264" s="592" t="s">
        <v>1393</v>
      </c>
      <c r="I264" s="592" t="s">
        <v>1394</v>
      </c>
      <c r="J264" s="592" t="s">
        <v>1395</v>
      </c>
      <c r="K264" s="592" t="s">
        <v>1228</v>
      </c>
      <c r="L264" s="594">
        <v>52.106168759451606</v>
      </c>
      <c r="M264" s="594">
        <v>47</v>
      </c>
      <c r="N264" s="595">
        <v>2448.9899316942256</v>
      </c>
    </row>
    <row r="265" spans="1:14" ht="14.4" customHeight="1" x14ac:dyDescent="0.3">
      <c r="A265" s="590" t="s">
        <v>485</v>
      </c>
      <c r="B265" s="591" t="s">
        <v>1636</v>
      </c>
      <c r="C265" s="592" t="s">
        <v>490</v>
      </c>
      <c r="D265" s="593" t="s">
        <v>1637</v>
      </c>
      <c r="E265" s="592" t="s">
        <v>1326</v>
      </c>
      <c r="F265" s="593" t="s">
        <v>1639</v>
      </c>
      <c r="G265" s="592" t="s">
        <v>1213</v>
      </c>
      <c r="H265" s="592" t="s">
        <v>1396</v>
      </c>
      <c r="I265" s="592" t="s">
        <v>1397</v>
      </c>
      <c r="J265" s="592" t="s">
        <v>1398</v>
      </c>
      <c r="K265" s="592" t="s">
        <v>1228</v>
      </c>
      <c r="L265" s="594">
        <v>54.460003541988904</v>
      </c>
      <c r="M265" s="594">
        <v>12</v>
      </c>
      <c r="N265" s="595">
        <v>653.52004250386688</v>
      </c>
    </row>
    <row r="266" spans="1:14" ht="14.4" customHeight="1" x14ac:dyDescent="0.3">
      <c r="A266" s="590" t="s">
        <v>485</v>
      </c>
      <c r="B266" s="591" t="s">
        <v>1636</v>
      </c>
      <c r="C266" s="592" t="s">
        <v>490</v>
      </c>
      <c r="D266" s="593" t="s">
        <v>1637</v>
      </c>
      <c r="E266" s="592" t="s">
        <v>1326</v>
      </c>
      <c r="F266" s="593" t="s">
        <v>1639</v>
      </c>
      <c r="G266" s="592" t="s">
        <v>1213</v>
      </c>
      <c r="H266" s="592" t="s">
        <v>1399</v>
      </c>
      <c r="I266" s="592" t="s">
        <v>1400</v>
      </c>
      <c r="J266" s="592" t="s">
        <v>1401</v>
      </c>
      <c r="K266" s="592" t="s">
        <v>1228</v>
      </c>
      <c r="L266" s="594">
        <v>42.760000573311906</v>
      </c>
      <c r="M266" s="594">
        <v>60</v>
      </c>
      <c r="N266" s="595">
        <v>2565.6000343987143</v>
      </c>
    </row>
    <row r="267" spans="1:14" ht="14.4" customHeight="1" x14ac:dyDescent="0.3">
      <c r="A267" s="590" t="s">
        <v>485</v>
      </c>
      <c r="B267" s="591" t="s">
        <v>1636</v>
      </c>
      <c r="C267" s="592" t="s">
        <v>490</v>
      </c>
      <c r="D267" s="593" t="s">
        <v>1637</v>
      </c>
      <c r="E267" s="592" t="s">
        <v>1326</v>
      </c>
      <c r="F267" s="593" t="s">
        <v>1639</v>
      </c>
      <c r="G267" s="592" t="s">
        <v>1213</v>
      </c>
      <c r="H267" s="592" t="s">
        <v>1402</v>
      </c>
      <c r="I267" s="592" t="s">
        <v>1403</v>
      </c>
      <c r="J267" s="592" t="s">
        <v>1404</v>
      </c>
      <c r="K267" s="592" t="s">
        <v>1405</v>
      </c>
      <c r="L267" s="594">
        <v>216.21948196787091</v>
      </c>
      <c r="M267" s="594">
        <v>8</v>
      </c>
      <c r="N267" s="595">
        <v>1729.7558557429672</v>
      </c>
    </row>
    <row r="268" spans="1:14" ht="14.4" customHeight="1" x14ac:dyDescent="0.3">
      <c r="A268" s="590" t="s">
        <v>485</v>
      </c>
      <c r="B268" s="591" t="s">
        <v>1636</v>
      </c>
      <c r="C268" s="592" t="s">
        <v>490</v>
      </c>
      <c r="D268" s="593" t="s">
        <v>1637</v>
      </c>
      <c r="E268" s="592" t="s">
        <v>1326</v>
      </c>
      <c r="F268" s="593" t="s">
        <v>1639</v>
      </c>
      <c r="G268" s="592" t="s">
        <v>1213</v>
      </c>
      <c r="H268" s="592" t="s">
        <v>1406</v>
      </c>
      <c r="I268" s="592" t="s">
        <v>1406</v>
      </c>
      <c r="J268" s="592" t="s">
        <v>1407</v>
      </c>
      <c r="K268" s="592" t="s">
        <v>1408</v>
      </c>
      <c r="L268" s="594">
        <v>424.98</v>
      </c>
      <c r="M268" s="594">
        <v>29</v>
      </c>
      <c r="N268" s="595">
        <v>12324.42</v>
      </c>
    </row>
    <row r="269" spans="1:14" ht="14.4" customHeight="1" x14ac:dyDescent="0.3">
      <c r="A269" s="590" t="s">
        <v>485</v>
      </c>
      <c r="B269" s="591" t="s">
        <v>1636</v>
      </c>
      <c r="C269" s="592" t="s">
        <v>490</v>
      </c>
      <c r="D269" s="593" t="s">
        <v>1637</v>
      </c>
      <c r="E269" s="592" t="s">
        <v>1326</v>
      </c>
      <c r="F269" s="593" t="s">
        <v>1639</v>
      </c>
      <c r="G269" s="592" t="s">
        <v>1213</v>
      </c>
      <c r="H269" s="592" t="s">
        <v>1409</v>
      </c>
      <c r="I269" s="592" t="s">
        <v>1409</v>
      </c>
      <c r="J269" s="592" t="s">
        <v>1410</v>
      </c>
      <c r="K269" s="592" t="s">
        <v>1408</v>
      </c>
      <c r="L269" s="594">
        <v>183.36987913333621</v>
      </c>
      <c r="M269" s="594">
        <v>118</v>
      </c>
      <c r="N269" s="595">
        <v>21637.645737733674</v>
      </c>
    </row>
    <row r="270" spans="1:14" ht="14.4" customHeight="1" x14ac:dyDescent="0.3">
      <c r="A270" s="590" t="s">
        <v>485</v>
      </c>
      <c r="B270" s="591" t="s">
        <v>1636</v>
      </c>
      <c r="C270" s="592" t="s">
        <v>490</v>
      </c>
      <c r="D270" s="593" t="s">
        <v>1637</v>
      </c>
      <c r="E270" s="592" t="s">
        <v>1326</v>
      </c>
      <c r="F270" s="593" t="s">
        <v>1639</v>
      </c>
      <c r="G270" s="592" t="s">
        <v>1213</v>
      </c>
      <c r="H270" s="592" t="s">
        <v>1411</v>
      </c>
      <c r="I270" s="592" t="s">
        <v>1412</v>
      </c>
      <c r="J270" s="592" t="s">
        <v>1413</v>
      </c>
      <c r="K270" s="592" t="s">
        <v>1414</v>
      </c>
      <c r="L270" s="594">
        <v>390.46931946493532</v>
      </c>
      <c r="M270" s="594">
        <v>14</v>
      </c>
      <c r="N270" s="595">
        <v>5466.5704725090945</v>
      </c>
    </row>
    <row r="271" spans="1:14" ht="14.4" customHeight="1" x14ac:dyDescent="0.3">
      <c r="A271" s="590" t="s">
        <v>485</v>
      </c>
      <c r="B271" s="591" t="s">
        <v>1636</v>
      </c>
      <c r="C271" s="592" t="s">
        <v>490</v>
      </c>
      <c r="D271" s="593" t="s">
        <v>1637</v>
      </c>
      <c r="E271" s="592" t="s">
        <v>1326</v>
      </c>
      <c r="F271" s="593" t="s">
        <v>1639</v>
      </c>
      <c r="G271" s="592" t="s">
        <v>1213</v>
      </c>
      <c r="H271" s="592" t="s">
        <v>1415</v>
      </c>
      <c r="I271" s="592" t="s">
        <v>1415</v>
      </c>
      <c r="J271" s="592" t="s">
        <v>1416</v>
      </c>
      <c r="K271" s="592" t="s">
        <v>1417</v>
      </c>
      <c r="L271" s="594">
        <v>148.06999999999996</v>
      </c>
      <c r="M271" s="594">
        <v>3</v>
      </c>
      <c r="N271" s="595">
        <v>444.20999999999992</v>
      </c>
    </row>
    <row r="272" spans="1:14" ht="14.4" customHeight="1" x14ac:dyDescent="0.3">
      <c r="A272" s="590" t="s">
        <v>485</v>
      </c>
      <c r="B272" s="591" t="s">
        <v>1636</v>
      </c>
      <c r="C272" s="592" t="s">
        <v>490</v>
      </c>
      <c r="D272" s="593" t="s">
        <v>1637</v>
      </c>
      <c r="E272" s="592" t="s">
        <v>1326</v>
      </c>
      <c r="F272" s="593" t="s">
        <v>1639</v>
      </c>
      <c r="G272" s="592" t="s">
        <v>1213</v>
      </c>
      <c r="H272" s="592" t="s">
        <v>1418</v>
      </c>
      <c r="I272" s="592" t="s">
        <v>1418</v>
      </c>
      <c r="J272" s="592" t="s">
        <v>1419</v>
      </c>
      <c r="K272" s="592" t="s">
        <v>1417</v>
      </c>
      <c r="L272" s="594">
        <v>148.07</v>
      </c>
      <c r="M272" s="594">
        <v>2</v>
      </c>
      <c r="N272" s="595">
        <v>296.14</v>
      </c>
    </row>
    <row r="273" spans="1:14" ht="14.4" customHeight="1" x14ac:dyDescent="0.3">
      <c r="A273" s="590" t="s">
        <v>485</v>
      </c>
      <c r="B273" s="591" t="s">
        <v>1636</v>
      </c>
      <c r="C273" s="592" t="s">
        <v>490</v>
      </c>
      <c r="D273" s="593" t="s">
        <v>1637</v>
      </c>
      <c r="E273" s="592" t="s">
        <v>1326</v>
      </c>
      <c r="F273" s="593" t="s">
        <v>1639</v>
      </c>
      <c r="G273" s="592" t="s">
        <v>1213</v>
      </c>
      <c r="H273" s="592" t="s">
        <v>1420</v>
      </c>
      <c r="I273" s="592" t="s">
        <v>1421</v>
      </c>
      <c r="J273" s="592" t="s">
        <v>1422</v>
      </c>
      <c r="K273" s="592" t="s">
        <v>1228</v>
      </c>
      <c r="L273" s="594">
        <v>40.569993443369924</v>
      </c>
      <c r="M273" s="594">
        <v>167</v>
      </c>
      <c r="N273" s="595">
        <v>6775.1889050427772</v>
      </c>
    </row>
    <row r="274" spans="1:14" ht="14.4" customHeight="1" x14ac:dyDescent="0.3">
      <c r="A274" s="590" t="s">
        <v>485</v>
      </c>
      <c r="B274" s="591" t="s">
        <v>1636</v>
      </c>
      <c r="C274" s="592" t="s">
        <v>490</v>
      </c>
      <c r="D274" s="593" t="s">
        <v>1637</v>
      </c>
      <c r="E274" s="592" t="s">
        <v>1326</v>
      </c>
      <c r="F274" s="593" t="s">
        <v>1639</v>
      </c>
      <c r="G274" s="592" t="s">
        <v>1213</v>
      </c>
      <c r="H274" s="592" t="s">
        <v>1423</v>
      </c>
      <c r="I274" s="592" t="s">
        <v>1424</v>
      </c>
      <c r="J274" s="592" t="s">
        <v>1425</v>
      </c>
      <c r="K274" s="592" t="s">
        <v>1426</v>
      </c>
      <c r="L274" s="594">
        <v>148.07</v>
      </c>
      <c r="M274" s="594">
        <v>2</v>
      </c>
      <c r="N274" s="595">
        <v>296.14</v>
      </c>
    </row>
    <row r="275" spans="1:14" ht="14.4" customHeight="1" x14ac:dyDescent="0.3">
      <c r="A275" s="590" t="s">
        <v>485</v>
      </c>
      <c r="B275" s="591" t="s">
        <v>1636</v>
      </c>
      <c r="C275" s="592" t="s">
        <v>490</v>
      </c>
      <c r="D275" s="593" t="s">
        <v>1637</v>
      </c>
      <c r="E275" s="592" t="s">
        <v>1326</v>
      </c>
      <c r="F275" s="593" t="s">
        <v>1639</v>
      </c>
      <c r="G275" s="592" t="s">
        <v>1213</v>
      </c>
      <c r="H275" s="592" t="s">
        <v>1427</v>
      </c>
      <c r="I275" s="592" t="s">
        <v>1428</v>
      </c>
      <c r="J275" s="592" t="s">
        <v>1429</v>
      </c>
      <c r="K275" s="592"/>
      <c r="L275" s="594">
        <v>40.569990190365829</v>
      </c>
      <c r="M275" s="594">
        <v>154</v>
      </c>
      <c r="N275" s="595">
        <v>6247.778489316338</v>
      </c>
    </row>
    <row r="276" spans="1:14" ht="14.4" customHeight="1" x14ac:dyDescent="0.3">
      <c r="A276" s="590" t="s">
        <v>485</v>
      </c>
      <c r="B276" s="591" t="s">
        <v>1636</v>
      </c>
      <c r="C276" s="592" t="s">
        <v>490</v>
      </c>
      <c r="D276" s="593" t="s">
        <v>1637</v>
      </c>
      <c r="E276" s="592" t="s">
        <v>1326</v>
      </c>
      <c r="F276" s="593" t="s">
        <v>1639</v>
      </c>
      <c r="G276" s="592" t="s">
        <v>1213</v>
      </c>
      <c r="H276" s="592" t="s">
        <v>1430</v>
      </c>
      <c r="I276" s="592" t="s">
        <v>1431</v>
      </c>
      <c r="J276" s="592" t="s">
        <v>1432</v>
      </c>
      <c r="K276" s="592" t="s">
        <v>1417</v>
      </c>
      <c r="L276" s="594">
        <v>148.07001772389791</v>
      </c>
      <c r="M276" s="594">
        <v>1</v>
      </c>
      <c r="N276" s="595">
        <v>148.07001772389791</v>
      </c>
    </row>
    <row r="277" spans="1:14" ht="14.4" customHeight="1" x14ac:dyDescent="0.3">
      <c r="A277" s="590" t="s">
        <v>485</v>
      </c>
      <c r="B277" s="591" t="s">
        <v>1636</v>
      </c>
      <c r="C277" s="592" t="s">
        <v>490</v>
      </c>
      <c r="D277" s="593" t="s">
        <v>1637</v>
      </c>
      <c r="E277" s="592" t="s">
        <v>1326</v>
      </c>
      <c r="F277" s="593" t="s">
        <v>1639</v>
      </c>
      <c r="G277" s="592" t="s">
        <v>1213</v>
      </c>
      <c r="H277" s="592" t="s">
        <v>1433</v>
      </c>
      <c r="I277" s="592" t="s">
        <v>1433</v>
      </c>
      <c r="J277" s="592" t="s">
        <v>1434</v>
      </c>
      <c r="K277" s="592" t="s">
        <v>1435</v>
      </c>
      <c r="L277" s="594">
        <v>186.73000000000002</v>
      </c>
      <c r="M277" s="594">
        <v>1</v>
      </c>
      <c r="N277" s="595">
        <v>186.73000000000002</v>
      </c>
    </row>
    <row r="278" spans="1:14" ht="14.4" customHeight="1" x14ac:dyDescent="0.3">
      <c r="A278" s="590" t="s">
        <v>485</v>
      </c>
      <c r="B278" s="591" t="s">
        <v>1636</v>
      </c>
      <c r="C278" s="592" t="s">
        <v>490</v>
      </c>
      <c r="D278" s="593" t="s">
        <v>1637</v>
      </c>
      <c r="E278" s="592" t="s">
        <v>1326</v>
      </c>
      <c r="F278" s="593" t="s">
        <v>1639</v>
      </c>
      <c r="G278" s="592" t="s">
        <v>1213</v>
      </c>
      <c r="H278" s="592" t="s">
        <v>1436</v>
      </c>
      <c r="I278" s="592" t="s">
        <v>1436</v>
      </c>
      <c r="J278" s="592" t="s">
        <v>1437</v>
      </c>
      <c r="K278" s="592" t="s">
        <v>1435</v>
      </c>
      <c r="L278" s="594">
        <v>186.73000000000002</v>
      </c>
      <c r="M278" s="594">
        <v>1</v>
      </c>
      <c r="N278" s="595">
        <v>186.73000000000002</v>
      </c>
    </row>
    <row r="279" spans="1:14" ht="14.4" customHeight="1" x14ac:dyDescent="0.3">
      <c r="A279" s="590" t="s">
        <v>485</v>
      </c>
      <c r="B279" s="591" t="s">
        <v>1636</v>
      </c>
      <c r="C279" s="592" t="s">
        <v>490</v>
      </c>
      <c r="D279" s="593" t="s">
        <v>1637</v>
      </c>
      <c r="E279" s="592" t="s">
        <v>1326</v>
      </c>
      <c r="F279" s="593" t="s">
        <v>1639</v>
      </c>
      <c r="G279" s="592" t="s">
        <v>1213</v>
      </c>
      <c r="H279" s="592" t="s">
        <v>1438</v>
      </c>
      <c r="I279" s="592" t="s">
        <v>1438</v>
      </c>
      <c r="J279" s="592" t="s">
        <v>1439</v>
      </c>
      <c r="K279" s="592" t="s">
        <v>1435</v>
      </c>
      <c r="L279" s="594">
        <v>186.73000000000002</v>
      </c>
      <c r="M279" s="594">
        <v>1</v>
      </c>
      <c r="N279" s="595">
        <v>186.73000000000002</v>
      </c>
    </row>
    <row r="280" spans="1:14" ht="14.4" customHeight="1" x14ac:dyDescent="0.3">
      <c r="A280" s="590" t="s">
        <v>485</v>
      </c>
      <c r="B280" s="591" t="s">
        <v>1636</v>
      </c>
      <c r="C280" s="592" t="s">
        <v>490</v>
      </c>
      <c r="D280" s="593" t="s">
        <v>1637</v>
      </c>
      <c r="E280" s="592" t="s">
        <v>1440</v>
      </c>
      <c r="F280" s="593" t="s">
        <v>1640</v>
      </c>
      <c r="G280" s="592" t="s">
        <v>516</v>
      </c>
      <c r="H280" s="592" t="s">
        <v>1441</v>
      </c>
      <c r="I280" s="592" t="s">
        <v>1442</v>
      </c>
      <c r="J280" s="592" t="s">
        <v>1443</v>
      </c>
      <c r="K280" s="592" t="s">
        <v>1444</v>
      </c>
      <c r="L280" s="594">
        <v>35.26</v>
      </c>
      <c r="M280" s="594">
        <v>30</v>
      </c>
      <c r="N280" s="595">
        <v>1057.8</v>
      </c>
    </row>
    <row r="281" spans="1:14" ht="14.4" customHeight="1" x14ac:dyDescent="0.3">
      <c r="A281" s="590" t="s">
        <v>485</v>
      </c>
      <c r="B281" s="591" t="s">
        <v>1636</v>
      </c>
      <c r="C281" s="592" t="s">
        <v>490</v>
      </c>
      <c r="D281" s="593" t="s">
        <v>1637</v>
      </c>
      <c r="E281" s="592" t="s">
        <v>1440</v>
      </c>
      <c r="F281" s="593" t="s">
        <v>1640</v>
      </c>
      <c r="G281" s="592" t="s">
        <v>516</v>
      </c>
      <c r="H281" s="592" t="s">
        <v>1445</v>
      </c>
      <c r="I281" s="592" t="s">
        <v>1445</v>
      </c>
      <c r="J281" s="592" t="s">
        <v>1446</v>
      </c>
      <c r="K281" s="592" t="s">
        <v>1447</v>
      </c>
      <c r="L281" s="594">
        <v>72.840112595631524</v>
      </c>
      <c r="M281" s="594">
        <v>12</v>
      </c>
      <c r="N281" s="595">
        <v>874.08135114757829</v>
      </c>
    </row>
    <row r="282" spans="1:14" ht="14.4" customHeight="1" x14ac:dyDescent="0.3">
      <c r="A282" s="590" t="s">
        <v>485</v>
      </c>
      <c r="B282" s="591" t="s">
        <v>1636</v>
      </c>
      <c r="C282" s="592" t="s">
        <v>490</v>
      </c>
      <c r="D282" s="593" t="s">
        <v>1637</v>
      </c>
      <c r="E282" s="592" t="s">
        <v>1440</v>
      </c>
      <c r="F282" s="593" t="s">
        <v>1640</v>
      </c>
      <c r="G282" s="592" t="s">
        <v>516</v>
      </c>
      <c r="H282" s="592" t="s">
        <v>1448</v>
      </c>
      <c r="I282" s="592" t="s">
        <v>1449</v>
      </c>
      <c r="J282" s="592" t="s">
        <v>1450</v>
      </c>
      <c r="K282" s="592" t="s">
        <v>1451</v>
      </c>
      <c r="L282" s="594">
        <v>39.303255588988151</v>
      </c>
      <c r="M282" s="594">
        <v>12</v>
      </c>
      <c r="N282" s="595">
        <v>471.63906706785781</v>
      </c>
    </row>
    <row r="283" spans="1:14" ht="14.4" customHeight="1" x14ac:dyDescent="0.3">
      <c r="A283" s="590" t="s">
        <v>485</v>
      </c>
      <c r="B283" s="591" t="s">
        <v>1636</v>
      </c>
      <c r="C283" s="592" t="s">
        <v>490</v>
      </c>
      <c r="D283" s="593" t="s">
        <v>1637</v>
      </c>
      <c r="E283" s="592" t="s">
        <v>1440</v>
      </c>
      <c r="F283" s="593" t="s">
        <v>1640</v>
      </c>
      <c r="G283" s="592" t="s">
        <v>516</v>
      </c>
      <c r="H283" s="592" t="s">
        <v>1452</v>
      </c>
      <c r="I283" s="592" t="s">
        <v>1453</v>
      </c>
      <c r="J283" s="592" t="s">
        <v>1454</v>
      </c>
      <c r="K283" s="592" t="s">
        <v>557</v>
      </c>
      <c r="L283" s="594">
        <v>66.13</v>
      </c>
      <c r="M283" s="594">
        <v>2</v>
      </c>
      <c r="N283" s="595">
        <v>132.26</v>
      </c>
    </row>
    <row r="284" spans="1:14" ht="14.4" customHeight="1" x14ac:dyDescent="0.3">
      <c r="A284" s="590" t="s">
        <v>485</v>
      </c>
      <c r="B284" s="591" t="s">
        <v>1636</v>
      </c>
      <c r="C284" s="592" t="s">
        <v>490</v>
      </c>
      <c r="D284" s="593" t="s">
        <v>1637</v>
      </c>
      <c r="E284" s="592" t="s">
        <v>1440</v>
      </c>
      <c r="F284" s="593" t="s">
        <v>1640</v>
      </c>
      <c r="G284" s="592" t="s">
        <v>516</v>
      </c>
      <c r="H284" s="592" t="s">
        <v>1455</v>
      </c>
      <c r="I284" s="592" t="s">
        <v>1456</v>
      </c>
      <c r="J284" s="592" t="s">
        <v>1457</v>
      </c>
      <c r="K284" s="592" t="s">
        <v>1458</v>
      </c>
      <c r="L284" s="594">
        <v>26.850000000000009</v>
      </c>
      <c r="M284" s="594">
        <v>2</v>
      </c>
      <c r="N284" s="595">
        <v>53.700000000000017</v>
      </c>
    </row>
    <row r="285" spans="1:14" ht="14.4" customHeight="1" x14ac:dyDescent="0.3">
      <c r="A285" s="590" t="s">
        <v>485</v>
      </c>
      <c r="B285" s="591" t="s">
        <v>1636</v>
      </c>
      <c r="C285" s="592" t="s">
        <v>490</v>
      </c>
      <c r="D285" s="593" t="s">
        <v>1637</v>
      </c>
      <c r="E285" s="592" t="s">
        <v>1440</v>
      </c>
      <c r="F285" s="593" t="s">
        <v>1640</v>
      </c>
      <c r="G285" s="592" t="s">
        <v>516</v>
      </c>
      <c r="H285" s="592" t="s">
        <v>1459</v>
      </c>
      <c r="I285" s="592" t="s">
        <v>1460</v>
      </c>
      <c r="J285" s="592" t="s">
        <v>1461</v>
      </c>
      <c r="K285" s="592" t="s">
        <v>1462</v>
      </c>
      <c r="L285" s="594">
        <v>33.366250000000001</v>
      </c>
      <c r="M285" s="594">
        <v>16</v>
      </c>
      <c r="N285" s="595">
        <v>533.86</v>
      </c>
    </row>
    <row r="286" spans="1:14" ht="14.4" customHeight="1" x14ac:dyDescent="0.3">
      <c r="A286" s="590" t="s">
        <v>485</v>
      </c>
      <c r="B286" s="591" t="s">
        <v>1636</v>
      </c>
      <c r="C286" s="592" t="s">
        <v>490</v>
      </c>
      <c r="D286" s="593" t="s">
        <v>1637</v>
      </c>
      <c r="E286" s="592" t="s">
        <v>1440</v>
      </c>
      <c r="F286" s="593" t="s">
        <v>1640</v>
      </c>
      <c r="G286" s="592" t="s">
        <v>516</v>
      </c>
      <c r="H286" s="592" t="s">
        <v>1463</v>
      </c>
      <c r="I286" s="592" t="s">
        <v>1464</v>
      </c>
      <c r="J286" s="592" t="s">
        <v>1465</v>
      </c>
      <c r="K286" s="592" t="s">
        <v>1466</v>
      </c>
      <c r="L286" s="594">
        <v>430.43396675380757</v>
      </c>
      <c r="M286" s="594">
        <v>53</v>
      </c>
      <c r="N286" s="595">
        <v>22813.000237951801</v>
      </c>
    </row>
    <row r="287" spans="1:14" ht="14.4" customHeight="1" x14ac:dyDescent="0.3">
      <c r="A287" s="590" t="s">
        <v>485</v>
      </c>
      <c r="B287" s="591" t="s">
        <v>1636</v>
      </c>
      <c r="C287" s="592" t="s">
        <v>490</v>
      </c>
      <c r="D287" s="593" t="s">
        <v>1637</v>
      </c>
      <c r="E287" s="592" t="s">
        <v>1440</v>
      </c>
      <c r="F287" s="593" t="s">
        <v>1640</v>
      </c>
      <c r="G287" s="592" t="s">
        <v>516</v>
      </c>
      <c r="H287" s="592" t="s">
        <v>1467</v>
      </c>
      <c r="I287" s="592" t="s">
        <v>1468</v>
      </c>
      <c r="J287" s="592" t="s">
        <v>1469</v>
      </c>
      <c r="K287" s="592" t="s">
        <v>1470</v>
      </c>
      <c r="L287" s="594">
        <v>1271.7095764583869</v>
      </c>
      <c r="M287" s="594">
        <v>41.169633333333337</v>
      </c>
      <c r="N287" s="595">
        <v>52355.816969280422</v>
      </c>
    </row>
    <row r="288" spans="1:14" ht="14.4" customHeight="1" x14ac:dyDescent="0.3">
      <c r="A288" s="590" t="s">
        <v>485</v>
      </c>
      <c r="B288" s="591" t="s">
        <v>1636</v>
      </c>
      <c r="C288" s="592" t="s">
        <v>490</v>
      </c>
      <c r="D288" s="593" t="s">
        <v>1637</v>
      </c>
      <c r="E288" s="592" t="s">
        <v>1440</v>
      </c>
      <c r="F288" s="593" t="s">
        <v>1640</v>
      </c>
      <c r="G288" s="592" t="s">
        <v>516</v>
      </c>
      <c r="H288" s="592" t="s">
        <v>1471</v>
      </c>
      <c r="I288" s="592" t="s">
        <v>1472</v>
      </c>
      <c r="J288" s="592" t="s">
        <v>1473</v>
      </c>
      <c r="K288" s="592" t="s">
        <v>1474</v>
      </c>
      <c r="L288" s="594">
        <v>641.98993676609007</v>
      </c>
      <c r="M288" s="594">
        <v>31</v>
      </c>
      <c r="N288" s="595">
        <v>19901.688039748791</v>
      </c>
    </row>
    <row r="289" spans="1:14" ht="14.4" customHeight="1" x14ac:dyDescent="0.3">
      <c r="A289" s="590" t="s">
        <v>485</v>
      </c>
      <c r="B289" s="591" t="s">
        <v>1636</v>
      </c>
      <c r="C289" s="592" t="s">
        <v>490</v>
      </c>
      <c r="D289" s="593" t="s">
        <v>1637</v>
      </c>
      <c r="E289" s="592" t="s">
        <v>1440</v>
      </c>
      <c r="F289" s="593" t="s">
        <v>1640</v>
      </c>
      <c r="G289" s="592" t="s">
        <v>516</v>
      </c>
      <c r="H289" s="592" t="s">
        <v>1475</v>
      </c>
      <c r="I289" s="592" t="s">
        <v>1475</v>
      </c>
      <c r="J289" s="592" t="s">
        <v>1476</v>
      </c>
      <c r="K289" s="592" t="s">
        <v>1477</v>
      </c>
      <c r="L289" s="594">
        <v>610.95244341922921</v>
      </c>
      <c r="M289" s="594">
        <v>5</v>
      </c>
      <c r="N289" s="595">
        <v>3054.7622170961458</v>
      </c>
    </row>
    <row r="290" spans="1:14" ht="14.4" customHeight="1" x14ac:dyDescent="0.3">
      <c r="A290" s="590" t="s">
        <v>485</v>
      </c>
      <c r="B290" s="591" t="s">
        <v>1636</v>
      </c>
      <c r="C290" s="592" t="s">
        <v>490</v>
      </c>
      <c r="D290" s="593" t="s">
        <v>1637</v>
      </c>
      <c r="E290" s="592" t="s">
        <v>1440</v>
      </c>
      <c r="F290" s="593" t="s">
        <v>1640</v>
      </c>
      <c r="G290" s="592" t="s">
        <v>516</v>
      </c>
      <c r="H290" s="592" t="s">
        <v>1478</v>
      </c>
      <c r="I290" s="592" t="s">
        <v>1479</v>
      </c>
      <c r="J290" s="592" t="s">
        <v>1480</v>
      </c>
      <c r="K290" s="592" t="s">
        <v>1481</v>
      </c>
      <c r="L290" s="594">
        <v>248.84377888001322</v>
      </c>
      <c r="M290" s="594">
        <v>5</v>
      </c>
      <c r="N290" s="595">
        <v>1244.2188944000661</v>
      </c>
    </row>
    <row r="291" spans="1:14" ht="14.4" customHeight="1" x14ac:dyDescent="0.3">
      <c r="A291" s="590" t="s">
        <v>485</v>
      </c>
      <c r="B291" s="591" t="s">
        <v>1636</v>
      </c>
      <c r="C291" s="592" t="s">
        <v>490</v>
      </c>
      <c r="D291" s="593" t="s">
        <v>1637</v>
      </c>
      <c r="E291" s="592" t="s">
        <v>1440</v>
      </c>
      <c r="F291" s="593" t="s">
        <v>1640</v>
      </c>
      <c r="G291" s="592" t="s">
        <v>516</v>
      </c>
      <c r="H291" s="592" t="s">
        <v>1482</v>
      </c>
      <c r="I291" s="592" t="s">
        <v>1483</v>
      </c>
      <c r="J291" s="592" t="s">
        <v>1484</v>
      </c>
      <c r="K291" s="592" t="s">
        <v>1485</v>
      </c>
      <c r="L291" s="594">
        <v>2899.2097054659434</v>
      </c>
      <c r="M291" s="594">
        <v>30</v>
      </c>
      <c r="N291" s="595">
        <v>86976.291163978298</v>
      </c>
    </row>
    <row r="292" spans="1:14" ht="14.4" customHeight="1" x14ac:dyDescent="0.3">
      <c r="A292" s="590" t="s">
        <v>485</v>
      </c>
      <c r="B292" s="591" t="s">
        <v>1636</v>
      </c>
      <c r="C292" s="592" t="s">
        <v>490</v>
      </c>
      <c r="D292" s="593" t="s">
        <v>1637</v>
      </c>
      <c r="E292" s="592" t="s">
        <v>1440</v>
      </c>
      <c r="F292" s="593" t="s">
        <v>1640</v>
      </c>
      <c r="G292" s="592" t="s">
        <v>516</v>
      </c>
      <c r="H292" s="592" t="s">
        <v>1486</v>
      </c>
      <c r="I292" s="592" t="s">
        <v>1487</v>
      </c>
      <c r="J292" s="592" t="s">
        <v>1488</v>
      </c>
      <c r="K292" s="592" t="s">
        <v>1489</v>
      </c>
      <c r="L292" s="594">
        <v>86.569815242475258</v>
      </c>
      <c r="M292" s="594">
        <v>3</v>
      </c>
      <c r="N292" s="595">
        <v>259.70944572742576</v>
      </c>
    </row>
    <row r="293" spans="1:14" ht="14.4" customHeight="1" x14ac:dyDescent="0.3">
      <c r="A293" s="590" t="s">
        <v>485</v>
      </c>
      <c r="B293" s="591" t="s">
        <v>1636</v>
      </c>
      <c r="C293" s="592" t="s">
        <v>490</v>
      </c>
      <c r="D293" s="593" t="s">
        <v>1637</v>
      </c>
      <c r="E293" s="592" t="s">
        <v>1440</v>
      </c>
      <c r="F293" s="593" t="s">
        <v>1640</v>
      </c>
      <c r="G293" s="592" t="s">
        <v>516</v>
      </c>
      <c r="H293" s="592" t="s">
        <v>1490</v>
      </c>
      <c r="I293" s="592" t="s">
        <v>1491</v>
      </c>
      <c r="J293" s="592" t="s">
        <v>1492</v>
      </c>
      <c r="K293" s="592" t="s">
        <v>1493</v>
      </c>
      <c r="L293" s="594">
        <v>103.007144261951</v>
      </c>
      <c r="M293" s="594">
        <v>42</v>
      </c>
      <c r="N293" s="595">
        <v>4326.3000590019419</v>
      </c>
    </row>
    <row r="294" spans="1:14" ht="14.4" customHeight="1" x14ac:dyDescent="0.3">
      <c r="A294" s="590" t="s">
        <v>485</v>
      </c>
      <c r="B294" s="591" t="s">
        <v>1636</v>
      </c>
      <c r="C294" s="592" t="s">
        <v>490</v>
      </c>
      <c r="D294" s="593" t="s">
        <v>1637</v>
      </c>
      <c r="E294" s="592" t="s">
        <v>1440</v>
      </c>
      <c r="F294" s="593" t="s">
        <v>1640</v>
      </c>
      <c r="G294" s="592" t="s">
        <v>516</v>
      </c>
      <c r="H294" s="592" t="s">
        <v>1494</v>
      </c>
      <c r="I294" s="592" t="s">
        <v>1495</v>
      </c>
      <c r="J294" s="592" t="s">
        <v>1496</v>
      </c>
      <c r="K294" s="592" t="s">
        <v>1497</v>
      </c>
      <c r="L294" s="594">
        <v>119.03118472871614</v>
      </c>
      <c r="M294" s="594">
        <v>96</v>
      </c>
      <c r="N294" s="595">
        <v>11426.99373395675</v>
      </c>
    </row>
    <row r="295" spans="1:14" ht="14.4" customHeight="1" x14ac:dyDescent="0.3">
      <c r="A295" s="590" t="s">
        <v>485</v>
      </c>
      <c r="B295" s="591" t="s">
        <v>1636</v>
      </c>
      <c r="C295" s="592" t="s">
        <v>490</v>
      </c>
      <c r="D295" s="593" t="s">
        <v>1637</v>
      </c>
      <c r="E295" s="592" t="s">
        <v>1440</v>
      </c>
      <c r="F295" s="593" t="s">
        <v>1640</v>
      </c>
      <c r="G295" s="592" t="s">
        <v>516</v>
      </c>
      <c r="H295" s="592" t="s">
        <v>1498</v>
      </c>
      <c r="I295" s="592" t="s">
        <v>1499</v>
      </c>
      <c r="J295" s="592" t="s">
        <v>1500</v>
      </c>
      <c r="K295" s="592" t="s">
        <v>1501</v>
      </c>
      <c r="L295" s="594">
        <v>678.12003215493712</v>
      </c>
      <c r="M295" s="594">
        <v>3.6</v>
      </c>
      <c r="N295" s="595">
        <v>2441.2321157577735</v>
      </c>
    </row>
    <row r="296" spans="1:14" ht="14.4" customHeight="1" x14ac:dyDescent="0.3">
      <c r="A296" s="590" t="s">
        <v>485</v>
      </c>
      <c r="B296" s="591" t="s">
        <v>1636</v>
      </c>
      <c r="C296" s="592" t="s">
        <v>490</v>
      </c>
      <c r="D296" s="593" t="s">
        <v>1637</v>
      </c>
      <c r="E296" s="592" t="s">
        <v>1440</v>
      </c>
      <c r="F296" s="593" t="s">
        <v>1640</v>
      </c>
      <c r="G296" s="592" t="s">
        <v>516</v>
      </c>
      <c r="H296" s="592" t="s">
        <v>1502</v>
      </c>
      <c r="I296" s="592" t="s">
        <v>1503</v>
      </c>
      <c r="J296" s="592" t="s">
        <v>1504</v>
      </c>
      <c r="K296" s="592" t="s">
        <v>1505</v>
      </c>
      <c r="L296" s="594">
        <v>605.26811319340118</v>
      </c>
      <c r="M296" s="594">
        <v>8.9499999999999993</v>
      </c>
      <c r="N296" s="595">
        <v>5417.1496130809401</v>
      </c>
    </row>
    <row r="297" spans="1:14" ht="14.4" customHeight="1" x14ac:dyDescent="0.3">
      <c r="A297" s="590" t="s">
        <v>485</v>
      </c>
      <c r="B297" s="591" t="s">
        <v>1636</v>
      </c>
      <c r="C297" s="592" t="s">
        <v>490</v>
      </c>
      <c r="D297" s="593" t="s">
        <v>1637</v>
      </c>
      <c r="E297" s="592" t="s">
        <v>1440</v>
      </c>
      <c r="F297" s="593" t="s">
        <v>1640</v>
      </c>
      <c r="G297" s="592" t="s">
        <v>516</v>
      </c>
      <c r="H297" s="592" t="s">
        <v>1506</v>
      </c>
      <c r="I297" s="592" t="s">
        <v>1506</v>
      </c>
      <c r="J297" s="592" t="s">
        <v>1507</v>
      </c>
      <c r="K297" s="592" t="s">
        <v>1508</v>
      </c>
      <c r="L297" s="594">
        <v>814.63055728927031</v>
      </c>
      <c r="M297" s="594">
        <v>8</v>
      </c>
      <c r="N297" s="595">
        <v>6517.0444583141625</v>
      </c>
    </row>
    <row r="298" spans="1:14" ht="14.4" customHeight="1" x14ac:dyDescent="0.3">
      <c r="A298" s="590" t="s">
        <v>485</v>
      </c>
      <c r="B298" s="591" t="s">
        <v>1636</v>
      </c>
      <c r="C298" s="592" t="s">
        <v>490</v>
      </c>
      <c r="D298" s="593" t="s">
        <v>1637</v>
      </c>
      <c r="E298" s="592" t="s">
        <v>1440</v>
      </c>
      <c r="F298" s="593" t="s">
        <v>1640</v>
      </c>
      <c r="G298" s="592" t="s">
        <v>516</v>
      </c>
      <c r="H298" s="592" t="s">
        <v>1509</v>
      </c>
      <c r="I298" s="592" t="s">
        <v>211</v>
      </c>
      <c r="J298" s="592" t="s">
        <v>1510</v>
      </c>
      <c r="K298" s="592" t="s">
        <v>1511</v>
      </c>
      <c r="L298" s="594">
        <v>1440.9487898145958</v>
      </c>
      <c r="M298" s="594">
        <v>1.7</v>
      </c>
      <c r="N298" s="595">
        <v>2449.6129426848129</v>
      </c>
    </row>
    <row r="299" spans="1:14" ht="14.4" customHeight="1" x14ac:dyDescent="0.3">
      <c r="A299" s="590" t="s">
        <v>485</v>
      </c>
      <c r="B299" s="591" t="s">
        <v>1636</v>
      </c>
      <c r="C299" s="592" t="s">
        <v>490</v>
      </c>
      <c r="D299" s="593" t="s">
        <v>1637</v>
      </c>
      <c r="E299" s="592" t="s">
        <v>1440</v>
      </c>
      <c r="F299" s="593" t="s">
        <v>1640</v>
      </c>
      <c r="G299" s="592" t="s">
        <v>516</v>
      </c>
      <c r="H299" s="592" t="s">
        <v>1512</v>
      </c>
      <c r="I299" s="592" t="s">
        <v>1513</v>
      </c>
      <c r="J299" s="592" t="s">
        <v>1514</v>
      </c>
      <c r="K299" s="592"/>
      <c r="L299" s="594">
        <v>730.62000000000012</v>
      </c>
      <c r="M299" s="594">
        <v>4</v>
      </c>
      <c r="N299" s="595">
        <v>2922.4800000000005</v>
      </c>
    </row>
    <row r="300" spans="1:14" ht="14.4" customHeight="1" x14ac:dyDescent="0.3">
      <c r="A300" s="590" t="s">
        <v>485</v>
      </c>
      <c r="B300" s="591" t="s">
        <v>1636</v>
      </c>
      <c r="C300" s="592" t="s">
        <v>490</v>
      </c>
      <c r="D300" s="593" t="s">
        <v>1637</v>
      </c>
      <c r="E300" s="592" t="s">
        <v>1440</v>
      </c>
      <c r="F300" s="593" t="s">
        <v>1640</v>
      </c>
      <c r="G300" s="592" t="s">
        <v>516</v>
      </c>
      <c r="H300" s="592" t="s">
        <v>1515</v>
      </c>
      <c r="I300" s="592" t="s">
        <v>1516</v>
      </c>
      <c r="J300" s="592" t="s">
        <v>1517</v>
      </c>
      <c r="K300" s="592" t="s">
        <v>1518</v>
      </c>
      <c r="L300" s="594">
        <v>82.83</v>
      </c>
      <c r="M300" s="594">
        <v>82</v>
      </c>
      <c r="N300" s="595">
        <v>6792.0599999999995</v>
      </c>
    </row>
    <row r="301" spans="1:14" ht="14.4" customHeight="1" x14ac:dyDescent="0.3">
      <c r="A301" s="590" t="s">
        <v>485</v>
      </c>
      <c r="B301" s="591" t="s">
        <v>1636</v>
      </c>
      <c r="C301" s="592" t="s">
        <v>490</v>
      </c>
      <c r="D301" s="593" t="s">
        <v>1637</v>
      </c>
      <c r="E301" s="592" t="s">
        <v>1440</v>
      </c>
      <c r="F301" s="593" t="s">
        <v>1640</v>
      </c>
      <c r="G301" s="592" t="s">
        <v>516</v>
      </c>
      <c r="H301" s="592" t="s">
        <v>1519</v>
      </c>
      <c r="I301" s="592" t="s">
        <v>1520</v>
      </c>
      <c r="J301" s="592" t="s">
        <v>1521</v>
      </c>
      <c r="K301" s="592" t="s">
        <v>1522</v>
      </c>
      <c r="L301" s="594">
        <v>240.34789324727194</v>
      </c>
      <c r="M301" s="594">
        <v>33</v>
      </c>
      <c r="N301" s="595">
        <v>7931.4804771599738</v>
      </c>
    </row>
    <row r="302" spans="1:14" ht="14.4" customHeight="1" x14ac:dyDescent="0.3">
      <c r="A302" s="590" t="s">
        <v>485</v>
      </c>
      <c r="B302" s="591" t="s">
        <v>1636</v>
      </c>
      <c r="C302" s="592" t="s">
        <v>490</v>
      </c>
      <c r="D302" s="593" t="s">
        <v>1637</v>
      </c>
      <c r="E302" s="592" t="s">
        <v>1440</v>
      </c>
      <c r="F302" s="593" t="s">
        <v>1640</v>
      </c>
      <c r="G302" s="592" t="s">
        <v>516</v>
      </c>
      <c r="H302" s="592" t="s">
        <v>1523</v>
      </c>
      <c r="I302" s="592" t="s">
        <v>1524</v>
      </c>
      <c r="J302" s="592" t="s">
        <v>1525</v>
      </c>
      <c r="K302" s="592" t="s">
        <v>557</v>
      </c>
      <c r="L302" s="594">
        <v>58.579874787798992</v>
      </c>
      <c r="M302" s="594">
        <v>1</v>
      </c>
      <c r="N302" s="595">
        <v>58.579874787798992</v>
      </c>
    </row>
    <row r="303" spans="1:14" ht="14.4" customHeight="1" x14ac:dyDescent="0.3">
      <c r="A303" s="590" t="s">
        <v>485</v>
      </c>
      <c r="B303" s="591" t="s">
        <v>1636</v>
      </c>
      <c r="C303" s="592" t="s">
        <v>490</v>
      </c>
      <c r="D303" s="593" t="s">
        <v>1637</v>
      </c>
      <c r="E303" s="592" t="s">
        <v>1440</v>
      </c>
      <c r="F303" s="593" t="s">
        <v>1640</v>
      </c>
      <c r="G303" s="592" t="s">
        <v>516</v>
      </c>
      <c r="H303" s="592" t="s">
        <v>1526</v>
      </c>
      <c r="I303" s="592" t="s">
        <v>1526</v>
      </c>
      <c r="J303" s="592" t="s">
        <v>1527</v>
      </c>
      <c r="K303" s="592" t="s">
        <v>1528</v>
      </c>
      <c r="L303" s="594">
        <v>1967.4696428571431</v>
      </c>
      <c r="M303" s="594">
        <v>11.2</v>
      </c>
      <c r="N303" s="595">
        <v>22035.66</v>
      </c>
    </row>
    <row r="304" spans="1:14" ht="14.4" customHeight="1" x14ac:dyDescent="0.3">
      <c r="A304" s="590" t="s">
        <v>485</v>
      </c>
      <c r="B304" s="591" t="s">
        <v>1636</v>
      </c>
      <c r="C304" s="592" t="s">
        <v>490</v>
      </c>
      <c r="D304" s="593" t="s">
        <v>1637</v>
      </c>
      <c r="E304" s="592" t="s">
        <v>1440</v>
      </c>
      <c r="F304" s="593" t="s">
        <v>1640</v>
      </c>
      <c r="G304" s="592" t="s">
        <v>516</v>
      </c>
      <c r="H304" s="592" t="s">
        <v>1529</v>
      </c>
      <c r="I304" s="592" t="s">
        <v>211</v>
      </c>
      <c r="J304" s="592" t="s">
        <v>1530</v>
      </c>
      <c r="K304" s="592" t="s">
        <v>1511</v>
      </c>
      <c r="L304" s="594">
        <v>819.95</v>
      </c>
      <c r="M304" s="594">
        <v>1</v>
      </c>
      <c r="N304" s="595">
        <v>819.95</v>
      </c>
    </row>
    <row r="305" spans="1:14" ht="14.4" customHeight="1" x14ac:dyDescent="0.3">
      <c r="A305" s="590" t="s">
        <v>485</v>
      </c>
      <c r="B305" s="591" t="s">
        <v>1636</v>
      </c>
      <c r="C305" s="592" t="s">
        <v>490</v>
      </c>
      <c r="D305" s="593" t="s">
        <v>1637</v>
      </c>
      <c r="E305" s="592" t="s">
        <v>1440</v>
      </c>
      <c r="F305" s="593" t="s">
        <v>1640</v>
      </c>
      <c r="G305" s="592" t="s">
        <v>516</v>
      </c>
      <c r="H305" s="592" t="s">
        <v>1531</v>
      </c>
      <c r="I305" s="592" t="s">
        <v>1531</v>
      </c>
      <c r="J305" s="592" t="s">
        <v>1532</v>
      </c>
      <c r="K305" s="592" t="s">
        <v>1533</v>
      </c>
      <c r="L305" s="594">
        <v>920.00000000000023</v>
      </c>
      <c r="M305" s="594">
        <v>12.2</v>
      </c>
      <c r="N305" s="595">
        <v>11224.000000000002</v>
      </c>
    </row>
    <row r="306" spans="1:14" ht="14.4" customHeight="1" x14ac:dyDescent="0.3">
      <c r="A306" s="590" t="s">
        <v>485</v>
      </c>
      <c r="B306" s="591" t="s">
        <v>1636</v>
      </c>
      <c r="C306" s="592" t="s">
        <v>490</v>
      </c>
      <c r="D306" s="593" t="s">
        <v>1637</v>
      </c>
      <c r="E306" s="592" t="s">
        <v>1440</v>
      </c>
      <c r="F306" s="593" t="s">
        <v>1640</v>
      </c>
      <c r="G306" s="592" t="s">
        <v>516</v>
      </c>
      <c r="H306" s="592" t="s">
        <v>1534</v>
      </c>
      <c r="I306" s="592" t="s">
        <v>1534</v>
      </c>
      <c r="J306" s="592" t="s">
        <v>1535</v>
      </c>
      <c r="K306" s="592" t="s">
        <v>1536</v>
      </c>
      <c r="L306" s="594">
        <v>12339.569999999998</v>
      </c>
      <c r="M306" s="594">
        <v>1.2000000000000002</v>
      </c>
      <c r="N306" s="595">
        <v>14807.484</v>
      </c>
    </row>
    <row r="307" spans="1:14" ht="14.4" customHeight="1" x14ac:dyDescent="0.3">
      <c r="A307" s="590" t="s">
        <v>485</v>
      </c>
      <c r="B307" s="591" t="s">
        <v>1636</v>
      </c>
      <c r="C307" s="592" t="s">
        <v>490</v>
      </c>
      <c r="D307" s="593" t="s">
        <v>1637</v>
      </c>
      <c r="E307" s="592" t="s">
        <v>1440</v>
      </c>
      <c r="F307" s="593" t="s">
        <v>1640</v>
      </c>
      <c r="G307" s="592" t="s">
        <v>516</v>
      </c>
      <c r="H307" s="592" t="s">
        <v>1537</v>
      </c>
      <c r="I307" s="592" t="s">
        <v>1537</v>
      </c>
      <c r="J307" s="592" t="s">
        <v>1443</v>
      </c>
      <c r="K307" s="592" t="s">
        <v>1444</v>
      </c>
      <c r="L307" s="594">
        <v>35.22500569465965</v>
      </c>
      <c r="M307" s="594">
        <v>20</v>
      </c>
      <c r="N307" s="595">
        <v>704.50011389319297</v>
      </c>
    </row>
    <row r="308" spans="1:14" ht="14.4" customHeight="1" x14ac:dyDescent="0.3">
      <c r="A308" s="590" t="s">
        <v>485</v>
      </c>
      <c r="B308" s="591" t="s">
        <v>1636</v>
      </c>
      <c r="C308" s="592" t="s">
        <v>490</v>
      </c>
      <c r="D308" s="593" t="s">
        <v>1637</v>
      </c>
      <c r="E308" s="592" t="s">
        <v>1440</v>
      </c>
      <c r="F308" s="593" t="s">
        <v>1640</v>
      </c>
      <c r="G308" s="592" t="s">
        <v>1213</v>
      </c>
      <c r="H308" s="592" t="s">
        <v>1538</v>
      </c>
      <c r="I308" s="592" t="s">
        <v>1539</v>
      </c>
      <c r="J308" s="592" t="s">
        <v>1540</v>
      </c>
      <c r="K308" s="592" t="s">
        <v>1541</v>
      </c>
      <c r="L308" s="594">
        <v>88.600158229034548</v>
      </c>
      <c r="M308" s="594">
        <v>145</v>
      </c>
      <c r="N308" s="595">
        <v>12847.02294321001</v>
      </c>
    </row>
    <row r="309" spans="1:14" ht="14.4" customHeight="1" x14ac:dyDescent="0.3">
      <c r="A309" s="590" t="s">
        <v>485</v>
      </c>
      <c r="B309" s="591" t="s">
        <v>1636</v>
      </c>
      <c r="C309" s="592" t="s">
        <v>490</v>
      </c>
      <c r="D309" s="593" t="s">
        <v>1637</v>
      </c>
      <c r="E309" s="592" t="s">
        <v>1440</v>
      </c>
      <c r="F309" s="593" t="s">
        <v>1640</v>
      </c>
      <c r="G309" s="592" t="s">
        <v>1213</v>
      </c>
      <c r="H309" s="592" t="s">
        <v>1542</v>
      </c>
      <c r="I309" s="592" t="s">
        <v>1543</v>
      </c>
      <c r="J309" s="592" t="s">
        <v>1544</v>
      </c>
      <c r="K309" s="592" t="s">
        <v>1545</v>
      </c>
      <c r="L309" s="594">
        <v>45.845314219315718</v>
      </c>
      <c r="M309" s="594">
        <v>340</v>
      </c>
      <c r="N309" s="595">
        <v>15587.406834567344</v>
      </c>
    </row>
    <row r="310" spans="1:14" ht="14.4" customHeight="1" x14ac:dyDescent="0.3">
      <c r="A310" s="590" t="s">
        <v>485</v>
      </c>
      <c r="B310" s="591" t="s">
        <v>1636</v>
      </c>
      <c r="C310" s="592" t="s">
        <v>490</v>
      </c>
      <c r="D310" s="593" t="s">
        <v>1637</v>
      </c>
      <c r="E310" s="592" t="s">
        <v>1440</v>
      </c>
      <c r="F310" s="593" t="s">
        <v>1640</v>
      </c>
      <c r="G310" s="592" t="s">
        <v>1213</v>
      </c>
      <c r="H310" s="592" t="s">
        <v>1546</v>
      </c>
      <c r="I310" s="592" t="s">
        <v>1547</v>
      </c>
      <c r="J310" s="592" t="s">
        <v>1548</v>
      </c>
      <c r="K310" s="592" t="s">
        <v>1549</v>
      </c>
      <c r="L310" s="594">
        <v>74.700022277089161</v>
      </c>
      <c r="M310" s="594">
        <v>290</v>
      </c>
      <c r="N310" s="595">
        <v>21663.006460355857</v>
      </c>
    </row>
    <row r="311" spans="1:14" ht="14.4" customHeight="1" x14ac:dyDescent="0.3">
      <c r="A311" s="590" t="s">
        <v>485</v>
      </c>
      <c r="B311" s="591" t="s">
        <v>1636</v>
      </c>
      <c r="C311" s="592" t="s">
        <v>490</v>
      </c>
      <c r="D311" s="593" t="s">
        <v>1637</v>
      </c>
      <c r="E311" s="592" t="s">
        <v>1440</v>
      </c>
      <c r="F311" s="593" t="s">
        <v>1640</v>
      </c>
      <c r="G311" s="592" t="s">
        <v>1213</v>
      </c>
      <c r="H311" s="592" t="s">
        <v>1550</v>
      </c>
      <c r="I311" s="592" t="s">
        <v>1551</v>
      </c>
      <c r="J311" s="592" t="s">
        <v>1552</v>
      </c>
      <c r="K311" s="592" t="s">
        <v>1553</v>
      </c>
      <c r="L311" s="594">
        <v>261.94499999999999</v>
      </c>
      <c r="M311" s="594">
        <v>40</v>
      </c>
      <c r="N311" s="595">
        <v>10477.799999999999</v>
      </c>
    </row>
    <row r="312" spans="1:14" ht="14.4" customHeight="1" x14ac:dyDescent="0.3">
      <c r="A312" s="590" t="s">
        <v>485</v>
      </c>
      <c r="B312" s="591" t="s">
        <v>1636</v>
      </c>
      <c r="C312" s="592" t="s">
        <v>490</v>
      </c>
      <c r="D312" s="593" t="s">
        <v>1637</v>
      </c>
      <c r="E312" s="592" t="s">
        <v>1440</v>
      </c>
      <c r="F312" s="593" t="s">
        <v>1640</v>
      </c>
      <c r="G312" s="592" t="s">
        <v>1213</v>
      </c>
      <c r="H312" s="592" t="s">
        <v>1554</v>
      </c>
      <c r="I312" s="592" t="s">
        <v>1555</v>
      </c>
      <c r="J312" s="592" t="s">
        <v>1556</v>
      </c>
      <c r="K312" s="592" t="s">
        <v>1485</v>
      </c>
      <c r="L312" s="594">
        <v>207.0001514489131</v>
      </c>
      <c r="M312" s="594">
        <v>15.499999999999996</v>
      </c>
      <c r="N312" s="595">
        <v>3208.5023474581521</v>
      </c>
    </row>
    <row r="313" spans="1:14" ht="14.4" customHeight="1" x14ac:dyDescent="0.3">
      <c r="A313" s="590" t="s">
        <v>485</v>
      </c>
      <c r="B313" s="591" t="s">
        <v>1636</v>
      </c>
      <c r="C313" s="592" t="s">
        <v>490</v>
      </c>
      <c r="D313" s="593" t="s">
        <v>1637</v>
      </c>
      <c r="E313" s="592" t="s">
        <v>1440</v>
      </c>
      <c r="F313" s="593" t="s">
        <v>1640</v>
      </c>
      <c r="G313" s="592" t="s">
        <v>1213</v>
      </c>
      <c r="H313" s="592" t="s">
        <v>1557</v>
      </c>
      <c r="I313" s="592" t="s">
        <v>1558</v>
      </c>
      <c r="J313" s="592" t="s">
        <v>1559</v>
      </c>
      <c r="K313" s="592" t="s">
        <v>1560</v>
      </c>
      <c r="L313" s="594">
        <v>94.138644683024239</v>
      </c>
      <c r="M313" s="594">
        <v>190.19999999999973</v>
      </c>
      <c r="N313" s="595">
        <v>17905.170218711184</v>
      </c>
    </row>
    <row r="314" spans="1:14" ht="14.4" customHeight="1" x14ac:dyDescent="0.3">
      <c r="A314" s="590" t="s">
        <v>485</v>
      </c>
      <c r="B314" s="591" t="s">
        <v>1636</v>
      </c>
      <c r="C314" s="592" t="s">
        <v>490</v>
      </c>
      <c r="D314" s="593" t="s">
        <v>1637</v>
      </c>
      <c r="E314" s="592" t="s">
        <v>1440</v>
      </c>
      <c r="F314" s="593" t="s">
        <v>1640</v>
      </c>
      <c r="G314" s="592" t="s">
        <v>1213</v>
      </c>
      <c r="H314" s="592" t="s">
        <v>1561</v>
      </c>
      <c r="I314" s="592" t="s">
        <v>1562</v>
      </c>
      <c r="J314" s="592" t="s">
        <v>1563</v>
      </c>
      <c r="K314" s="592" t="s">
        <v>1564</v>
      </c>
      <c r="L314" s="594">
        <v>75.220191427068372</v>
      </c>
      <c r="M314" s="594">
        <v>83</v>
      </c>
      <c r="N314" s="595">
        <v>6243.2758884466748</v>
      </c>
    </row>
    <row r="315" spans="1:14" ht="14.4" customHeight="1" x14ac:dyDescent="0.3">
      <c r="A315" s="590" t="s">
        <v>485</v>
      </c>
      <c r="B315" s="591" t="s">
        <v>1636</v>
      </c>
      <c r="C315" s="592" t="s">
        <v>490</v>
      </c>
      <c r="D315" s="593" t="s">
        <v>1637</v>
      </c>
      <c r="E315" s="592" t="s">
        <v>1440</v>
      </c>
      <c r="F315" s="593" t="s">
        <v>1640</v>
      </c>
      <c r="G315" s="592" t="s">
        <v>1213</v>
      </c>
      <c r="H315" s="592" t="s">
        <v>1565</v>
      </c>
      <c r="I315" s="592" t="s">
        <v>1566</v>
      </c>
      <c r="J315" s="592" t="s">
        <v>1567</v>
      </c>
      <c r="K315" s="592" t="s">
        <v>1568</v>
      </c>
      <c r="L315" s="594">
        <v>252.54120453477299</v>
      </c>
      <c r="M315" s="594">
        <v>1</v>
      </c>
      <c r="N315" s="595">
        <v>252.54120453477299</v>
      </c>
    </row>
    <row r="316" spans="1:14" ht="14.4" customHeight="1" x14ac:dyDescent="0.3">
      <c r="A316" s="590" t="s">
        <v>485</v>
      </c>
      <c r="B316" s="591" t="s">
        <v>1636</v>
      </c>
      <c r="C316" s="592" t="s">
        <v>490</v>
      </c>
      <c r="D316" s="593" t="s">
        <v>1637</v>
      </c>
      <c r="E316" s="592" t="s">
        <v>1440</v>
      </c>
      <c r="F316" s="593" t="s">
        <v>1640</v>
      </c>
      <c r="G316" s="592" t="s">
        <v>1213</v>
      </c>
      <c r="H316" s="592" t="s">
        <v>1569</v>
      </c>
      <c r="I316" s="592" t="s">
        <v>1570</v>
      </c>
      <c r="J316" s="592" t="s">
        <v>1571</v>
      </c>
      <c r="K316" s="592" t="s">
        <v>1549</v>
      </c>
      <c r="L316" s="594">
        <v>54.429714268215847</v>
      </c>
      <c r="M316" s="594">
        <v>8</v>
      </c>
      <c r="N316" s="595">
        <v>435.43771414572677</v>
      </c>
    </row>
    <row r="317" spans="1:14" ht="14.4" customHeight="1" x14ac:dyDescent="0.3">
      <c r="A317" s="590" t="s">
        <v>485</v>
      </c>
      <c r="B317" s="591" t="s">
        <v>1636</v>
      </c>
      <c r="C317" s="592" t="s">
        <v>490</v>
      </c>
      <c r="D317" s="593" t="s">
        <v>1637</v>
      </c>
      <c r="E317" s="592" t="s">
        <v>1440</v>
      </c>
      <c r="F317" s="593" t="s">
        <v>1640</v>
      </c>
      <c r="G317" s="592" t="s">
        <v>1213</v>
      </c>
      <c r="H317" s="592" t="s">
        <v>1572</v>
      </c>
      <c r="I317" s="592" t="s">
        <v>1573</v>
      </c>
      <c r="J317" s="592" t="s">
        <v>1540</v>
      </c>
      <c r="K317" s="592" t="s">
        <v>1574</v>
      </c>
      <c r="L317" s="594">
        <v>74</v>
      </c>
      <c r="M317" s="594">
        <v>2</v>
      </c>
      <c r="N317" s="595">
        <v>148</v>
      </c>
    </row>
    <row r="318" spans="1:14" ht="14.4" customHeight="1" x14ac:dyDescent="0.3">
      <c r="A318" s="590" t="s">
        <v>485</v>
      </c>
      <c r="B318" s="591" t="s">
        <v>1636</v>
      </c>
      <c r="C318" s="592" t="s">
        <v>490</v>
      </c>
      <c r="D318" s="593" t="s">
        <v>1637</v>
      </c>
      <c r="E318" s="592" t="s">
        <v>1440</v>
      </c>
      <c r="F318" s="593" t="s">
        <v>1640</v>
      </c>
      <c r="G318" s="592" t="s">
        <v>1213</v>
      </c>
      <c r="H318" s="592" t="s">
        <v>1575</v>
      </c>
      <c r="I318" s="592" t="s">
        <v>1576</v>
      </c>
      <c r="J318" s="592" t="s">
        <v>1577</v>
      </c>
      <c r="K318" s="592" t="s">
        <v>1578</v>
      </c>
      <c r="L318" s="594">
        <v>59.789510203524372</v>
      </c>
      <c r="M318" s="594">
        <v>16</v>
      </c>
      <c r="N318" s="595">
        <v>956.63216325638996</v>
      </c>
    </row>
    <row r="319" spans="1:14" ht="14.4" customHeight="1" x14ac:dyDescent="0.3">
      <c r="A319" s="590" t="s">
        <v>485</v>
      </c>
      <c r="B319" s="591" t="s">
        <v>1636</v>
      </c>
      <c r="C319" s="592" t="s">
        <v>490</v>
      </c>
      <c r="D319" s="593" t="s">
        <v>1637</v>
      </c>
      <c r="E319" s="592" t="s">
        <v>1440</v>
      </c>
      <c r="F319" s="593" t="s">
        <v>1640</v>
      </c>
      <c r="G319" s="592" t="s">
        <v>1213</v>
      </c>
      <c r="H319" s="592" t="s">
        <v>1579</v>
      </c>
      <c r="I319" s="592" t="s">
        <v>1580</v>
      </c>
      <c r="J319" s="592" t="s">
        <v>1581</v>
      </c>
      <c r="K319" s="592" t="s">
        <v>1582</v>
      </c>
      <c r="L319" s="594">
        <v>12571.711698113208</v>
      </c>
      <c r="M319" s="594">
        <v>10.6</v>
      </c>
      <c r="N319" s="595">
        <v>133260.144</v>
      </c>
    </row>
    <row r="320" spans="1:14" ht="14.4" customHeight="1" x14ac:dyDescent="0.3">
      <c r="A320" s="590" t="s">
        <v>485</v>
      </c>
      <c r="B320" s="591" t="s">
        <v>1636</v>
      </c>
      <c r="C320" s="592" t="s">
        <v>490</v>
      </c>
      <c r="D320" s="593" t="s">
        <v>1637</v>
      </c>
      <c r="E320" s="592" t="s">
        <v>1440</v>
      </c>
      <c r="F320" s="593" t="s">
        <v>1640</v>
      </c>
      <c r="G320" s="592" t="s">
        <v>1213</v>
      </c>
      <c r="H320" s="592" t="s">
        <v>1583</v>
      </c>
      <c r="I320" s="592" t="s">
        <v>1583</v>
      </c>
      <c r="J320" s="592" t="s">
        <v>1584</v>
      </c>
      <c r="K320" s="592" t="s">
        <v>1585</v>
      </c>
      <c r="L320" s="594">
        <v>1706.9973799374179</v>
      </c>
      <c r="M320" s="594">
        <v>8</v>
      </c>
      <c r="N320" s="595">
        <v>13655.979039499343</v>
      </c>
    </row>
    <row r="321" spans="1:14" ht="14.4" customHeight="1" x14ac:dyDescent="0.3">
      <c r="A321" s="590" t="s">
        <v>485</v>
      </c>
      <c r="B321" s="591" t="s">
        <v>1636</v>
      </c>
      <c r="C321" s="592" t="s">
        <v>490</v>
      </c>
      <c r="D321" s="593" t="s">
        <v>1637</v>
      </c>
      <c r="E321" s="592" t="s">
        <v>1440</v>
      </c>
      <c r="F321" s="593" t="s">
        <v>1640</v>
      </c>
      <c r="G321" s="592" t="s">
        <v>1213</v>
      </c>
      <c r="H321" s="592" t="s">
        <v>1586</v>
      </c>
      <c r="I321" s="592" t="s">
        <v>1587</v>
      </c>
      <c r="J321" s="592" t="s">
        <v>1588</v>
      </c>
      <c r="K321" s="592" t="s">
        <v>1589</v>
      </c>
      <c r="L321" s="594">
        <v>888.1500000000002</v>
      </c>
      <c r="M321" s="594">
        <v>5</v>
      </c>
      <c r="N321" s="595">
        <v>4440.7500000000009</v>
      </c>
    </row>
    <row r="322" spans="1:14" ht="14.4" customHeight="1" x14ac:dyDescent="0.3">
      <c r="A322" s="590" t="s">
        <v>485</v>
      </c>
      <c r="B322" s="591" t="s">
        <v>1636</v>
      </c>
      <c r="C322" s="592" t="s">
        <v>490</v>
      </c>
      <c r="D322" s="593" t="s">
        <v>1637</v>
      </c>
      <c r="E322" s="592" t="s">
        <v>1590</v>
      </c>
      <c r="F322" s="593" t="s">
        <v>1641</v>
      </c>
      <c r="G322" s="592" t="s">
        <v>516</v>
      </c>
      <c r="H322" s="592" t="s">
        <v>1591</v>
      </c>
      <c r="I322" s="592" t="s">
        <v>1592</v>
      </c>
      <c r="J322" s="592" t="s">
        <v>1593</v>
      </c>
      <c r="K322" s="592" t="s">
        <v>1594</v>
      </c>
      <c r="L322" s="594">
        <v>109.95</v>
      </c>
      <c r="M322" s="594">
        <v>3</v>
      </c>
      <c r="N322" s="595">
        <v>329.85</v>
      </c>
    </row>
    <row r="323" spans="1:14" ht="14.4" customHeight="1" x14ac:dyDescent="0.3">
      <c r="A323" s="590" t="s">
        <v>485</v>
      </c>
      <c r="B323" s="591" t="s">
        <v>1636</v>
      </c>
      <c r="C323" s="592" t="s">
        <v>490</v>
      </c>
      <c r="D323" s="593" t="s">
        <v>1637</v>
      </c>
      <c r="E323" s="592" t="s">
        <v>1590</v>
      </c>
      <c r="F323" s="593" t="s">
        <v>1641</v>
      </c>
      <c r="G323" s="592" t="s">
        <v>516</v>
      </c>
      <c r="H323" s="592" t="s">
        <v>1595</v>
      </c>
      <c r="I323" s="592" t="s">
        <v>1596</v>
      </c>
      <c r="J323" s="592" t="s">
        <v>1597</v>
      </c>
      <c r="K323" s="592" t="s">
        <v>1598</v>
      </c>
      <c r="L323" s="594">
        <v>92.835541571586901</v>
      </c>
      <c r="M323" s="594">
        <v>7</v>
      </c>
      <c r="N323" s="595">
        <v>649.84879100110834</v>
      </c>
    </row>
    <row r="324" spans="1:14" ht="14.4" customHeight="1" x14ac:dyDescent="0.3">
      <c r="A324" s="590" t="s">
        <v>485</v>
      </c>
      <c r="B324" s="591" t="s">
        <v>1636</v>
      </c>
      <c r="C324" s="592" t="s">
        <v>490</v>
      </c>
      <c r="D324" s="593" t="s">
        <v>1637</v>
      </c>
      <c r="E324" s="592" t="s">
        <v>1590</v>
      </c>
      <c r="F324" s="593" t="s">
        <v>1641</v>
      </c>
      <c r="G324" s="592" t="s">
        <v>516</v>
      </c>
      <c r="H324" s="592" t="s">
        <v>1599</v>
      </c>
      <c r="I324" s="592" t="s">
        <v>1600</v>
      </c>
      <c r="J324" s="592" t="s">
        <v>1601</v>
      </c>
      <c r="K324" s="592" t="s">
        <v>1602</v>
      </c>
      <c r="L324" s="594">
        <v>7691.7806793408499</v>
      </c>
      <c r="M324" s="594">
        <v>6</v>
      </c>
      <c r="N324" s="595">
        <v>46150.684076045101</v>
      </c>
    </row>
    <row r="325" spans="1:14" ht="14.4" customHeight="1" x14ac:dyDescent="0.3">
      <c r="A325" s="590" t="s">
        <v>485</v>
      </c>
      <c r="B325" s="591" t="s">
        <v>1636</v>
      </c>
      <c r="C325" s="592" t="s">
        <v>490</v>
      </c>
      <c r="D325" s="593" t="s">
        <v>1637</v>
      </c>
      <c r="E325" s="592" t="s">
        <v>1590</v>
      </c>
      <c r="F325" s="593" t="s">
        <v>1641</v>
      </c>
      <c r="G325" s="592" t="s">
        <v>516</v>
      </c>
      <c r="H325" s="592" t="s">
        <v>1603</v>
      </c>
      <c r="I325" s="592" t="s">
        <v>1604</v>
      </c>
      <c r="J325" s="592" t="s">
        <v>1605</v>
      </c>
      <c r="K325" s="592" t="s">
        <v>1606</v>
      </c>
      <c r="L325" s="594">
        <v>7690</v>
      </c>
      <c r="M325" s="594">
        <v>21</v>
      </c>
      <c r="N325" s="595">
        <v>161490</v>
      </c>
    </row>
    <row r="326" spans="1:14" ht="14.4" customHeight="1" x14ac:dyDescent="0.3">
      <c r="A326" s="590" t="s">
        <v>485</v>
      </c>
      <c r="B326" s="591" t="s">
        <v>1636</v>
      </c>
      <c r="C326" s="592" t="s">
        <v>490</v>
      </c>
      <c r="D326" s="593" t="s">
        <v>1637</v>
      </c>
      <c r="E326" s="592" t="s">
        <v>1590</v>
      </c>
      <c r="F326" s="593" t="s">
        <v>1641</v>
      </c>
      <c r="G326" s="592" t="s">
        <v>516</v>
      </c>
      <c r="H326" s="592" t="s">
        <v>1607</v>
      </c>
      <c r="I326" s="592" t="s">
        <v>1607</v>
      </c>
      <c r="J326" s="592" t="s">
        <v>1608</v>
      </c>
      <c r="K326" s="592" t="s">
        <v>1609</v>
      </c>
      <c r="L326" s="594">
        <v>9614.7218575555671</v>
      </c>
      <c r="M326" s="594">
        <v>10</v>
      </c>
      <c r="N326" s="595">
        <v>96147.218575555671</v>
      </c>
    </row>
    <row r="327" spans="1:14" ht="14.4" customHeight="1" x14ac:dyDescent="0.3">
      <c r="A327" s="590" t="s">
        <v>485</v>
      </c>
      <c r="B327" s="591" t="s">
        <v>1636</v>
      </c>
      <c r="C327" s="592" t="s">
        <v>490</v>
      </c>
      <c r="D327" s="593" t="s">
        <v>1637</v>
      </c>
      <c r="E327" s="592" t="s">
        <v>1590</v>
      </c>
      <c r="F327" s="593" t="s">
        <v>1641</v>
      </c>
      <c r="G327" s="592" t="s">
        <v>1213</v>
      </c>
      <c r="H327" s="592" t="s">
        <v>1610</v>
      </c>
      <c r="I327" s="592" t="s">
        <v>1611</v>
      </c>
      <c r="J327" s="592" t="s">
        <v>1612</v>
      </c>
      <c r="K327" s="592"/>
      <c r="L327" s="594">
        <v>43.455859421199243</v>
      </c>
      <c r="M327" s="594">
        <v>456</v>
      </c>
      <c r="N327" s="595">
        <v>19815.871896066856</v>
      </c>
    </row>
    <row r="328" spans="1:14" ht="14.4" customHeight="1" x14ac:dyDescent="0.3">
      <c r="A328" s="590" t="s">
        <v>485</v>
      </c>
      <c r="B328" s="591" t="s">
        <v>1636</v>
      </c>
      <c r="C328" s="592" t="s">
        <v>490</v>
      </c>
      <c r="D328" s="593" t="s">
        <v>1637</v>
      </c>
      <c r="E328" s="592" t="s">
        <v>1590</v>
      </c>
      <c r="F328" s="593" t="s">
        <v>1641</v>
      </c>
      <c r="G328" s="592" t="s">
        <v>1213</v>
      </c>
      <c r="H328" s="592" t="s">
        <v>1613</v>
      </c>
      <c r="I328" s="592" t="s">
        <v>1614</v>
      </c>
      <c r="J328" s="592" t="s">
        <v>1615</v>
      </c>
      <c r="K328" s="592" t="s">
        <v>1616</v>
      </c>
      <c r="L328" s="594">
        <v>2979.044204851521</v>
      </c>
      <c r="M328" s="594">
        <v>68</v>
      </c>
      <c r="N328" s="595">
        <v>202575.00592990342</v>
      </c>
    </row>
    <row r="329" spans="1:14" ht="14.4" customHeight="1" x14ac:dyDescent="0.3">
      <c r="A329" s="590" t="s">
        <v>485</v>
      </c>
      <c r="B329" s="591" t="s">
        <v>1636</v>
      </c>
      <c r="C329" s="592" t="s">
        <v>490</v>
      </c>
      <c r="D329" s="593" t="s">
        <v>1637</v>
      </c>
      <c r="E329" s="592" t="s">
        <v>1590</v>
      </c>
      <c r="F329" s="593" t="s">
        <v>1641</v>
      </c>
      <c r="G329" s="592" t="s">
        <v>1213</v>
      </c>
      <c r="H329" s="592" t="s">
        <v>1617</v>
      </c>
      <c r="I329" s="592" t="s">
        <v>1618</v>
      </c>
      <c r="J329" s="592" t="s">
        <v>1619</v>
      </c>
      <c r="K329" s="592" t="s">
        <v>1620</v>
      </c>
      <c r="L329" s="594">
        <v>7840.9100000000008</v>
      </c>
      <c r="M329" s="594">
        <v>4</v>
      </c>
      <c r="N329" s="595">
        <v>31363.640000000003</v>
      </c>
    </row>
    <row r="330" spans="1:14" ht="14.4" customHeight="1" x14ac:dyDescent="0.3">
      <c r="A330" s="590" t="s">
        <v>485</v>
      </c>
      <c r="B330" s="591" t="s">
        <v>1636</v>
      </c>
      <c r="C330" s="592" t="s">
        <v>490</v>
      </c>
      <c r="D330" s="593" t="s">
        <v>1637</v>
      </c>
      <c r="E330" s="592" t="s">
        <v>1590</v>
      </c>
      <c r="F330" s="593" t="s">
        <v>1641</v>
      </c>
      <c r="G330" s="592" t="s">
        <v>1213</v>
      </c>
      <c r="H330" s="592" t="s">
        <v>1621</v>
      </c>
      <c r="I330" s="592" t="s">
        <v>1622</v>
      </c>
      <c r="J330" s="592" t="s">
        <v>1615</v>
      </c>
      <c r="K330" s="592" t="s">
        <v>1623</v>
      </c>
      <c r="L330" s="594">
        <v>15921.14</v>
      </c>
      <c r="M330" s="594">
        <v>1</v>
      </c>
      <c r="N330" s="595">
        <v>15921.14</v>
      </c>
    </row>
    <row r="331" spans="1:14" ht="14.4" customHeight="1" x14ac:dyDescent="0.3">
      <c r="A331" s="590" t="s">
        <v>485</v>
      </c>
      <c r="B331" s="591" t="s">
        <v>1636</v>
      </c>
      <c r="C331" s="592" t="s">
        <v>490</v>
      </c>
      <c r="D331" s="593" t="s">
        <v>1637</v>
      </c>
      <c r="E331" s="592" t="s">
        <v>1624</v>
      </c>
      <c r="F331" s="593" t="s">
        <v>1642</v>
      </c>
      <c r="G331" s="592"/>
      <c r="H331" s="592"/>
      <c r="I331" s="592" t="s">
        <v>1625</v>
      </c>
      <c r="J331" s="592" t="s">
        <v>1626</v>
      </c>
      <c r="K331" s="592"/>
      <c r="L331" s="594">
        <v>3842.04</v>
      </c>
      <c r="M331" s="594">
        <v>9</v>
      </c>
      <c r="N331" s="595">
        <v>34578.36</v>
      </c>
    </row>
    <row r="332" spans="1:14" ht="14.4" customHeight="1" x14ac:dyDescent="0.3">
      <c r="A332" s="590" t="s">
        <v>485</v>
      </c>
      <c r="B332" s="591" t="s">
        <v>1636</v>
      </c>
      <c r="C332" s="592" t="s">
        <v>490</v>
      </c>
      <c r="D332" s="593" t="s">
        <v>1637</v>
      </c>
      <c r="E332" s="592" t="s">
        <v>1624</v>
      </c>
      <c r="F332" s="593" t="s">
        <v>1642</v>
      </c>
      <c r="G332" s="592"/>
      <c r="H332" s="592"/>
      <c r="I332" s="592" t="s">
        <v>1627</v>
      </c>
      <c r="J332" s="592" t="s">
        <v>1628</v>
      </c>
      <c r="K332" s="592"/>
      <c r="L332" s="594">
        <v>1407.5400000000006</v>
      </c>
      <c r="M332" s="594">
        <v>48</v>
      </c>
      <c r="N332" s="595">
        <v>67561.920000000027</v>
      </c>
    </row>
    <row r="333" spans="1:14" ht="14.4" customHeight="1" x14ac:dyDescent="0.3">
      <c r="A333" s="590" t="s">
        <v>485</v>
      </c>
      <c r="B333" s="591" t="s">
        <v>1636</v>
      </c>
      <c r="C333" s="592" t="s">
        <v>490</v>
      </c>
      <c r="D333" s="593" t="s">
        <v>1637</v>
      </c>
      <c r="E333" s="592" t="s">
        <v>1624</v>
      </c>
      <c r="F333" s="593" t="s">
        <v>1642</v>
      </c>
      <c r="G333" s="592"/>
      <c r="H333" s="592"/>
      <c r="I333" s="592" t="s">
        <v>1629</v>
      </c>
      <c r="J333" s="592" t="s">
        <v>1630</v>
      </c>
      <c r="K333" s="592"/>
      <c r="L333" s="594">
        <v>1312.3799999999999</v>
      </c>
      <c r="M333" s="594">
        <v>10</v>
      </c>
      <c r="N333" s="595">
        <v>13123.8</v>
      </c>
    </row>
    <row r="334" spans="1:14" ht="14.4" customHeight="1" x14ac:dyDescent="0.3">
      <c r="A334" s="590" t="s">
        <v>485</v>
      </c>
      <c r="B334" s="591" t="s">
        <v>1636</v>
      </c>
      <c r="C334" s="592" t="s">
        <v>490</v>
      </c>
      <c r="D334" s="593" t="s">
        <v>1637</v>
      </c>
      <c r="E334" s="592" t="s">
        <v>1624</v>
      </c>
      <c r="F334" s="593" t="s">
        <v>1642</v>
      </c>
      <c r="G334" s="592"/>
      <c r="H334" s="592"/>
      <c r="I334" s="592" t="s">
        <v>1631</v>
      </c>
      <c r="J334" s="592" t="s">
        <v>1632</v>
      </c>
      <c r="K334" s="592"/>
      <c r="L334" s="594">
        <v>4304.4499999999989</v>
      </c>
      <c r="M334" s="594">
        <v>4</v>
      </c>
      <c r="N334" s="595">
        <v>17217.799999999996</v>
      </c>
    </row>
    <row r="335" spans="1:14" ht="14.4" customHeight="1" thickBot="1" x14ac:dyDescent="0.35">
      <c r="A335" s="596" t="s">
        <v>485</v>
      </c>
      <c r="B335" s="597" t="s">
        <v>1636</v>
      </c>
      <c r="C335" s="598" t="s">
        <v>490</v>
      </c>
      <c r="D335" s="599" t="s">
        <v>1637</v>
      </c>
      <c r="E335" s="598" t="s">
        <v>1624</v>
      </c>
      <c r="F335" s="599" t="s">
        <v>1642</v>
      </c>
      <c r="G335" s="598"/>
      <c r="H335" s="598"/>
      <c r="I335" s="598" t="s">
        <v>1633</v>
      </c>
      <c r="J335" s="598" t="s">
        <v>1634</v>
      </c>
      <c r="K335" s="598" t="s">
        <v>1635</v>
      </c>
      <c r="L335" s="600">
        <v>4374.6000000000004</v>
      </c>
      <c r="M335" s="600">
        <v>1</v>
      </c>
      <c r="N335" s="601">
        <v>4374.6000000000004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1" customWidth="1"/>
    <col min="2" max="2" width="10" style="322" customWidth="1"/>
    <col min="3" max="3" width="5.5546875" style="325" customWidth="1"/>
    <col min="4" max="4" width="10" style="322" customWidth="1"/>
    <col min="5" max="5" width="5.5546875" style="325" customWidth="1"/>
    <col min="6" max="6" width="10" style="322" customWidth="1"/>
    <col min="7" max="16384" width="8.88671875" style="241"/>
  </cols>
  <sheetData>
    <row r="1" spans="1:6" ht="37.200000000000003" customHeight="1" thickBot="1" x14ac:dyDescent="0.4">
      <c r="A1" s="473" t="s">
        <v>183</v>
      </c>
      <c r="B1" s="474"/>
      <c r="C1" s="474"/>
      <c r="D1" s="474"/>
      <c r="E1" s="474"/>
      <c r="F1" s="474"/>
    </row>
    <row r="2" spans="1:6" ht="14.4" customHeight="1" thickBot="1" x14ac:dyDescent="0.35">
      <c r="A2" s="364" t="s">
        <v>294</v>
      </c>
      <c r="B2" s="67"/>
      <c r="C2" s="68"/>
      <c r="D2" s="69"/>
      <c r="E2" s="68"/>
      <c r="F2" s="69"/>
    </row>
    <row r="3" spans="1:6" ht="14.4" customHeight="1" thickBot="1" x14ac:dyDescent="0.35">
      <c r="A3" s="197"/>
      <c r="B3" s="475" t="s">
        <v>144</v>
      </c>
      <c r="C3" s="476"/>
      <c r="D3" s="477" t="s">
        <v>143</v>
      </c>
      <c r="E3" s="476"/>
      <c r="F3" s="96" t="s">
        <v>3</v>
      </c>
    </row>
    <row r="4" spans="1:6" ht="14.4" customHeight="1" thickBot="1" x14ac:dyDescent="0.35">
      <c r="A4" s="602" t="s">
        <v>166</v>
      </c>
      <c r="B4" s="603" t="s">
        <v>14</v>
      </c>
      <c r="C4" s="604" t="s">
        <v>2</v>
      </c>
      <c r="D4" s="603" t="s">
        <v>14</v>
      </c>
      <c r="E4" s="604" t="s">
        <v>2</v>
      </c>
      <c r="F4" s="605" t="s">
        <v>14</v>
      </c>
    </row>
    <row r="5" spans="1:6" ht="14.4" customHeight="1" thickBot="1" x14ac:dyDescent="0.35">
      <c r="A5" s="614" t="s">
        <v>1643</v>
      </c>
      <c r="B5" s="582">
        <v>37715.427454544712</v>
      </c>
      <c r="C5" s="606">
        <v>4.3576928474414432E-2</v>
      </c>
      <c r="D5" s="582">
        <v>827775.29837044736</v>
      </c>
      <c r="E5" s="606">
        <v>0.95642307152558559</v>
      </c>
      <c r="F5" s="583">
        <v>865490.72582499206</v>
      </c>
    </row>
    <row r="6" spans="1:6" ht="14.4" customHeight="1" thickBot="1" x14ac:dyDescent="0.35">
      <c r="A6" s="610" t="s">
        <v>3</v>
      </c>
      <c r="B6" s="611">
        <v>37715.427454544712</v>
      </c>
      <c r="C6" s="612">
        <v>4.3576928474414432E-2</v>
      </c>
      <c r="D6" s="611">
        <v>827775.29837044736</v>
      </c>
      <c r="E6" s="612">
        <v>0.95642307152558559</v>
      </c>
      <c r="F6" s="613">
        <v>865490.72582499206</v>
      </c>
    </row>
    <row r="7" spans="1:6" ht="14.4" customHeight="1" thickBot="1" x14ac:dyDescent="0.35"/>
    <row r="8" spans="1:6" ht="14.4" customHeight="1" x14ac:dyDescent="0.3">
      <c r="A8" s="620" t="s">
        <v>1644</v>
      </c>
      <c r="B8" s="588">
        <v>22091.766000000003</v>
      </c>
      <c r="C8" s="607">
        <v>0.97640247397312052</v>
      </c>
      <c r="D8" s="588">
        <v>533.90997776095401</v>
      </c>
      <c r="E8" s="607">
        <v>2.3597526026879388E-2</v>
      </c>
      <c r="F8" s="589">
        <v>22625.675977760959</v>
      </c>
    </row>
    <row r="9" spans="1:6" ht="14.4" customHeight="1" x14ac:dyDescent="0.3">
      <c r="A9" s="621" t="s">
        <v>1645</v>
      </c>
      <c r="B9" s="594">
        <v>10429.180752506811</v>
      </c>
      <c r="C9" s="616">
        <v>1</v>
      </c>
      <c r="D9" s="594"/>
      <c r="E9" s="616">
        <v>0</v>
      </c>
      <c r="F9" s="595">
        <v>10429.180752506811</v>
      </c>
    </row>
    <row r="10" spans="1:6" ht="14.4" customHeight="1" x14ac:dyDescent="0.3">
      <c r="A10" s="621" t="s">
        <v>1646</v>
      </c>
      <c r="B10" s="594">
        <v>3096.0999999999967</v>
      </c>
      <c r="C10" s="616">
        <v>1</v>
      </c>
      <c r="D10" s="594"/>
      <c r="E10" s="616">
        <v>0</v>
      </c>
      <c r="F10" s="595">
        <v>3096.0999999999967</v>
      </c>
    </row>
    <row r="11" spans="1:6" ht="14.4" customHeight="1" x14ac:dyDescent="0.3">
      <c r="A11" s="621" t="s">
        <v>1647</v>
      </c>
      <c r="B11" s="594">
        <v>900.00070203790347</v>
      </c>
      <c r="C11" s="616">
        <v>3.3691613556477824E-2</v>
      </c>
      <c r="D11" s="594">
        <v>25812.899246467594</v>
      </c>
      <c r="E11" s="616">
        <v>0.96630838644352224</v>
      </c>
      <c r="F11" s="595">
        <v>26712.899948505496</v>
      </c>
    </row>
    <row r="12" spans="1:6" ht="14.4" customHeight="1" x14ac:dyDescent="0.3">
      <c r="A12" s="621" t="s">
        <v>1648</v>
      </c>
      <c r="B12" s="594">
        <v>705.19999999999993</v>
      </c>
      <c r="C12" s="616">
        <v>1</v>
      </c>
      <c r="D12" s="594"/>
      <c r="E12" s="616">
        <v>0</v>
      </c>
      <c r="F12" s="595">
        <v>705.19999999999993</v>
      </c>
    </row>
    <row r="13" spans="1:6" ht="14.4" customHeight="1" x14ac:dyDescent="0.3">
      <c r="A13" s="621" t="s">
        <v>1649</v>
      </c>
      <c r="B13" s="594">
        <v>443.37999999999994</v>
      </c>
      <c r="C13" s="616">
        <v>6.4794811887749484E-3</v>
      </c>
      <c r="D13" s="594">
        <v>67984.938114127915</v>
      </c>
      <c r="E13" s="616">
        <v>0.99352051881122494</v>
      </c>
      <c r="F13" s="595">
        <v>68428.31811412792</v>
      </c>
    </row>
    <row r="14" spans="1:6" ht="14.4" customHeight="1" x14ac:dyDescent="0.3">
      <c r="A14" s="621" t="s">
        <v>1650</v>
      </c>
      <c r="B14" s="594">
        <v>49.8</v>
      </c>
      <c r="C14" s="616">
        <v>0.14931638282561766</v>
      </c>
      <c r="D14" s="594">
        <v>283.71999999999997</v>
      </c>
      <c r="E14" s="616">
        <v>0.85068361717438234</v>
      </c>
      <c r="F14" s="595">
        <v>333.52</v>
      </c>
    </row>
    <row r="15" spans="1:6" ht="14.4" customHeight="1" x14ac:dyDescent="0.3">
      <c r="A15" s="621" t="s">
        <v>1651</v>
      </c>
      <c r="B15" s="594"/>
      <c r="C15" s="616">
        <v>0</v>
      </c>
      <c r="D15" s="594">
        <v>3207.86</v>
      </c>
      <c r="E15" s="616">
        <v>1</v>
      </c>
      <c r="F15" s="595">
        <v>3207.86</v>
      </c>
    </row>
    <row r="16" spans="1:6" ht="14.4" customHeight="1" x14ac:dyDescent="0.3">
      <c r="A16" s="621" t="s">
        <v>1652</v>
      </c>
      <c r="B16" s="594"/>
      <c r="C16" s="616">
        <v>0</v>
      </c>
      <c r="D16" s="594">
        <v>31363.640000000003</v>
      </c>
      <c r="E16" s="616">
        <v>1</v>
      </c>
      <c r="F16" s="595">
        <v>31363.640000000003</v>
      </c>
    </row>
    <row r="17" spans="1:6" ht="14.4" customHeight="1" x14ac:dyDescent="0.3">
      <c r="A17" s="621" t="s">
        <v>1653</v>
      </c>
      <c r="B17" s="594"/>
      <c r="C17" s="616">
        <v>0</v>
      </c>
      <c r="D17" s="594">
        <v>8668.2855344825166</v>
      </c>
      <c r="E17" s="616">
        <v>1</v>
      </c>
      <c r="F17" s="595">
        <v>8668.2855344825166</v>
      </c>
    </row>
    <row r="18" spans="1:6" ht="14.4" customHeight="1" x14ac:dyDescent="0.3">
      <c r="A18" s="621" t="s">
        <v>1654</v>
      </c>
      <c r="B18" s="594"/>
      <c r="C18" s="616">
        <v>0</v>
      </c>
      <c r="D18" s="594">
        <v>159.66</v>
      </c>
      <c r="E18" s="616">
        <v>1</v>
      </c>
      <c r="F18" s="595">
        <v>159.66</v>
      </c>
    </row>
    <row r="19" spans="1:6" ht="14.4" customHeight="1" x14ac:dyDescent="0.3">
      <c r="A19" s="621" t="s">
        <v>1655</v>
      </c>
      <c r="B19" s="594"/>
      <c r="C19" s="616">
        <v>0</v>
      </c>
      <c r="D19" s="594">
        <v>421.33010611338693</v>
      </c>
      <c r="E19" s="616">
        <v>1</v>
      </c>
      <c r="F19" s="595">
        <v>421.33010611338693</v>
      </c>
    </row>
    <row r="20" spans="1:6" ht="14.4" customHeight="1" x14ac:dyDescent="0.3">
      <c r="A20" s="621" t="s">
        <v>1656</v>
      </c>
      <c r="B20" s="594"/>
      <c r="C20" s="616">
        <v>0</v>
      </c>
      <c r="D20" s="594">
        <v>215.66000000000003</v>
      </c>
      <c r="E20" s="616">
        <v>1</v>
      </c>
      <c r="F20" s="595">
        <v>215.66000000000003</v>
      </c>
    </row>
    <row r="21" spans="1:6" ht="14.4" customHeight="1" x14ac:dyDescent="0.3">
      <c r="A21" s="621" t="s">
        <v>1657</v>
      </c>
      <c r="B21" s="594"/>
      <c r="C21" s="616">
        <v>0</v>
      </c>
      <c r="D21" s="594">
        <v>55200.004362875188</v>
      </c>
      <c r="E21" s="616">
        <v>1</v>
      </c>
      <c r="F21" s="595">
        <v>55200.004362875188</v>
      </c>
    </row>
    <row r="22" spans="1:6" ht="14.4" customHeight="1" x14ac:dyDescent="0.3">
      <c r="A22" s="621" t="s">
        <v>1658</v>
      </c>
      <c r="B22" s="594"/>
      <c r="C22" s="616">
        <v>0</v>
      </c>
      <c r="D22" s="594">
        <v>41.519999999999989</v>
      </c>
      <c r="E22" s="616">
        <v>1</v>
      </c>
      <c r="F22" s="595">
        <v>41.519999999999989</v>
      </c>
    </row>
    <row r="23" spans="1:6" ht="14.4" customHeight="1" x14ac:dyDescent="0.3">
      <c r="A23" s="621" t="s">
        <v>1659</v>
      </c>
      <c r="B23" s="594"/>
      <c r="C23" s="616">
        <v>0</v>
      </c>
      <c r="D23" s="594">
        <v>19815.871896066845</v>
      </c>
      <c r="E23" s="616">
        <v>1</v>
      </c>
      <c r="F23" s="595">
        <v>19815.871896066845</v>
      </c>
    </row>
    <row r="24" spans="1:6" ht="14.4" customHeight="1" x14ac:dyDescent="0.3">
      <c r="A24" s="621" t="s">
        <v>1660</v>
      </c>
      <c r="B24" s="594"/>
      <c r="C24" s="616">
        <v>0</v>
      </c>
      <c r="D24" s="594">
        <v>159.87965826345686</v>
      </c>
      <c r="E24" s="616">
        <v>1</v>
      </c>
      <c r="F24" s="595">
        <v>159.87965826345686</v>
      </c>
    </row>
    <row r="25" spans="1:6" ht="14.4" customHeight="1" x14ac:dyDescent="0.3">
      <c r="A25" s="621" t="s">
        <v>1661</v>
      </c>
      <c r="B25" s="594"/>
      <c r="C25" s="616">
        <v>0</v>
      </c>
      <c r="D25" s="594">
        <v>982.89992892396049</v>
      </c>
      <c r="E25" s="616">
        <v>1</v>
      </c>
      <c r="F25" s="595">
        <v>982.89992892396049</v>
      </c>
    </row>
    <row r="26" spans="1:6" ht="14.4" customHeight="1" x14ac:dyDescent="0.3">
      <c r="A26" s="621" t="s">
        <v>1662</v>
      </c>
      <c r="B26" s="594"/>
      <c r="C26" s="616">
        <v>0</v>
      </c>
      <c r="D26" s="594">
        <v>140.94</v>
      </c>
      <c r="E26" s="616">
        <v>1</v>
      </c>
      <c r="F26" s="595">
        <v>140.94</v>
      </c>
    </row>
    <row r="27" spans="1:6" ht="14.4" customHeight="1" x14ac:dyDescent="0.3">
      <c r="A27" s="621" t="s">
        <v>1663</v>
      </c>
      <c r="B27" s="594"/>
      <c r="C27" s="616">
        <v>0</v>
      </c>
      <c r="D27" s="594">
        <v>3892.9013778723047</v>
      </c>
      <c r="E27" s="616">
        <v>1</v>
      </c>
      <c r="F27" s="595">
        <v>3892.9013778723047</v>
      </c>
    </row>
    <row r="28" spans="1:6" ht="14.4" customHeight="1" x14ac:dyDescent="0.3">
      <c r="A28" s="621" t="s">
        <v>1664</v>
      </c>
      <c r="B28" s="594"/>
      <c r="C28" s="616">
        <v>0</v>
      </c>
      <c r="D28" s="594">
        <v>38220.320070025497</v>
      </c>
      <c r="E28" s="616">
        <v>1</v>
      </c>
      <c r="F28" s="595">
        <v>38220.320070025497</v>
      </c>
    </row>
    <row r="29" spans="1:6" ht="14.4" customHeight="1" x14ac:dyDescent="0.3">
      <c r="A29" s="621" t="s">
        <v>1665</v>
      </c>
      <c r="B29" s="594"/>
      <c r="C29" s="616">
        <v>0</v>
      </c>
      <c r="D29" s="594">
        <v>411.0200000000001</v>
      </c>
      <c r="E29" s="616">
        <v>1</v>
      </c>
      <c r="F29" s="595">
        <v>411.0200000000001</v>
      </c>
    </row>
    <row r="30" spans="1:6" ht="14.4" customHeight="1" x14ac:dyDescent="0.3">
      <c r="A30" s="621" t="s">
        <v>1666</v>
      </c>
      <c r="B30" s="594"/>
      <c r="C30" s="616">
        <v>0</v>
      </c>
      <c r="D30" s="594">
        <v>581.4</v>
      </c>
      <c r="E30" s="616">
        <v>1</v>
      </c>
      <c r="F30" s="595">
        <v>581.4</v>
      </c>
    </row>
    <row r="31" spans="1:6" ht="14.4" customHeight="1" x14ac:dyDescent="0.3">
      <c r="A31" s="621" t="s">
        <v>1667</v>
      </c>
      <c r="B31" s="594"/>
      <c r="C31" s="616">
        <v>0</v>
      </c>
      <c r="D31" s="594">
        <v>435.43771414572677</v>
      </c>
      <c r="E31" s="616">
        <v>1</v>
      </c>
      <c r="F31" s="595">
        <v>435.43771414572677</v>
      </c>
    </row>
    <row r="32" spans="1:6" ht="14.4" customHeight="1" x14ac:dyDescent="0.3">
      <c r="A32" s="621" t="s">
        <v>1668</v>
      </c>
      <c r="B32" s="594"/>
      <c r="C32" s="616">
        <v>0</v>
      </c>
      <c r="D32" s="594">
        <v>21663.006460355857</v>
      </c>
      <c r="E32" s="616">
        <v>1</v>
      </c>
      <c r="F32" s="595">
        <v>21663.006460355857</v>
      </c>
    </row>
    <row r="33" spans="1:6" ht="14.4" customHeight="1" x14ac:dyDescent="0.3">
      <c r="A33" s="621" t="s">
        <v>1669</v>
      </c>
      <c r="B33" s="594"/>
      <c r="C33" s="616">
        <v>0</v>
      </c>
      <c r="D33" s="594">
        <v>9490.7999999999993</v>
      </c>
      <c r="E33" s="616">
        <v>1</v>
      </c>
      <c r="F33" s="595">
        <v>9490.7999999999993</v>
      </c>
    </row>
    <row r="34" spans="1:6" ht="14.4" customHeight="1" x14ac:dyDescent="0.3">
      <c r="A34" s="621" t="s">
        <v>1670</v>
      </c>
      <c r="B34" s="594"/>
      <c r="C34" s="616">
        <v>0</v>
      </c>
      <c r="D34" s="594">
        <v>4440.7500000000009</v>
      </c>
      <c r="E34" s="616">
        <v>1</v>
      </c>
      <c r="F34" s="595">
        <v>4440.7500000000009</v>
      </c>
    </row>
    <row r="35" spans="1:6" ht="14.4" customHeight="1" x14ac:dyDescent="0.3">
      <c r="A35" s="621" t="s">
        <v>1671</v>
      </c>
      <c r="B35" s="594"/>
      <c r="C35" s="616">
        <v>0</v>
      </c>
      <c r="D35" s="594">
        <v>133260.144</v>
      </c>
      <c r="E35" s="616">
        <v>1</v>
      </c>
      <c r="F35" s="595">
        <v>133260.144</v>
      </c>
    </row>
    <row r="36" spans="1:6" ht="14.4" customHeight="1" x14ac:dyDescent="0.3">
      <c r="A36" s="621" t="s">
        <v>1672</v>
      </c>
      <c r="B36" s="594"/>
      <c r="C36" s="616">
        <v>0</v>
      </c>
      <c r="D36" s="594">
        <v>218496.14592990343</v>
      </c>
      <c r="E36" s="616">
        <v>1</v>
      </c>
      <c r="F36" s="595">
        <v>218496.14592990343</v>
      </c>
    </row>
    <row r="37" spans="1:6" ht="14.4" customHeight="1" x14ac:dyDescent="0.3">
      <c r="A37" s="621" t="s">
        <v>1673</v>
      </c>
      <c r="B37" s="594"/>
      <c r="C37" s="616">
        <v>0</v>
      </c>
      <c r="D37" s="594">
        <v>15587.40683456734</v>
      </c>
      <c r="E37" s="616">
        <v>1</v>
      </c>
      <c r="F37" s="595">
        <v>15587.40683456734</v>
      </c>
    </row>
    <row r="38" spans="1:6" ht="14.4" customHeight="1" x14ac:dyDescent="0.3">
      <c r="A38" s="621" t="s">
        <v>1674</v>
      </c>
      <c r="B38" s="594"/>
      <c r="C38" s="616">
        <v>0</v>
      </c>
      <c r="D38" s="594">
        <v>380.52000000000004</v>
      </c>
      <c r="E38" s="616">
        <v>1</v>
      </c>
      <c r="F38" s="595">
        <v>380.52000000000004</v>
      </c>
    </row>
    <row r="39" spans="1:6" ht="14.4" customHeight="1" x14ac:dyDescent="0.3">
      <c r="A39" s="621" t="s">
        <v>1675</v>
      </c>
      <c r="B39" s="594"/>
      <c r="C39" s="616">
        <v>0</v>
      </c>
      <c r="D39" s="594">
        <v>18157.711423245979</v>
      </c>
      <c r="E39" s="616">
        <v>1</v>
      </c>
      <c r="F39" s="595">
        <v>18157.711423245979</v>
      </c>
    </row>
    <row r="40" spans="1:6" ht="14.4" customHeight="1" x14ac:dyDescent="0.3">
      <c r="A40" s="621" t="s">
        <v>1676</v>
      </c>
      <c r="B40" s="594"/>
      <c r="C40" s="616">
        <v>0</v>
      </c>
      <c r="D40" s="594">
        <v>17968.005423581086</v>
      </c>
      <c r="E40" s="616">
        <v>1</v>
      </c>
      <c r="F40" s="595">
        <v>17968.005423581086</v>
      </c>
    </row>
    <row r="41" spans="1:6" ht="14.4" customHeight="1" x14ac:dyDescent="0.3">
      <c r="A41" s="621" t="s">
        <v>1677</v>
      </c>
      <c r="B41" s="594"/>
      <c r="C41" s="616">
        <v>0</v>
      </c>
      <c r="D41" s="594">
        <v>3208.5023474581531</v>
      </c>
      <c r="E41" s="616">
        <v>1</v>
      </c>
      <c r="F41" s="595">
        <v>3208.5023474581531</v>
      </c>
    </row>
    <row r="42" spans="1:6" ht="14.4" customHeight="1" x14ac:dyDescent="0.3">
      <c r="A42" s="621" t="s">
        <v>1678</v>
      </c>
      <c r="B42" s="594"/>
      <c r="C42" s="616">
        <v>0</v>
      </c>
      <c r="D42" s="594">
        <v>28.98</v>
      </c>
      <c r="E42" s="616">
        <v>1</v>
      </c>
      <c r="F42" s="595">
        <v>28.98</v>
      </c>
    </row>
    <row r="43" spans="1:6" ht="14.4" customHeight="1" x14ac:dyDescent="0.3">
      <c r="A43" s="621" t="s">
        <v>1679</v>
      </c>
      <c r="B43" s="594"/>
      <c r="C43" s="616">
        <v>0</v>
      </c>
      <c r="D43" s="594">
        <v>6243.2758884466739</v>
      </c>
      <c r="E43" s="616">
        <v>1</v>
      </c>
      <c r="F43" s="595">
        <v>6243.2758884466739</v>
      </c>
    </row>
    <row r="44" spans="1:6" ht="14.4" customHeight="1" x14ac:dyDescent="0.3">
      <c r="A44" s="621" t="s">
        <v>1680</v>
      </c>
      <c r="B44" s="594"/>
      <c r="C44" s="616">
        <v>0</v>
      </c>
      <c r="D44" s="594">
        <v>324.72000000000003</v>
      </c>
      <c r="E44" s="616">
        <v>1</v>
      </c>
      <c r="F44" s="595">
        <v>324.72000000000003</v>
      </c>
    </row>
    <row r="45" spans="1:6" ht="14.4" customHeight="1" x14ac:dyDescent="0.3">
      <c r="A45" s="621" t="s">
        <v>1681</v>
      </c>
      <c r="B45" s="594"/>
      <c r="C45" s="616">
        <v>0</v>
      </c>
      <c r="D45" s="594">
        <v>514.10000000000014</v>
      </c>
      <c r="E45" s="616">
        <v>1</v>
      </c>
      <c r="F45" s="595">
        <v>514.10000000000014</v>
      </c>
    </row>
    <row r="46" spans="1:6" ht="14.4" customHeight="1" x14ac:dyDescent="0.3">
      <c r="A46" s="621" t="s">
        <v>1682</v>
      </c>
      <c r="B46" s="594"/>
      <c r="C46" s="616">
        <v>0</v>
      </c>
      <c r="D46" s="594">
        <v>224.95999999999995</v>
      </c>
      <c r="E46" s="616">
        <v>1</v>
      </c>
      <c r="F46" s="595">
        <v>224.95999999999995</v>
      </c>
    </row>
    <row r="47" spans="1:6" ht="14.4" customHeight="1" x14ac:dyDescent="0.3">
      <c r="A47" s="621" t="s">
        <v>1683</v>
      </c>
      <c r="B47" s="594"/>
      <c r="C47" s="616">
        <v>0</v>
      </c>
      <c r="D47" s="594">
        <v>1625.3104044964514</v>
      </c>
      <c r="E47" s="616">
        <v>1</v>
      </c>
      <c r="F47" s="595">
        <v>1625.3104044964514</v>
      </c>
    </row>
    <row r="48" spans="1:6" ht="14.4" customHeight="1" x14ac:dyDescent="0.3">
      <c r="A48" s="621" t="s">
        <v>1684</v>
      </c>
      <c r="B48" s="594"/>
      <c r="C48" s="616">
        <v>0</v>
      </c>
      <c r="D48" s="594">
        <v>79452.177525301391</v>
      </c>
      <c r="E48" s="616">
        <v>1</v>
      </c>
      <c r="F48" s="595">
        <v>79452.177525301391</v>
      </c>
    </row>
    <row r="49" spans="1:6" ht="14.4" customHeight="1" x14ac:dyDescent="0.3">
      <c r="A49" s="621" t="s">
        <v>1685</v>
      </c>
      <c r="B49" s="594"/>
      <c r="C49" s="616">
        <v>0</v>
      </c>
      <c r="D49" s="594">
        <v>89.25</v>
      </c>
      <c r="E49" s="616">
        <v>1</v>
      </c>
      <c r="F49" s="595">
        <v>89.25</v>
      </c>
    </row>
    <row r="50" spans="1:6" ht="14.4" customHeight="1" x14ac:dyDescent="0.3">
      <c r="A50" s="621" t="s">
        <v>1686</v>
      </c>
      <c r="B50" s="594"/>
      <c r="C50" s="616">
        <v>0</v>
      </c>
      <c r="D50" s="594">
        <v>10477.800000000001</v>
      </c>
      <c r="E50" s="616">
        <v>1</v>
      </c>
      <c r="F50" s="595">
        <v>10477.800000000001</v>
      </c>
    </row>
    <row r="51" spans="1:6" ht="14.4" customHeight="1" x14ac:dyDescent="0.3">
      <c r="A51" s="621" t="s">
        <v>1687</v>
      </c>
      <c r="B51" s="594"/>
      <c r="C51" s="616">
        <v>0</v>
      </c>
      <c r="D51" s="594">
        <v>13951.655106466396</v>
      </c>
      <c r="E51" s="616">
        <v>1</v>
      </c>
      <c r="F51" s="595">
        <v>13951.655106466396</v>
      </c>
    </row>
    <row r="52" spans="1:6" ht="14.4" customHeight="1" thickBot="1" x14ac:dyDescent="0.35">
      <c r="A52" s="622" t="s">
        <v>1688</v>
      </c>
      <c r="B52" s="617"/>
      <c r="C52" s="618">
        <v>0</v>
      </c>
      <c r="D52" s="617">
        <v>13655.979039499343</v>
      </c>
      <c r="E52" s="618">
        <v>1</v>
      </c>
      <c r="F52" s="619">
        <v>13655.979039499343</v>
      </c>
    </row>
    <row r="53" spans="1:6" ht="14.4" customHeight="1" thickBot="1" x14ac:dyDescent="0.35">
      <c r="A53" s="610" t="s">
        <v>3</v>
      </c>
      <c r="B53" s="611">
        <v>37715.427454544712</v>
      </c>
      <c r="C53" s="612">
        <v>4.3576928474414439E-2</v>
      </c>
      <c r="D53" s="611">
        <v>827775.29837044736</v>
      </c>
      <c r="E53" s="612">
        <v>0.9564230715255857</v>
      </c>
      <c r="F53" s="613">
        <v>865490.72582499194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2014-06-18T07:54:40Z</dcterms:modified>
</cp:coreProperties>
</file>