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Materiál Žádanky" sheetId="420" r:id="rId12"/>
    <sheet name="MŽ Detail" sheetId="403" r:id="rId13"/>
    <sheet name="Osobní náklady" sheetId="419" r:id="rId14"/>
    <sheet name="ON Data" sheetId="418" state="hidden" r:id="rId15"/>
    <sheet name="ZV Vykáz.-H" sheetId="410" r:id="rId16"/>
    <sheet name="ZV Vykáz.-H Detail" sheetId="377" r:id="rId17"/>
    <sheet name="CaseMix" sheetId="370" r:id="rId18"/>
    <sheet name="ALOS" sheetId="374" r:id="rId19"/>
    <sheet name="Total" sheetId="371" r:id="rId20"/>
    <sheet name="ZV Vyžád." sheetId="342" r:id="rId21"/>
    <sheet name="ZV Vyžád. Detail" sheetId="343" r:id="rId22"/>
    <sheet name="OD TISS" sheetId="372" r:id="rId23"/>
  </sheets>
  <definedNames>
    <definedName name="_xlnm._FilterDatabase" localSheetId="5" hidden="1">HV!$A$5:$A$5</definedName>
    <definedName name="_xlnm._FilterDatabase" localSheetId="6" hidden="1">'Léky Žádanky'!$A$4:$I$4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1" hidden="1">'Materiál Žádanky'!$A$4:$I$4</definedName>
    <definedName name="_xlnm._FilterDatabase" localSheetId="12" hidden="1">'MŽ Detail'!$A$4:$K$4</definedName>
    <definedName name="_xlnm._FilterDatabase" localSheetId="22" hidden="1">'OD TISS'!$A$5:$N$5</definedName>
    <definedName name="_xlnm._FilterDatabase" localSheetId="19" hidden="1">Total!$A$4:$W$4</definedName>
    <definedName name="_xlnm._FilterDatabase" localSheetId="16" hidden="1">'ZV Vykáz.-H Detail'!$A$5:$Q$5</definedName>
    <definedName name="_xlnm._FilterDatabase" localSheetId="20" hidden="1">'ZV Vyžád.'!$A$5:$M$5</definedName>
    <definedName name="_xlnm._FilterDatabase" localSheetId="21" hidden="1">'ZV Vyžád. Detail'!$A$5:$Q$5</definedName>
    <definedName name="doměsíce">'HI Graf'!$C$11</definedName>
    <definedName name="_xlnm.Print_Area" localSheetId="18">ALOS!$A$1:$M$45</definedName>
    <definedName name="_xlnm.Print_Area" localSheetId="17">CaseMix!$A$1:$M$39</definedName>
  </definedNames>
  <calcPr calcId="152511"/>
</workbook>
</file>

<file path=xl/calcChain.xml><?xml version="1.0" encoding="utf-8"?>
<calcChain xmlns="http://schemas.openxmlformats.org/spreadsheetml/2006/main">
  <c r="V82" i="371" l="1"/>
  <c r="U82" i="371"/>
  <c r="T82" i="371"/>
  <c r="S82" i="371"/>
  <c r="R82" i="371"/>
  <c r="Q82" i="371"/>
  <c r="V81" i="371"/>
  <c r="U81" i="371"/>
  <c r="T81" i="371"/>
  <c r="S81" i="371"/>
  <c r="R81" i="371"/>
  <c r="Q81" i="371"/>
  <c r="T80" i="371"/>
  <c r="V80" i="371" s="1"/>
  <c r="S80" i="371"/>
  <c r="R80" i="371"/>
  <c r="Q80" i="371"/>
  <c r="V79" i="371"/>
  <c r="U79" i="371"/>
  <c r="T79" i="371"/>
  <c r="S79" i="371"/>
  <c r="R79" i="371"/>
  <c r="Q79" i="371"/>
  <c r="V78" i="371"/>
  <c r="U78" i="371"/>
  <c r="T78" i="371"/>
  <c r="S78" i="371"/>
  <c r="R78" i="371"/>
  <c r="Q78" i="371"/>
  <c r="V77" i="371"/>
  <c r="U77" i="371"/>
  <c r="T77" i="371"/>
  <c r="S77" i="371"/>
  <c r="R77" i="371"/>
  <c r="Q77" i="371"/>
  <c r="V76" i="371"/>
  <c r="U76" i="371"/>
  <c r="T76" i="371"/>
  <c r="S76" i="371"/>
  <c r="R76" i="371"/>
  <c r="Q76" i="371"/>
  <c r="V75" i="371"/>
  <c r="U75" i="371"/>
  <c r="T75" i="371"/>
  <c r="S75" i="371"/>
  <c r="R75" i="371"/>
  <c r="Q75" i="371"/>
  <c r="V74" i="371"/>
  <c r="U74" i="371"/>
  <c r="T74" i="371"/>
  <c r="S74" i="371"/>
  <c r="R74" i="371"/>
  <c r="Q74" i="371"/>
  <c r="V73" i="371"/>
  <c r="U73" i="371"/>
  <c r="T73" i="371"/>
  <c r="S73" i="371"/>
  <c r="R73" i="371"/>
  <c r="Q73" i="371"/>
  <c r="T72" i="371"/>
  <c r="V72" i="371" s="1"/>
  <c r="S72" i="371"/>
  <c r="R72" i="371"/>
  <c r="Q72" i="371"/>
  <c r="V71" i="371"/>
  <c r="U71" i="371"/>
  <c r="T71" i="371"/>
  <c r="S71" i="371"/>
  <c r="R71" i="371"/>
  <c r="Q71" i="371"/>
  <c r="V70" i="371"/>
  <c r="U70" i="371"/>
  <c r="T70" i="371"/>
  <c r="S70" i="371"/>
  <c r="R70" i="371"/>
  <c r="Q70" i="371"/>
  <c r="V69" i="371"/>
  <c r="U69" i="371"/>
  <c r="T69" i="371"/>
  <c r="S69" i="371"/>
  <c r="R69" i="371"/>
  <c r="Q69" i="371"/>
  <c r="V68" i="371"/>
  <c r="U68" i="371"/>
  <c r="T68" i="371"/>
  <c r="S68" i="371"/>
  <c r="R68" i="371"/>
  <c r="Q68" i="371"/>
  <c r="V67" i="371"/>
  <c r="U67" i="371"/>
  <c r="T67" i="371"/>
  <c r="S67" i="371"/>
  <c r="R67" i="371"/>
  <c r="Q67" i="371"/>
  <c r="V66" i="371"/>
  <c r="U66" i="371"/>
  <c r="T66" i="371"/>
  <c r="S66" i="371"/>
  <c r="R66" i="371"/>
  <c r="Q66" i="371"/>
  <c r="V65" i="371"/>
  <c r="U65" i="371"/>
  <c r="T65" i="371"/>
  <c r="S65" i="371"/>
  <c r="R65" i="371"/>
  <c r="Q65" i="371"/>
  <c r="V64" i="371"/>
  <c r="U64" i="371"/>
  <c r="T64" i="371"/>
  <c r="S64" i="371"/>
  <c r="R64" i="371"/>
  <c r="Q64" i="371"/>
  <c r="V63" i="371"/>
  <c r="U63" i="371"/>
  <c r="T63" i="371"/>
  <c r="S63" i="371"/>
  <c r="R63" i="371"/>
  <c r="Q63" i="371"/>
  <c r="T62" i="371"/>
  <c r="V62" i="371" s="1"/>
  <c r="S62" i="371"/>
  <c r="R62" i="371"/>
  <c r="Q62" i="371"/>
  <c r="V61" i="371"/>
  <c r="U61" i="371"/>
  <c r="T61" i="371"/>
  <c r="S61" i="371"/>
  <c r="R61" i="371"/>
  <c r="Q61" i="371"/>
  <c r="V60" i="371"/>
  <c r="U60" i="371"/>
  <c r="T60" i="371"/>
  <c r="S60" i="371"/>
  <c r="R60" i="371"/>
  <c r="Q60" i="371"/>
  <c r="V59" i="371"/>
  <c r="U59" i="371"/>
  <c r="T59" i="371"/>
  <c r="S59" i="371"/>
  <c r="R59" i="371"/>
  <c r="Q59" i="371"/>
  <c r="V58" i="371"/>
  <c r="U58" i="371"/>
  <c r="T58" i="371"/>
  <c r="S58" i="371"/>
  <c r="R58" i="371"/>
  <c r="Q58" i="371"/>
  <c r="V57" i="371"/>
  <c r="U57" i="371"/>
  <c r="T57" i="371"/>
  <c r="S57" i="371"/>
  <c r="R57" i="371"/>
  <c r="Q57" i="371"/>
  <c r="V56" i="371"/>
  <c r="U56" i="371"/>
  <c r="T56" i="371"/>
  <c r="S56" i="371"/>
  <c r="R56" i="371"/>
  <c r="Q56" i="371"/>
  <c r="V55" i="371"/>
  <c r="U55" i="371"/>
  <c r="T55" i="371"/>
  <c r="S55" i="371"/>
  <c r="R55" i="371"/>
  <c r="Q55" i="371"/>
  <c r="V54" i="371"/>
  <c r="U54" i="371"/>
  <c r="T54" i="371"/>
  <c r="S54" i="371"/>
  <c r="R54" i="371"/>
  <c r="Q54" i="371"/>
  <c r="V53" i="371"/>
  <c r="U53" i="371"/>
  <c r="T53" i="371"/>
  <c r="S53" i="371"/>
  <c r="R53" i="371"/>
  <c r="Q53" i="371"/>
  <c r="T52" i="371"/>
  <c r="V52" i="371" s="1"/>
  <c r="S52" i="371"/>
  <c r="R52" i="371"/>
  <c r="Q52" i="371"/>
  <c r="V51" i="371"/>
  <c r="U51" i="371"/>
  <c r="T51" i="371"/>
  <c r="S51" i="371"/>
  <c r="R51" i="371"/>
  <c r="Q51" i="371"/>
  <c r="V50" i="371"/>
  <c r="U50" i="371"/>
  <c r="T50" i="371"/>
  <c r="S50" i="371"/>
  <c r="R50" i="371"/>
  <c r="Q50" i="371"/>
  <c r="V49" i="371"/>
  <c r="U49" i="371"/>
  <c r="T49" i="371"/>
  <c r="S49" i="371"/>
  <c r="R49" i="371"/>
  <c r="Q49" i="371"/>
  <c r="T48" i="371"/>
  <c r="V48" i="371" s="1"/>
  <c r="S48" i="371"/>
  <c r="R48" i="371"/>
  <c r="Q48" i="371"/>
  <c r="V47" i="371"/>
  <c r="U47" i="371"/>
  <c r="T47" i="371"/>
  <c r="S47" i="371"/>
  <c r="R47" i="371"/>
  <c r="Q47" i="371"/>
  <c r="T46" i="371"/>
  <c r="V46" i="371" s="1"/>
  <c r="S46" i="371"/>
  <c r="R46" i="371"/>
  <c r="Q46" i="371"/>
  <c r="V45" i="371"/>
  <c r="U45" i="371"/>
  <c r="T45" i="371"/>
  <c r="S45" i="371"/>
  <c r="R45" i="371"/>
  <c r="Q45" i="371"/>
  <c r="V44" i="371"/>
  <c r="U44" i="371"/>
  <c r="T44" i="371"/>
  <c r="S44" i="371"/>
  <c r="R44" i="371"/>
  <c r="Q44" i="371"/>
  <c r="V43" i="371"/>
  <c r="U43" i="371"/>
  <c r="T43" i="371"/>
  <c r="S43" i="371"/>
  <c r="R43" i="371"/>
  <c r="Q43" i="371"/>
  <c r="T42" i="371"/>
  <c r="V42" i="371" s="1"/>
  <c r="S42" i="371"/>
  <c r="R42" i="371"/>
  <c r="Q42" i="371"/>
  <c r="V41" i="371"/>
  <c r="U41" i="371"/>
  <c r="T41" i="371"/>
  <c r="S41" i="371"/>
  <c r="R41" i="371"/>
  <c r="Q41" i="371"/>
  <c r="V40" i="371"/>
  <c r="U40" i="371"/>
  <c r="T40" i="371"/>
  <c r="S40" i="371"/>
  <c r="R40" i="371"/>
  <c r="Q40" i="371"/>
  <c r="V39" i="371"/>
  <c r="U39" i="371"/>
  <c r="T39" i="371"/>
  <c r="S39" i="371"/>
  <c r="R39" i="371"/>
  <c r="Q39" i="371"/>
  <c r="T38" i="371"/>
  <c r="V38" i="371" s="1"/>
  <c r="S38" i="371"/>
  <c r="R38" i="371"/>
  <c r="Q38" i="371"/>
  <c r="V37" i="371"/>
  <c r="U37" i="371"/>
  <c r="T37" i="371"/>
  <c r="S37" i="371"/>
  <c r="R37" i="371"/>
  <c r="Q37" i="371"/>
  <c r="T36" i="371"/>
  <c r="V36" i="371" s="1"/>
  <c r="S36" i="371"/>
  <c r="R36" i="371"/>
  <c r="Q36" i="371"/>
  <c r="V35" i="371"/>
  <c r="U35" i="371"/>
  <c r="T35" i="371"/>
  <c r="S35" i="371"/>
  <c r="R35" i="371"/>
  <c r="Q35" i="371"/>
  <c r="T34" i="371"/>
  <c r="V34" i="371" s="1"/>
  <c r="S34" i="371"/>
  <c r="R34" i="371"/>
  <c r="Q34" i="371"/>
  <c r="V33" i="371"/>
  <c r="U33" i="371"/>
  <c r="T33" i="371"/>
  <c r="S33" i="371"/>
  <c r="R33" i="371"/>
  <c r="Q33" i="371"/>
  <c r="V32" i="371"/>
  <c r="U32" i="371"/>
  <c r="T32" i="371"/>
  <c r="S32" i="371"/>
  <c r="R32" i="371"/>
  <c r="Q32" i="371"/>
  <c r="V31" i="371"/>
  <c r="U31" i="371"/>
  <c r="T31" i="371"/>
  <c r="S31" i="371"/>
  <c r="R31" i="371"/>
  <c r="Q31" i="371"/>
  <c r="T30" i="371"/>
  <c r="V30" i="371" s="1"/>
  <c r="S30" i="371"/>
  <c r="R30" i="371"/>
  <c r="Q30" i="371"/>
  <c r="V29" i="371"/>
  <c r="U29" i="371"/>
  <c r="T29" i="371"/>
  <c r="S29" i="371"/>
  <c r="R29" i="371"/>
  <c r="Q29" i="371"/>
  <c r="T28" i="371"/>
  <c r="V28" i="371" s="1"/>
  <c r="S28" i="371"/>
  <c r="R28" i="371"/>
  <c r="Q28" i="371"/>
  <c r="V27" i="371"/>
  <c r="U27" i="371"/>
  <c r="T27" i="371"/>
  <c r="S27" i="371"/>
  <c r="R27" i="371"/>
  <c r="Q27" i="371"/>
  <c r="V26" i="371"/>
  <c r="U26" i="371"/>
  <c r="T26" i="371"/>
  <c r="S26" i="371"/>
  <c r="R26" i="371"/>
  <c r="Q26" i="371"/>
  <c r="V25" i="371"/>
  <c r="U25" i="371"/>
  <c r="T25" i="371"/>
  <c r="S25" i="371"/>
  <c r="R25" i="371"/>
  <c r="Q25" i="371"/>
  <c r="T24" i="371"/>
  <c r="V24" i="371" s="1"/>
  <c r="S24" i="371"/>
  <c r="R24" i="371"/>
  <c r="Q24" i="371"/>
  <c r="V23" i="371"/>
  <c r="U23" i="371"/>
  <c r="T23" i="371"/>
  <c r="S23" i="371"/>
  <c r="R23" i="371"/>
  <c r="Q23" i="371"/>
  <c r="T22" i="371"/>
  <c r="V22" i="371" s="1"/>
  <c r="S22" i="371"/>
  <c r="R22" i="371"/>
  <c r="Q22" i="371"/>
  <c r="V21" i="371"/>
  <c r="U21" i="371"/>
  <c r="T21" i="371"/>
  <c r="S21" i="371"/>
  <c r="R21" i="371"/>
  <c r="Q21" i="371"/>
  <c r="T20" i="371"/>
  <c r="V20" i="371" s="1"/>
  <c r="S20" i="371"/>
  <c r="R20" i="371"/>
  <c r="Q20" i="371"/>
  <c r="V19" i="371"/>
  <c r="U19" i="371"/>
  <c r="T19" i="371"/>
  <c r="S19" i="371"/>
  <c r="R19" i="371"/>
  <c r="Q19" i="371"/>
  <c r="V18" i="371"/>
  <c r="U18" i="371"/>
  <c r="T18" i="371"/>
  <c r="S18" i="371"/>
  <c r="R18" i="371"/>
  <c r="Q18" i="371"/>
  <c r="V17" i="371"/>
  <c r="U17" i="371"/>
  <c r="T17" i="371"/>
  <c r="S17" i="371"/>
  <c r="R17" i="371"/>
  <c r="Q17" i="371"/>
  <c r="T16" i="371"/>
  <c r="V16" i="371" s="1"/>
  <c r="S16" i="371"/>
  <c r="R16" i="371"/>
  <c r="Q16" i="371"/>
  <c r="V15" i="371"/>
  <c r="U15" i="371"/>
  <c r="T15" i="371"/>
  <c r="S15" i="371"/>
  <c r="R15" i="371"/>
  <c r="Q15" i="371"/>
  <c r="T14" i="371"/>
  <c r="V14" i="371" s="1"/>
  <c r="S14" i="371"/>
  <c r="R14" i="371"/>
  <c r="Q14" i="371"/>
  <c r="V13" i="371"/>
  <c r="U13" i="371"/>
  <c r="T13" i="371"/>
  <c r="S13" i="371"/>
  <c r="R13" i="371"/>
  <c r="Q13" i="371"/>
  <c r="V12" i="371"/>
  <c r="U12" i="371"/>
  <c r="T12" i="371"/>
  <c r="S12" i="371"/>
  <c r="R12" i="371"/>
  <c r="Q12" i="371"/>
  <c r="V11" i="371"/>
  <c r="U11" i="371"/>
  <c r="T11" i="371"/>
  <c r="S11" i="371"/>
  <c r="R11" i="371"/>
  <c r="Q11" i="371"/>
  <c r="V10" i="371"/>
  <c r="U10" i="371"/>
  <c r="T10" i="371"/>
  <c r="S10" i="371"/>
  <c r="R10" i="371"/>
  <c r="Q10" i="371"/>
  <c r="V9" i="371"/>
  <c r="U9" i="371"/>
  <c r="T9" i="371"/>
  <c r="S9" i="371"/>
  <c r="R9" i="371"/>
  <c r="Q9" i="371"/>
  <c r="T8" i="371"/>
  <c r="V8" i="371" s="1"/>
  <c r="S8" i="371"/>
  <c r="R8" i="371"/>
  <c r="Q8" i="371"/>
  <c r="V7" i="371"/>
  <c r="U7" i="371"/>
  <c r="T7" i="371"/>
  <c r="S7" i="371"/>
  <c r="R7" i="371"/>
  <c r="Q7" i="371"/>
  <c r="T6" i="371"/>
  <c r="V6" i="371" s="1"/>
  <c r="S6" i="371"/>
  <c r="R6" i="371"/>
  <c r="Q6" i="371"/>
  <c r="V5" i="371"/>
  <c r="U5" i="371"/>
  <c r="T5" i="371"/>
  <c r="S5" i="371"/>
  <c r="R5" i="371"/>
  <c r="Q5" i="371"/>
  <c r="U8" i="371" l="1"/>
  <c r="U22" i="371"/>
  <c r="U28" i="371"/>
  <c r="U30" i="371"/>
  <c r="U34" i="371"/>
  <c r="U36" i="371"/>
  <c r="U38" i="371"/>
  <c r="U42" i="371"/>
  <c r="U46" i="371"/>
  <c r="U48" i="371"/>
  <c r="U52" i="371"/>
  <c r="U62" i="371"/>
  <c r="U72" i="371"/>
  <c r="U80" i="371"/>
  <c r="U6" i="371"/>
  <c r="U14" i="371"/>
  <c r="U16" i="371"/>
  <c r="U20" i="371"/>
  <c r="U24" i="371"/>
  <c r="C26" i="419"/>
  <c r="L26" i="419" l="1"/>
  <c r="L27" i="419" s="1"/>
  <c r="L25" i="419"/>
  <c r="F26" i="419"/>
  <c r="L28" i="419" l="1"/>
  <c r="F25" i="419"/>
  <c r="C25" i="419"/>
  <c r="L20" i="419"/>
  <c r="K20" i="419"/>
  <c r="J20" i="419"/>
  <c r="L19" i="419"/>
  <c r="K19" i="419"/>
  <c r="J19" i="419"/>
  <c r="L17" i="419"/>
  <c r="K17" i="419"/>
  <c r="J17" i="419"/>
  <c r="L16" i="419"/>
  <c r="K16" i="419"/>
  <c r="J16" i="419"/>
  <c r="L14" i="419"/>
  <c r="K14" i="419"/>
  <c r="J14" i="419"/>
  <c r="L13" i="419"/>
  <c r="K13" i="419"/>
  <c r="J13" i="419"/>
  <c r="L12" i="419"/>
  <c r="K12" i="419"/>
  <c r="J12" i="419"/>
  <c r="L11" i="419"/>
  <c r="K11" i="419"/>
  <c r="J11" i="419"/>
  <c r="AW3" i="418"/>
  <c r="AV3" i="418"/>
  <c r="AU3" i="418"/>
  <c r="AT3" i="418"/>
  <c r="AS3" i="418"/>
  <c r="AR3" i="418"/>
  <c r="AQ3" i="418"/>
  <c r="AP3" i="418"/>
  <c r="K18" i="419" l="1"/>
  <c r="J18" i="419"/>
  <c r="L18" i="419"/>
  <c r="B25" i="419"/>
  <c r="F27" i="419" l="1"/>
  <c r="B26" i="419"/>
  <c r="B27" i="419" s="1"/>
  <c r="F28" i="419"/>
  <c r="A9" i="414"/>
  <c r="A8" i="414"/>
  <c r="A7" i="414"/>
  <c r="J21" i="419" l="1"/>
  <c r="I21" i="419"/>
  <c r="I22" i="419" s="1"/>
  <c r="H21" i="419"/>
  <c r="G21" i="419"/>
  <c r="F21" i="419"/>
  <c r="I20" i="419"/>
  <c r="H20" i="419"/>
  <c r="G20" i="419"/>
  <c r="F20" i="419"/>
  <c r="I19" i="419"/>
  <c r="H19" i="419"/>
  <c r="G19" i="419"/>
  <c r="F19" i="419"/>
  <c r="I17" i="419"/>
  <c r="H17" i="419"/>
  <c r="G17" i="419"/>
  <c r="F17" i="419"/>
  <c r="I16" i="419"/>
  <c r="H16" i="419"/>
  <c r="G16" i="419"/>
  <c r="F16" i="419"/>
  <c r="I14" i="419"/>
  <c r="H14" i="419"/>
  <c r="G14" i="419"/>
  <c r="F14" i="419"/>
  <c r="I13" i="419"/>
  <c r="H13" i="419"/>
  <c r="G13" i="419"/>
  <c r="F13" i="419"/>
  <c r="I12" i="419"/>
  <c r="H12" i="419"/>
  <c r="G12" i="419"/>
  <c r="F12" i="419"/>
  <c r="I11" i="419"/>
  <c r="H11" i="419"/>
  <c r="G11" i="419"/>
  <c r="F11" i="419"/>
  <c r="F18" i="419" l="1"/>
  <c r="F23" i="419"/>
  <c r="H18" i="419"/>
  <c r="I23" i="419"/>
  <c r="I18" i="419"/>
  <c r="G23" i="419"/>
  <c r="H23" i="419"/>
  <c r="J23" i="419"/>
  <c r="G18" i="419"/>
  <c r="F22" i="419"/>
  <c r="G22" i="419"/>
  <c r="H22" i="419"/>
  <c r="J22" i="419"/>
  <c r="M3" i="418"/>
  <c r="E21" i="419" l="1"/>
  <c r="E22" i="419" s="1"/>
  <c r="D21" i="419"/>
  <c r="D22" i="419" s="1"/>
  <c r="C21" i="419"/>
  <c r="C22" i="419" s="1"/>
  <c r="E20" i="419"/>
  <c r="D20" i="419"/>
  <c r="C20" i="419"/>
  <c r="E19" i="419"/>
  <c r="D19" i="419"/>
  <c r="C19" i="419"/>
  <c r="E17" i="419"/>
  <c r="D17" i="419"/>
  <c r="C17" i="419"/>
  <c r="E16" i="419"/>
  <c r="D16" i="419"/>
  <c r="C16" i="419"/>
  <c r="E14" i="419"/>
  <c r="D14" i="419"/>
  <c r="C14" i="419"/>
  <c r="E13" i="419"/>
  <c r="D13" i="419"/>
  <c r="C13" i="419"/>
  <c r="E12" i="419"/>
  <c r="D12" i="419"/>
  <c r="C12" i="419"/>
  <c r="E11" i="419"/>
  <c r="D11" i="419"/>
  <c r="C11" i="419"/>
  <c r="D18" i="419" l="1"/>
  <c r="C18" i="419"/>
  <c r="E18" i="419"/>
  <c r="C23" i="419"/>
  <c r="E23" i="419"/>
  <c r="D23" i="419"/>
  <c r="B21" i="419"/>
  <c r="B22" i="419" l="1"/>
  <c r="A28" i="383" l="1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C11" i="340" l="1"/>
  <c r="A16" i="383" l="1"/>
  <c r="A11" i="383"/>
  <c r="AO3" i="418" l="1"/>
  <c r="AN3" i="418"/>
  <c r="AM3" i="418"/>
  <c r="AL3" i="418"/>
  <c r="AK3" i="418"/>
  <c r="AJ3" i="418"/>
  <c r="AI3" i="418"/>
  <c r="AH3" i="418"/>
  <c r="AG3" i="418"/>
  <c r="AF3" i="418"/>
  <c r="AE3" i="418"/>
  <c r="AD3" i="418"/>
  <c r="AC3" i="418"/>
  <c r="AB3" i="418"/>
  <c r="AA3" i="418"/>
  <c r="Z3" i="418"/>
  <c r="Y3" i="418"/>
  <c r="X3" i="418"/>
  <c r="W3" i="418"/>
  <c r="V3" i="418"/>
  <c r="U3" i="418"/>
  <c r="T3" i="418"/>
  <c r="S3" i="418"/>
  <c r="C28" i="419" l="1"/>
  <c r="B28" i="419" s="1"/>
  <c r="C27" i="419"/>
  <c r="R3" i="418"/>
  <c r="Q3" i="418"/>
  <c r="P3" i="418"/>
  <c r="O3" i="418"/>
  <c r="N3" i="418"/>
  <c r="L3" i="418"/>
  <c r="K3" i="418"/>
  <c r="J3" i="418"/>
  <c r="I3" i="418"/>
  <c r="H3" i="418"/>
  <c r="G3" i="418"/>
  <c r="F3" i="418"/>
  <c r="A7" i="339" l="1"/>
  <c r="D3" i="418" l="1"/>
  <c r="K6" i="419" l="1"/>
  <c r="L6" i="419"/>
  <c r="J6" i="419"/>
  <c r="I6" i="419"/>
  <c r="H6" i="419"/>
  <c r="G6" i="419"/>
  <c r="F6" i="419"/>
  <c r="E6" i="419"/>
  <c r="D6" i="419"/>
  <c r="C6" i="419"/>
  <c r="B6" i="419"/>
  <c r="B20" i="419"/>
  <c r="B23" i="419" s="1"/>
  <c r="B19" i="419"/>
  <c r="B17" i="419"/>
  <c r="B16" i="419"/>
  <c r="B14" i="419"/>
  <c r="B13" i="419"/>
  <c r="B12" i="419"/>
  <c r="B11" i="419"/>
  <c r="B18" i="419" l="1"/>
  <c r="B39" i="370" l="1"/>
  <c r="H39" i="370"/>
  <c r="G39" i="370"/>
  <c r="F39" i="370"/>
  <c r="D39" i="370"/>
  <c r="C39" i="370"/>
  <c r="H26" i="370"/>
  <c r="G26" i="370"/>
  <c r="F26" i="370"/>
  <c r="D26" i="370"/>
  <c r="C26" i="370"/>
  <c r="B26" i="370"/>
  <c r="H13" i="370"/>
  <c r="G13" i="370"/>
  <c r="F13" i="370"/>
  <c r="D13" i="370"/>
  <c r="C13" i="370"/>
  <c r="B13" i="370"/>
  <c r="M38" i="370" l="1"/>
  <c r="L38" i="370"/>
  <c r="M25" i="370"/>
  <c r="L25" i="370"/>
  <c r="M12" i="370"/>
  <c r="L12" i="370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3" i="414" l="1"/>
  <c r="D7" i="414"/>
  <c r="A25" i="414" l="1"/>
  <c r="A16" i="414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3" i="414" l="1"/>
  <c r="A22" i="414"/>
  <c r="A21" i="414"/>
  <c r="A20" i="414" l="1"/>
  <c r="A19" i="414"/>
  <c r="A17" i="414"/>
  <c r="L3" i="342" l="1"/>
  <c r="K3" i="342"/>
  <c r="J3" i="342"/>
  <c r="I3" i="342"/>
  <c r="H3" i="342"/>
  <c r="M3" i="342" s="1"/>
  <c r="F3" i="342"/>
  <c r="E3" i="342"/>
  <c r="D3" i="342"/>
  <c r="C3" i="342"/>
  <c r="B3" i="342"/>
  <c r="G3" i="342" s="1"/>
  <c r="D25" i="414" s="1"/>
  <c r="R3" i="410"/>
  <c r="Q3" i="410"/>
  <c r="P3" i="410"/>
  <c r="O3" i="410"/>
  <c r="N3" i="410"/>
  <c r="S3" i="410" s="1"/>
  <c r="L3" i="410"/>
  <c r="K3" i="410"/>
  <c r="J3" i="410"/>
  <c r="I3" i="410"/>
  <c r="H3" i="410"/>
  <c r="M3" i="410" s="1"/>
  <c r="F3" i="410"/>
  <c r="E3" i="410"/>
  <c r="D3" i="410"/>
  <c r="C3" i="410"/>
  <c r="B3" i="410"/>
  <c r="G3" i="410" s="1"/>
  <c r="D18" i="414" s="1"/>
  <c r="E11" i="339" l="1"/>
  <c r="B11" i="339"/>
  <c r="F11" i="339" l="1"/>
  <c r="C11" i="339"/>
  <c r="H11" i="339" l="1"/>
  <c r="G11" i="339"/>
  <c r="A24" i="414"/>
  <c r="A18" i="414"/>
  <c r="A13" i="414"/>
  <c r="A14" i="414"/>
  <c r="A4" i="414"/>
  <c r="A6" i="339" l="1"/>
  <c r="A5" i="339"/>
  <c r="D4" i="414"/>
  <c r="C14" i="414"/>
  <c r="D17" i="414"/>
  <c r="D14" i="414"/>
  <c r="C17" i="414"/>
  <c r="D8" i="414" l="1"/>
  <c r="C13" i="414" l="1"/>
  <c r="C7" i="414"/>
  <c r="E18" i="414" l="1"/>
  <c r="E13" i="414"/>
  <c r="E7" i="414"/>
  <c r="E8" i="414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M37" i="370" l="1"/>
  <c r="L37" i="370"/>
  <c r="M36" i="370"/>
  <c r="L36" i="370"/>
  <c r="M35" i="370"/>
  <c r="L35" i="370"/>
  <c r="M34" i="370"/>
  <c r="L34" i="370"/>
  <c r="M33" i="370"/>
  <c r="L33" i="370"/>
  <c r="M32" i="370"/>
  <c r="L32" i="370"/>
  <c r="M31" i="370"/>
  <c r="L31" i="370"/>
  <c r="E39" i="370" l="1"/>
  <c r="D22" i="414" s="1"/>
  <c r="E22" i="414" s="1"/>
  <c r="I39" i="370"/>
  <c r="I26" i="370"/>
  <c r="E12" i="339"/>
  <c r="M39" i="370"/>
  <c r="E26" i="370"/>
  <c r="D21" i="414" s="1"/>
  <c r="E21" i="414" s="1"/>
  <c r="L39" i="370"/>
  <c r="C12" i="339"/>
  <c r="E13" i="370"/>
  <c r="D20" i="414" s="1"/>
  <c r="E20" i="414" s="1"/>
  <c r="L13" i="370"/>
  <c r="B12" i="339"/>
  <c r="F12" i="339" s="1"/>
  <c r="I13" i="370"/>
  <c r="D23" i="414" s="1"/>
  <c r="E23" i="414" s="1"/>
  <c r="M3" i="372"/>
  <c r="L3" i="372"/>
  <c r="K3" i="372"/>
  <c r="I3" i="372"/>
  <c r="H3" i="372"/>
  <c r="G3" i="372"/>
  <c r="E3" i="372"/>
  <c r="D3" i="372"/>
  <c r="C3" i="372"/>
  <c r="O3" i="343"/>
  <c r="N3" i="343"/>
  <c r="K3" i="343"/>
  <c r="J3" i="343"/>
  <c r="G3" i="343"/>
  <c r="F3" i="343"/>
  <c r="O3" i="377"/>
  <c r="N3" i="377"/>
  <c r="Q3" i="377" s="1"/>
  <c r="K3" i="377"/>
  <c r="J3" i="377"/>
  <c r="G3" i="377"/>
  <c r="P3" i="377" s="1"/>
  <c r="F3" i="377"/>
  <c r="M3" i="387"/>
  <c r="K3" i="387" s="1"/>
  <c r="L3" i="387"/>
  <c r="J3" i="387"/>
  <c r="I3" i="387"/>
  <c r="G3" i="387"/>
  <c r="H3" i="387" s="1"/>
  <c r="F3" i="387"/>
  <c r="N3" i="220"/>
  <c r="L3" i="220" s="1"/>
  <c r="C19" i="414"/>
  <c r="D19" i="414"/>
  <c r="N3" i="372" l="1"/>
  <c r="F3" i="372"/>
  <c r="C25" i="414"/>
  <c r="E25" i="414" s="1"/>
  <c r="F13" i="339"/>
  <c r="E13" i="339"/>
  <c r="E15" i="339" s="1"/>
  <c r="J3" i="372"/>
  <c r="H12" i="339"/>
  <c r="G12" i="339"/>
  <c r="A4" i="383"/>
  <c r="A27" i="383"/>
  <c r="A26" i="383"/>
  <c r="A25" i="383"/>
  <c r="A24" i="383"/>
  <c r="A23" i="383"/>
  <c r="A22" i="383"/>
  <c r="A21" i="383"/>
  <c r="A18" i="383"/>
  <c r="A17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E45" i="374"/>
  <c r="D45" i="374"/>
  <c r="E44" i="374"/>
  <c r="D44" i="374"/>
  <c r="E43" i="374"/>
  <c r="D43" i="374"/>
  <c r="E42" i="374"/>
  <c r="D42" i="374"/>
  <c r="E41" i="374"/>
  <c r="D41" i="374"/>
  <c r="E40" i="374"/>
  <c r="D40" i="374"/>
  <c r="E39" i="374"/>
  <c r="D39" i="374"/>
  <c r="E38" i="374"/>
  <c r="D38" i="374"/>
  <c r="E37" i="374"/>
  <c r="D37" i="374"/>
  <c r="E36" i="374"/>
  <c r="D36" i="374"/>
  <c r="E35" i="374"/>
  <c r="D35" i="374"/>
  <c r="E34" i="374"/>
  <c r="D34" i="374"/>
  <c r="E33" i="374"/>
  <c r="D33" i="374"/>
  <c r="M24" i="370"/>
  <c r="L24" i="370"/>
  <c r="M23" i="370"/>
  <c r="L23" i="370"/>
  <c r="M22" i="370"/>
  <c r="L22" i="370"/>
  <c r="M21" i="370"/>
  <c r="L21" i="370"/>
  <c r="M20" i="370"/>
  <c r="L20" i="370"/>
  <c r="M19" i="370"/>
  <c r="L19" i="370"/>
  <c r="M18" i="370"/>
  <c r="L18" i="370"/>
  <c r="M13" i="370"/>
  <c r="M11" i="370"/>
  <c r="L11" i="370"/>
  <c r="M10" i="370"/>
  <c r="L10" i="370"/>
  <c r="M9" i="370"/>
  <c r="L9" i="370"/>
  <c r="M8" i="370"/>
  <c r="L8" i="370"/>
  <c r="M7" i="370"/>
  <c r="L7" i="370"/>
  <c r="M6" i="370"/>
  <c r="L6" i="370"/>
  <c r="M5" i="370"/>
  <c r="L5" i="370"/>
  <c r="Q3" i="343"/>
  <c r="P3" i="343"/>
  <c r="C13" i="339"/>
  <c r="C15" i="339" s="1"/>
  <c r="B13" i="339"/>
  <c r="B15" i="339" s="1"/>
  <c r="L26" i="370"/>
  <c r="M26" i="370"/>
  <c r="C4" i="414"/>
  <c r="D16" i="414"/>
  <c r="H13" i="339" l="1"/>
  <c r="F15" i="339"/>
  <c r="D24" i="414"/>
  <c r="E24" i="414" s="1"/>
  <c r="E14" i="414"/>
  <c r="E4" i="414"/>
  <c r="C6" i="340"/>
  <c r="D6" i="340" s="1"/>
  <c r="B4" i="340"/>
  <c r="G13" i="339"/>
  <c r="B13" i="340" l="1"/>
  <c r="B12" i="340"/>
  <c r="G15" i="339"/>
  <c r="H15" i="339"/>
  <c r="C4" i="340"/>
  <c r="E17" i="414"/>
  <c r="E19" i="414"/>
  <c r="D4" i="340"/>
  <c r="E6" i="340"/>
  <c r="C16" i="414"/>
  <c r="E16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<sst xmlns="http://schemas.openxmlformats.org/spreadsheetml/2006/main" count="14243" uniqueCount="4746">
  <si>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</si>
  <si>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</si>
  <si>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</si>
  <si>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</si>
  <si>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</si>
  <si>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</si>
  <si>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</si>
  <si>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</si>
  <si>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</si>
  <si>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</si>
  <si>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</si>
  <si>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</si>
  <si>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</si>
  <si>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</si>
  <si>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</si>
  <si>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</si>
  <si>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</si>
  <si>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</si>
  <si>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</si>
  <si>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</si>
  <si>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</si>
  <si>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</si>
  <si>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</si>
  <si>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</si>
  <si>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</si>
  <si>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</si>
  <si>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</si>
  <si>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</si>
  <si>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</si>
  <si>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</si>
  <si>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</si>
  <si>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</si>
  <si>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</si>
  <si>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</si>
  <si>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</si>
  <si>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</si>
  <si>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</si>
  <si>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</si>
  <si>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</si>
  <si>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</si>
  <si>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</si>
  <si>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</si>
  <si>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</si>
  <si>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</si>
  <si>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</si>
  <si>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</si>
  <si>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</si>
  <si>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</si>
  <si>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</si>
  <si>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</si>
  <si>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</si>
  <si>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</si>
  <si>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</si>
  <si>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</si>
  <si>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</si>
  <si>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Měsíc</t>
  </si>
  <si>
    <t>Rozdíl</t>
  </si>
  <si>
    <t>DRG total</t>
  </si>
  <si>
    <t>Casemix</t>
  </si>
  <si>
    <t>CM</t>
  </si>
  <si>
    <t>Hosp.</t>
  </si>
  <si>
    <t>KL</t>
  </si>
  <si>
    <t>DRG</t>
  </si>
  <si>
    <t>Váha DRG</t>
  </si>
  <si>
    <t>LTP</t>
  </si>
  <si>
    <t>HTP</t>
  </si>
  <si>
    <t>Alos</t>
  </si>
  <si>
    <t>Alfa</t>
  </si>
  <si>
    <t>Nazev</t>
  </si>
  <si>
    <t>Rozdíly</t>
  </si>
  <si>
    <t>Ošetřovací dny</t>
  </si>
  <si>
    <t>poč.</t>
  </si>
  <si>
    <t>ø dnů</t>
  </si>
  <si>
    <t>ALOS</t>
  </si>
  <si>
    <t>FNOL</t>
  </si>
  <si>
    <t>rozdíl</t>
  </si>
  <si>
    <t>případy nad ALOS</t>
  </si>
  <si>
    <t>Kód</t>
  </si>
  <si>
    <t>Počet</t>
  </si>
  <si>
    <t>Lékový paušál</t>
  </si>
  <si>
    <t>Kč / j.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</si>
  <si>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</si>
  <si>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</si>
  <si>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</si>
  <si>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</si>
  <si>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</si>
  <si>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</si>
  <si>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</si>
  <si>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</si>
  <si>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</si>
  <si>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</si>
  <si>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</si>
  <si>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</si>
  <si>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</si>
  <si>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</si>
  <si>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</si>
  <si>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</si>
  <si>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</si>
  <si>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</si>
  <si>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</si>
  <si>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</si>
  <si>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</si>
  <si>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Přehled délky hospitalizace ve FNOL oproti ALOS (průměru v České republice)</t>
  </si>
  <si>
    <t>b</t>
  </si>
  <si>
    <t>1-13</t>
  </si>
  <si>
    <t>Zdravotnické pracoviště poskytující zdravotní výkon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</si>
  <si>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</si>
  <si>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</si>
  <si>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</si>
  <si>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</si>
  <si>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</si>
  <si>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</si>
  <si>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</si>
  <si>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</si>
  <si>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</si>
  <si>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</si>
  <si>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</si>
  <si>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</si>
  <si>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</si>
  <si>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</si>
  <si>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</si>
  <si>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</si>
  <si>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Plnění casemixu dle FNOL</t>
  </si>
  <si>
    <t>HI</t>
  </si>
  <si>
    <t>HI Graf</t>
  </si>
  <si>
    <t>Man Tab</t>
  </si>
  <si>
    <t>Léky Žádanky</t>
  </si>
  <si>
    <t>LŽ Detail</t>
  </si>
  <si>
    <t>Materiál Žádanky</t>
  </si>
  <si>
    <t>MŽ Detail</t>
  </si>
  <si>
    <t>Osobní náklady</t>
  </si>
  <si>
    <t>CaseMix</t>
  </si>
  <si>
    <t>Total</t>
  </si>
  <si>
    <t>OD TISS</t>
  </si>
  <si>
    <t>ZV Vyžád. Detail</t>
  </si>
  <si>
    <t>ZV Vyžád.</t>
  </si>
  <si>
    <t>Motivační kritéria</t>
  </si>
  <si>
    <t>Motivace</t>
  </si>
  <si>
    <t>ZV Vykáz.-H</t>
  </si>
  <si>
    <t>ZV Vykáz.-H Detail</t>
  </si>
  <si>
    <t>Zdravotní výkony vykázané na pracovišti pro pacienty hospitalizované ve FNOL</t>
  </si>
  <si>
    <t>Zdravotní výkony (vybraných odborností) vyžádané pro pacienty hospitalizované na vlastním pracovišti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</si>
  <si>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</si>
  <si>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</si>
  <si>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</si>
  <si>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</si>
  <si>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</si>
  <si>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</si>
  <si>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</si>
  <si>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</si>
  <si>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111 - VZP</t>
  </si>
  <si>
    <t>201 - VoZP</t>
  </si>
  <si>
    <t>205 - ČPZP</t>
  </si>
  <si>
    <t>207 - OZP</t>
  </si>
  <si>
    <t>209 - ZP ŠKODA</t>
  </si>
  <si>
    <t>211 - ZP MV</t>
  </si>
  <si>
    <t>213 - RBP</t>
  </si>
  <si>
    <t>Hospodaření zdravotnického pracoviště (v tisících)</t>
  </si>
  <si>
    <t>Spotřeba léčivých přípravků</t>
  </si>
  <si>
    <t>Spotřeba zdravotnického materiálu</t>
  </si>
  <si>
    <t>Optimum CM pro</t>
  </si>
  <si>
    <t>olomoucký kraj</t>
  </si>
  <si>
    <t>Ošetřovací dny a TISS (v tisících Kč)</t>
  </si>
  <si>
    <t>Přehledové sestavy</t>
  </si>
  <si>
    <t>Akt. měsíc</t>
  </si>
  <si>
    <t>Kč/ks</t>
  </si>
  <si>
    <t>NS / ATC</t>
  </si>
  <si>
    <t>LŽ PL</t>
  </si>
  <si>
    <t>LŽ PL Detail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</si>
  <si>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</si>
  <si>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</si>
  <si>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</si>
  <si>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</si>
  <si>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</si>
  <si>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</si>
  <si>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</si>
  <si>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</si>
  <si>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</si>
  <si>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</si>
  <si>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</si>
  <si>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</si>
  <si>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</si>
  <si>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DRG mimo vyjmenované baze</t>
  </si>
  <si>
    <t>Vyjmenované baze DRG</t>
  </si>
  <si>
    <t>optimum 100% *</t>
  </si>
  <si>
    <t>optimum 95% *</t>
  </si>
  <si>
    <t>333 - Cizinci</t>
  </si>
  <si>
    <t>Pol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</si>
  <si>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</si>
  <si>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</si>
  <si>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</si>
  <si>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</si>
  <si>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</si>
  <si>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</si>
  <si>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</si>
  <si>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</si>
  <si>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</si>
  <si>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</si>
  <si>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</si>
  <si>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</si>
  <si>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</si>
  <si>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</si>
  <si>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dohody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</si>
  <si>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</si>
  <si>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</si>
  <si>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</si>
  <si>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</si>
  <si>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</si>
  <si>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</si>
  <si>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</si>
  <si>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</si>
  <si>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</si>
  <si>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</si>
  <si>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</si>
  <si>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</si>
  <si>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</si>
  <si>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</si>
  <si>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</si>
  <si>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</si>
  <si>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</si>
  <si>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</si>
  <si>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</si>
  <si>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</si>
  <si>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lékaři, VŠ NLZP *</t>
  </si>
  <si>
    <t>NLZP *</t>
  </si>
  <si>
    <t>THP *</t>
  </si>
  <si>
    <t>Rozpočet na vzdělávání je plánován na rok, měsíční plány jsou v tabulce dvanáctinou ročního rozpočtu</t>
  </si>
  <si>
    <t>ošetřovatelé</t>
  </si>
  <si>
    <t>sanitáři</t>
  </si>
  <si>
    <t>Pracoviště/účet</t>
  </si>
  <si>
    <t>Počet případů hospitalizací</t>
  </si>
  <si>
    <t>* Legenda (viz Vyhláška MZ ČR Sbírka zákonů č. 428/2013)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</si>
  <si>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</si>
  <si>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</si>
  <si>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</si>
  <si>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</si>
  <si>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</si>
  <si>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</si>
  <si>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</si>
  <si>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</si>
  <si>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</si>
  <si>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</si>
  <si>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</si>
  <si>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</si>
  <si>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ROZDÍL (Sk.do data - Rozp.do data 2015)</t>
  </si>
  <si>
    <t>Dle vyhlášky FNOL musí dosáhnout casemixu 96 % a počtu případů hospitalizací 92 % u každé pojišťovny (se zohledněním přesunu pojištěnců)</t>
  </si>
  <si>
    <t>lékaři bez dohledu</t>
  </si>
  <si>
    <t>lékaři specialisti</t>
  </si>
  <si>
    <t>všeobecné sestry pod dohl.</t>
  </si>
  <si>
    <t>všeobecné sestry bez dohl.</t>
  </si>
  <si>
    <t>všeobecné sestry bez dohl., spec.</t>
  </si>
  <si>
    <t>všeobecné sestry VŠ</t>
  </si>
  <si>
    <t>Lékaři, VŠ NLZP = kategorie 99-203, 520-523, 525-529, 743-747</t>
  </si>
  <si>
    <t>NLZP = kategorie 302-421, 524, 530-642, 748-749</t>
  </si>
  <si>
    <t>THP = kategorie 930</t>
  </si>
  <si>
    <t>01/2016</t>
  </si>
  <si>
    <t>02/2016</t>
  </si>
  <si>
    <t>03/2016</t>
  </si>
  <si>
    <t>04/2016</t>
  </si>
  <si>
    <t>05/2016</t>
  </si>
  <si>
    <t>06/2016</t>
  </si>
  <si>
    <t>07/2016</t>
  </si>
  <si>
    <t>08/2016</t>
  </si>
  <si>
    <t>09/2016</t>
  </si>
  <si>
    <t>10/2016</t>
  </si>
  <si>
    <t>11/2016</t>
  </si>
  <si>
    <t>12/2016</t>
  </si>
  <si>
    <t>POMĚROVÉ  PLNĚNÍ = Rozpočet na rok 2016 celkem a 1/12  ročního rozpočtu, skutečnost daných měsíců a % plnění načítané skutečnosti do data k poměrné části rozpočtu do data.</t>
  </si>
  <si>
    <t>Rozp. 2015            CELKEM</t>
  </si>
  <si>
    <t>Skut. 2015 CELKEM</t>
  </si>
  <si>
    <t>ROZDÍL  Skut. - Rozp. 2015</t>
  </si>
  <si>
    <t>% plnění rozp.2015</t>
  </si>
  <si>
    <t>Rozp.rok 2016</t>
  </si>
  <si>
    <t>Sk.v tis 2016</t>
  </si>
  <si>
    <t>% plnění (Skut.do data/Rozp.rok 2016)</t>
  </si>
  <si>
    <t>Případy hospitalizací se při výpočtu casemixu v letech 2014, 2015, 2016 rozumí případy hospitalizací přepočtené pomocí pravidel pro Klasifikaci a sestavování případů</t>
  </si>
  <si>
    <t>hospitalizací platných pro rok 2016</t>
  </si>
  <si>
    <t>Casemix v letech 2014, 2015, 2016 je počet případů hospitalizací ukončených ve sledovaném období, poskytovatelem vykázaných a zdravotní pojišťovnou uznaných,</t>
  </si>
  <si>
    <t>které jsou podle Klasifikace zařazeny do skupin vztažených k diagnóze, vynásobený indexy 2016 (viz příloha č. 10)</t>
  </si>
  <si>
    <t>Rozpočet výnosů pro rok 2016 je stanoven jako 100% skutečnosti referenčního období (2014)</t>
  </si>
  <si>
    <r>
      <t>Zpět na Obsah</t>
    </r>
    <r>
      <rPr>
        <sz val="9"/>
        <rFont val="Calibri"/>
        <family val="2"/>
        <charset val="238"/>
        <scheme val="minor"/>
      </rPr>
      <t xml:space="preserve"> | 1.-7.měsíc | Oddělení intenzivní péče chirurgických oborů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</si>
  <si>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</si>
  <si>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</si>
  <si>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</si>
  <si>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</si>
  <si>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</si>
  <si>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</si>
  <si>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</si>
  <si>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</si>
  <si>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 (LEK)</t>
  </si>
  <si>
    <t>50113002     léky - parenterální výživa (LEK)</t>
  </si>
  <si>
    <t>50113006     léky - enterální výživa (LEK)</t>
  </si>
  <si>
    <t>50113007     léky - krev.deriváty ZUL (LEK)</t>
  </si>
  <si>
    <t>--</t>
  </si>
  <si>
    <t>50113008     léky - krev.deriváty ZUL (TO)</t>
  </si>
  <si>
    <t>50113011     léky - hemofilici ZUL (TO)</t>
  </si>
  <si>
    <t>50113013     léky - antibiotika (LEK)</t>
  </si>
  <si>
    <t>50113014     léky - antimykotika (LEK)</t>
  </si>
  <si>
    <t>50113190     léky - medicinální plyny (sklad SVm.)</t>
  </si>
  <si>
    <t>50114     Krevní přípravky</t>
  </si>
  <si>
    <t>50114002     krevní přípravky</t>
  </si>
  <si>
    <t>50114003     plazma</t>
  </si>
  <si>
    <t>50115     Zdravotnické prostředky</t>
  </si>
  <si>
    <t>50115020     laboratorní diagnostika-LEK (Z501)</t>
  </si>
  <si>
    <t>50115040     laboratorní materiál (Z505)</t>
  </si>
  <si>
    <t>50115050     obvazový materiál (Z502)</t>
  </si>
  <si>
    <t>50115060     ZPr - ostatní (Z503)</t>
  </si>
  <si>
    <t>50115063     ZPr - vaky, sety (Z528)</t>
  </si>
  <si>
    <t>50115064     ZPr - šicí materiál (Z529)</t>
  </si>
  <si>
    <t>50115065     ZPr - vpichovací materiál (Z530)</t>
  </si>
  <si>
    <t>50115067     ZPr - rukavice (Z532)</t>
  </si>
  <si>
    <t>50115070     ZPr - katetry ostatní (Z513)</t>
  </si>
  <si>
    <t>50115079     ZPr - internzivní péče (Z542)</t>
  </si>
  <si>
    <t>50115090     ZPr - zubolékařský materiál (Z509)</t>
  </si>
  <si>
    <t>50116     Potraviny</t>
  </si>
  <si>
    <t>50116001     lůžk. pacienti</t>
  </si>
  <si>
    <t>50116002     lůžk. pacienti nad normu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</si>
  <si>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</si>
  <si>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</si>
  <si>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</si>
  <si>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</si>
  <si>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</si>
  <si>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50117005     údržbový materiál ZVIT (sk.B36,61,62,64)</t>
  </si>
  <si>
    <t>50117009     spotřební materiál k ZPr. (sk.V21)</t>
  </si>
  <si>
    <t>50117015     IT - spotřební materiál (sk. P37, 48)</t>
  </si>
  <si>
    <t>50117020     všeob.mat. - nábytek (V30) do 1tis.</t>
  </si>
  <si>
    <t>50117024     všeob.mat. - ostatní-vyjímky (V44) od 0,01 do 999,99</t>
  </si>
  <si>
    <t>50118     Náhradní díly</t>
  </si>
  <si>
    <t>50118003     ND - ostatní techn.(dispečink)</t>
  </si>
  <si>
    <t>50118004     ND - zdravot.techn.(dispečink)</t>
  </si>
  <si>
    <t>50118005     ND - výpoč. techn.(sklad) (sk.P47)</t>
  </si>
  <si>
    <t>50118006     ND - ZVIT (sk.B63)</t>
  </si>
  <si>
    <t>50119     DDHM a textil</t>
  </si>
  <si>
    <t>50119077     OOPP a prádlo pro zaměstnance (sk.T14)</t>
  </si>
  <si>
    <t>50119090     OOPP pro pacienty a doprovod (sk.T11)</t>
  </si>
  <si>
    <t>50119092     pokojový textil (sk. T15)</t>
  </si>
  <si>
    <t>50119100     jednorázové ochranné pomůcky (sk.T18A)</t>
  </si>
  <si>
    <t>50119101     jednorázový operační materiál (sk.T18B)</t>
  </si>
  <si>
    <t>50119102     jednorázové hygienické potřeby (sk.T18C)</t>
  </si>
  <si>
    <t>50210     Spotřeba energie</t>
  </si>
  <si>
    <t>50210071     elektřina</t>
  </si>
  <si>
    <t>50210072     vodné, stočné</t>
  </si>
  <si>
    <t>50210073     pára</t>
  </si>
  <si>
    <t>51     Služby</t>
  </si>
  <si>
    <t>51102     Technika a stavby</t>
  </si>
  <si>
    <t>51102021     opravy zdravotnické techniky</t>
  </si>
  <si>
    <t>51102023     opravy ostatní techniky</t>
  </si>
  <si>
    <t>51102024     opravy - správa budov</t>
  </si>
  <si>
    <t>51102025     opravy - hl.energetik</t>
  </si>
  <si>
    <t>51201     Cestovné zaměstnanců-tuzemské</t>
  </si>
  <si>
    <t>51201000     cestovné z mezd</t>
  </si>
  <si>
    <t>51201001     cestovné tuzemské - OUC</t>
  </si>
  <si>
    <t>51203     Cestovné zaměstnanců-zahraniční</t>
  </si>
  <si>
    <t>51203000     cestovné zahraniční - mzdy</t>
  </si>
  <si>
    <t>51801     Přepravné</t>
  </si>
  <si>
    <t>51801000     přepravné-lab. vzorky,...</t>
  </si>
  <si>
    <t>51802     Spoje</t>
  </si>
  <si>
    <t>51802001     poštovné</t>
  </si>
  <si>
    <t>51802003     telekom.styk</t>
  </si>
  <si>
    <t>51804     Nájemné</t>
  </si>
  <si>
    <t>51804004     popl. za R a TV, veř. produkce</t>
  </si>
  <si>
    <t>51804005     náj. plynových lahví</t>
  </si>
  <si>
    <t>51806     Úklid, odpad, desinf., deratizace</t>
  </si>
  <si>
    <t>51806001     úklid. služby - paušál</t>
  </si>
  <si>
    <t>51806002     úklid. služby - více práce</t>
  </si>
  <si>
    <t>51806004     popl. za DDD a ostatní služby</t>
  </si>
  <si>
    <t>51808     Revize a smluvní servisy majetku</t>
  </si>
  <si>
    <t>51808007     revize, sml.servis - energetik</t>
  </si>
  <si>
    <t>51808008     revize, tech.kontroly, prev.prohl.- OHM</t>
  </si>
  <si>
    <t>51808009     revize, sml.servis PO - OBKR</t>
  </si>
  <si>
    <t>51808013     revize - kalibrace - metrolog</t>
  </si>
  <si>
    <t>51808018     smluvní servis - OHM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</si>
  <si>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</si>
  <si>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</si>
  <si>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</si>
  <si>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</si>
  <si>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</si>
  <si>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</si>
  <si>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</si>
  <si>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</si>
  <si>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</si>
  <si>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</si>
  <si>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</si>
  <si>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</si>
  <si>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</si>
  <si>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</si>
  <si>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</si>
  <si>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</si>
  <si>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</si>
  <si>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</si>
  <si>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54910003     práce výrobní povahy(výroba klíčů,tabulek)</t>
  </si>
  <si>
    <t>54910008     školení, kongresové poplatky tuzemské - lékaři</t>
  </si>
  <si>
    <t>54910009     školení, kongresové poplatky tuzemské - ost.zdrav.pracov.</t>
  </si>
  <si>
    <t>54910010     školení - nezdrav.pracov.</t>
  </si>
  <si>
    <t>54910011     registrační poplatky - kongresy zahraniční</t>
  </si>
  <si>
    <t>54972     Školení, kongres.popl.tuzemské - lékaři (pouze OPMČ)</t>
  </si>
  <si>
    <t>54972000     školení, kongres.popl.tuzemské - lékaři 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</si>
  <si>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</si>
  <si>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</si>
  <si>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</si>
  <si>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</si>
  <si>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</si>
  <si>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55110013     odpisy DHM - budovy z dotací</t>
  </si>
  <si>
    <t>55110014     odpisy DHM - zdravot.techn. z dotací</t>
  </si>
  <si>
    <t>55120     ZC vyřazeného DM</t>
  </si>
  <si>
    <t>55120004     ZC DHM - zdravot.techn. z odpisů</t>
  </si>
  <si>
    <t>558     Náklady z drobného dlouhodobého majetku</t>
  </si>
  <si>
    <t>55801     DDHM zdravotnický a laboratorní</t>
  </si>
  <si>
    <t>55801001     DDHM - zdravotnické přístroje (sk.N_525)</t>
  </si>
  <si>
    <t>55802     DDHM - provozní</t>
  </si>
  <si>
    <t>55802001     DDHM - kuchyňské zařízení a nádobí (sk.V_26)</t>
  </si>
  <si>
    <t>55802080     DDHM - provozní (věcné dary)</t>
  </si>
  <si>
    <t>55805     DDHM - inventář</t>
  </si>
  <si>
    <t>55805002     DDHM - nábytek (sk.V_31)</t>
  </si>
  <si>
    <t>56     Finanční náklady</t>
  </si>
  <si>
    <t>563     Kurzové ztráty</t>
  </si>
  <si>
    <t>56301     Kurzové ztráty</t>
  </si>
  <si>
    <t>56301000     kurzové ztráty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</si>
  <si>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</si>
  <si>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</si>
  <si>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</si>
  <si>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</si>
  <si>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</si>
  <si>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60210323     zdr.služby - státní orgány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</si>
  <si>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</si>
  <si>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</si>
  <si>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</si>
  <si>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</si>
  <si>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60229     Zdr. výkony - ost. ZP sled.položky  OZPI</t>
  </si>
  <si>
    <t>60229290     výkony pojištěncům EHS</t>
  </si>
  <si>
    <t>60241     Odmítnutí vykázané péče     OZPI</t>
  </si>
  <si>
    <t>60241101     odmítnutí vykázané péče, receptů, poukázek PZt, Tr - VZP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</si>
  <si>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</si>
  <si>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</si>
  <si>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</si>
  <si>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</si>
  <si>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</si>
  <si>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</si>
  <si>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</si>
  <si>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649     Ostatní výnosy z činnosti</t>
  </si>
  <si>
    <t>64908     Ostatní výnosy z činnosti</t>
  </si>
  <si>
    <t>64908000     rozdíly v zaokrouhlení</t>
  </si>
  <si>
    <t>64980     Věcné dary</t>
  </si>
  <si>
    <t>64980001     věcné dary</t>
  </si>
  <si>
    <t>67     Zúčtování rezerva opravných položek finančních výnosů</t>
  </si>
  <si>
    <t>671     Výnosy vybraných vládních institucí z transferů</t>
  </si>
  <si>
    <t>67101     Nein.dotace, příspěvky, granty od zřizovatele</t>
  </si>
  <si>
    <t>67101006     transfery MZ na rezidenční místa</t>
  </si>
  <si>
    <t>7     Účtová třída 7 - Vnitropodnikové účetnictví - náklady</t>
  </si>
  <si>
    <t>79     Vnitropodnikové náklady</t>
  </si>
  <si>
    <t>79902     VPN - ZVIT technická údržba</t>
  </si>
  <si>
    <t>79902000     výkony ZVIT - technická údržba</t>
  </si>
  <si>
    <t>79903     VPN - doprava</t>
  </si>
  <si>
    <t>79903001     výkony dopravy - sanitní</t>
  </si>
  <si>
    <t>79903002     výkony dopravy - osobní</t>
  </si>
  <si>
    <t>79903003     výkony dopravy - nákladní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</si>
  <si>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</si>
  <si>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</si>
  <si>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</si>
  <si>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</si>
  <si>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</si>
  <si>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</si>
  <si>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79920     VPN - mezistřediskové převody</t>
  </si>
  <si>
    <t>79920001     převody - agregované výkony laboratoří</t>
  </si>
  <si>
    <t>79950     VPN - správní režie</t>
  </si>
  <si>
    <t>79950001     režie HTS</t>
  </si>
  <si>
    <t>8     Vnútroorganizačné účtovníctvo</t>
  </si>
  <si>
    <t>89     Vnitropodnikové výnosy</t>
  </si>
  <si>
    <t>899     Vnitropodnikové výnosy</t>
  </si>
  <si>
    <t>89920     VPV - mezistřediskové převody</t>
  </si>
  <si>
    <t>89920001     převody - agregované výkony laboratoří</t>
  </si>
  <si>
    <t>59</t>
  </si>
  <si>
    <t>Oddělení intenzivní péče chirurgických oborů</t>
  </si>
  <si>
    <t/>
  </si>
  <si>
    <t>Oddělení intenzivní péče chirurgických oborů Celkem</t>
  </si>
  <si>
    <t>SumaKL</t>
  </si>
  <si>
    <t>5931</t>
  </si>
  <si>
    <t>JIP 51</t>
  </si>
  <si>
    <t>JIP 51 Celkem</t>
  </si>
  <si>
    <t>SumaNS</t>
  </si>
  <si>
    <t>mezeraNS</t>
  </si>
  <si>
    <t>50113001</t>
  </si>
  <si>
    <t>185160</t>
  </si>
  <si>
    <t>85160</t>
  </si>
  <si>
    <t>PRENESSA 4 MG</t>
  </si>
  <si>
    <t>POR TBL NOB 30X4MG</t>
  </si>
  <si>
    <t>117173</t>
  </si>
  <si>
    <t>17173</t>
  </si>
  <si>
    <t>OLYNTH 0.1%</t>
  </si>
  <si>
    <t>NAS SPR SOL 1X10ML</t>
  </si>
  <si>
    <t>185526</t>
  </si>
  <si>
    <t>85526</t>
  </si>
  <si>
    <t>SUFENTA FORTE I.V.</t>
  </si>
  <si>
    <t>INJ 5X1ML/0.05MG</t>
  </si>
  <si>
    <t>117172</t>
  </si>
  <si>
    <t>17172</t>
  </si>
  <si>
    <t>OLYNTH 0.05%</t>
  </si>
  <si>
    <t>142952</t>
  </si>
  <si>
    <t>42952</t>
  </si>
  <si>
    <t>XYZAL</t>
  </si>
  <si>
    <t>POR TBL FLM 14X5MG</t>
  </si>
  <si>
    <t>135002</t>
  </si>
  <si>
    <t>ELICEA 5 MG</t>
  </si>
  <si>
    <t>POR TBL FLM 28X5MG</t>
  </si>
  <si>
    <t>198757</t>
  </si>
  <si>
    <t>MIDAZOLAM B. BRAUN 1 MG/ML</t>
  </si>
  <si>
    <t>INJ+RCT SOL 10X50ML</t>
  </si>
  <si>
    <t>169251</t>
  </si>
  <si>
    <t>TROMBEX 75 MG POTAHOVANÉ TABLETY</t>
  </si>
  <si>
    <t>POR TBL FLM 30X75MG</t>
  </si>
  <si>
    <t>132853</t>
  </si>
  <si>
    <t>AULIN</t>
  </si>
  <si>
    <t>POR TBL NOB 30X100MG</t>
  </si>
  <si>
    <t>847627</t>
  </si>
  <si>
    <t>134502</t>
  </si>
  <si>
    <t>ELICEA 10 MG</t>
  </si>
  <si>
    <t>POR TBL FLM 28X10MG</t>
  </si>
  <si>
    <t>O</t>
  </si>
  <si>
    <t>51366</t>
  </si>
  <si>
    <t>CHLORID SODNÝ 0,9% BRAUN</t>
  </si>
  <si>
    <t>INF SOL 20X100MLPELAH</t>
  </si>
  <si>
    <t>31915</t>
  </si>
  <si>
    <t>GLUKÓZA 10 BRAUN</t>
  </si>
  <si>
    <t>INF SOL 10X500ML-PE</t>
  </si>
  <si>
    <t>47244</t>
  </si>
  <si>
    <t>GLUKÓZA 5 BRAUN</t>
  </si>
  <si>
    <t>47249</t>
  </si>
  <si>
    <t>INF SOL 10X250ML-PE</t>
  </si>
  <si>
    <t>51367</t>
  </si>
  <si>
    <t>INF SOL 10X250MLPELAH</t>
  </si>
  <si>
    <t>51383</t>
  </si>
  <si>
    <t>INF SOL 10X500MLPELAH</t>
  </si>
  <si>
    <t>100168</t>
  </si>
  <si>
    <t>168</t>
  </si>
  <si>
    <t>HYDROCHLOROTHIAZID LECIVA</t>
  </si>
  <si>
    <t>TBL 20X25MG</t>
  </si>
  <si>
    <t>100362</t>
  </si>
  <si>
    <t>362</t>
  </si>
  <si>
    <t>ADRENALIN LECIVA</t>
  </si>
  <si>
    <t>INJ 5X1ML/1MG</t>
  </si>
  <si>
    <t>100498</t>
  </si>
  <si>
    <t>498</t>
  </si>
  <si>
    <t>MAGNESIUM SULFURICUM BIOTIKA</t>
  </si>
  <si>
    <t>INJ 5X10ML 10%</t>
  </si>
  <si>
    <t>100499</t>
  </si>
  <si>
    <t>499</t>
  </si>
  <si>
    <t>INJ 5X10ML 20%</t>
  </si>
  <si>
    <t>100502</t>
  </si>
  <si>
    <t>502</t>
  </si>
  <si>
    <t>MESOCAIN</t>
  </si>
  <si>
    <t>INJ 10X10ML 1%</t>
  </si>
  <si>
    <t>100610</t>
  </si>
  <si>
    <t>610</t>
  </si>
  <si>
    <t>SYNTOPHYLLIN</t>
  </si>
  <si>
    <t>INJ 5X10ML/240MG</t>
  </si>
  <si>
    <t>100643</t>
  </si>
  <si>
    <t>643</t>
  </si>
  <si>
    <t>VITAMIN B12 LECIVA 1000RG</t>
  </si>
  <si>
    <t>INJ 5X1ML/1000RG</t>
  </si>
  <si>
    <t>100802</t>
  </si>
  <si>
    <t>1000</t>
  </si>
  <si>
    <t>IR OG. OPHTHALMO-SEPTONEX</t>
  </si>
  <si>
    <t>GTT OPH 1X10ML</t>
  </si>
  <si>
    <t>100843</t>
  </si>
  <si>
    <t>843</t>
  </si>
  <si>
    <t>DERMAZULEN</t>
  </si>
  <si>
    <t>UNG 1X30GM</t>
  </si>
  <si>
    <t>100876</t>
  </si>
  <si>
    <t>876</t>
  </si>
  <si>
    <t>OPHTHALMO-SEPTONEX</t>
  </si>
  <si>
    <t>UNG OPH 1X5GM</t>
  </si>
  <si>
    <t>100889</t>
  </si>
  <si>
    <t>889</t>
  </si>
  <si>
    <t>PITYOL</t>
  </si>
  <si>
    <t>101125</t>
  </si>
  <si>
    <t>1125</t>
  </si>
  <si>
    <t>MORPHIN BIOTIKA 1%</t>
  </si>
  <si>
    <t>INJ 10X1ML/10MG</t>
  </si>
  <si>
    <t>102133</t>
  </si>
  <si>
    <t>2133</t>
  </si>
  <si>
    <t>FUROSEMID BIOTIKA</t>
  </si>
  <si>
    <t>INJ 5X2ML/20MG</t>
  </si>
  <si>
    <t>102420</t>
  </si>
  <si>
    <t>2420</t>
  </si>
  <si>
    <t>PANCREOLAN FORTE</t>
  </si>
  <si>
    <t>TBL ENT 30X220MG</t>
  </si>
  <si>
    <t>102478</t>
  </si>
  <si>
    <t>2478</t>
  </si>
  <si>
    <t>DIAZEPAM SLOVAKOFARMA</t>
  </si>
  <si>
    <t>TBL 20X10MG</t>
  </si>
  <si>
    <t>102479</t>
  </si>
  <si>
    <t>2479</t>
  </si>
  <si>
    <t>DITHIADEN</t>
  </si>
  <si>
    <t>TBL 20X2MG</t>
  </si>
  <si>
    <t>102538</t>
  </si>
  <si>
    <t>2538</t>
  </si>
  <si>
    <t>HALOPERIDOL</t>
  </si>
  <si>
    <t>INJ 5X1ML/5MG</t>
  </si>
  <si>
    <t>102679</t>
  </si>
  <si>
    <t>2679</t>
  </si>
  <si>
    <t>BERODUAL N</t>
  </si>
  <si>
    <t>INH SOL PSS 200DÁV</t>
  </si>
  <si>
    <t>103542</t>
  </si>
  <si>
    <t>3542</t>
  </si>
  <si>
    <t>DIGOXIN 0.250 LECIVA</t>
  </si>
  <si>
    <t>TBL 30X0.25MG</t>
  </si>
  <si>
    <t>103575</t>
  </si>
  <si>
    <t>3575</t>
  </si>
  <si>
    <t>HEPAROID LECIVA</t>
  </si>
  <si>
    <t>103688</t>
  </si>
  <si>
    <t>3688</t>
  </si>
  <si>
    <t>SUPPOSITORIA GLYCERINI LECIVA</t>
  </si>
  <si>
    <t>SUP 10X2.35GM</t>
  </si>
  <si>
    <t>104343</t>
  </si>
  <si>
    <t>4343</t>
  </si>
  <si>
    <t>PARALEN</t>
  </si>
  <si>
    <t>SUP 5X500MG</t>
  </si>
  <si>
    <t>107981</t>
  </si>
  <si>
    <t>7981</t>
  </si>
  <si>
    <t>NOVALGIN</t>
  </si>
  <si>
    <t>INJ 10X2ML/1000MG</t>
  </si>
  <si>
    <t>109159</t>
  </si>
  <si>
    <t>9159</t>
  </si>
  <si>
    <t>HYLAK FORTE</t>
  </si>
  <si>
    <t>GTT 1X100ML</t>
  </si>
  <si>
    <t>110151</t>
  </si>
  <si>
    <t>10151</t>
  </si>
  <si>
    <t>LOPERON CPS</t>
  </si>
  <si>
    <t>POR CPS DUR 10X2MG</t>
  </si>
  <si>
    <t>110252</t>
  </si>
  <si>
    <t>10252</t>
  </si>
  <si>
    <t>CAVINTON FORTE</t>
  </si>
  <si>
    <t>POR TBL NOB 30X10MG</t>
  </si>
  <si>
    <t>111671</t>
  </si>
  <si>
    <t>11671</t>
  </si>
  <si>
    <t>PLASMALYTE ROZTOK</t>
  </si>
  <si>
    <t>INF SOL 10X1000ML</t>
  </si>
  <si>
    <t>111696</t>
  </si>
  <si>
    <t>11696</t>
  </si>
  <si>
    <t>PLASMALYTE ROZTOK S GLUKOZOU 5%</t>
  </si>
  <si>
    <t>116462</t>
  </si>
  <si>
    <t>16462</t>
  </si>
  <si>
    <t>EXCIPIAL U LIPOLOTIO</t>
  </si>
  <si>
    <t>DRM EML 1X200ML</t>
  </si>
  <si>
    <t>117189</t>
  </si>
  <si>
    <t>17189</t>
  </si>
  <si>
    <t>KALIUM CHLORATUM BIOMEDICA</t>
  </si>
  <si>
    <t>POR TBLFLM100X500MG</t>
  </si>
  <si>
    <t>117992</t>
  </si>
  <si>
    <t>17992</t>
  </si>
  <si>
    <t>MAGNESII LACTICI 0.5 TBL.MVM</t>
  </si>
  <si>
    <t>PORTBLNOB100X0.5GM</t>
  </si>
  <si>
    <t>118304</t>
  </si>
  <si>
    <t>18304</t>
  </si>
  <si>
    <t>RINGERFUNDIN B.BRAUN</t>
  </si>
  <si>
    <t>INF SOL 10X500ML PE</t>
  </si>
  <si>
    <t>124067</t>
  </si>
  <si>
    <t>HYDROCORTISON VUAB 100 MG</t>
  </si>
  <si>
    <t>INJ PLV SOL 1X100MG</t>
  </si>
  <si>
    <t>125365</t>
  </si>
  <si>
    <t>115317</t>
  </si>
  <si>
    <t>HELICID 20 ZENTIVA</t>
  </si>
  <si>
    <t>POR CPS ETD 28X20MG</t>
  </si>
  <si>
    <t>126578</t>
  </si>
  <si>
    <t>26578</t>
  </si>
  <si>
    <t>MICARDISPLUS 80/12.5 MG</t>
  </si>
  <si>
    <t>POR TBL NOB 28</t>
  </si>
  <si>
    <t>129384</t>
  </si>
  <si>
    <t>29384</t>
  </si>
  <si>
    <t>MICARDISPLUS 80/25 MG</t>
  </si>
  <si>
    <t>132225</t>
  </si>
  <si>
    <t>32225</t>
  </si>
  <si>
    <t>BETALOC ZOK 25 MG</t>
  </si>
  <si>
    <t>TBL RET 28X25MG</t>
  </si>
  <si>
    <t>145273</t>
  </si>
  <si>
    <t>45273</t>
  </si>
  <si>
    <t>ENAP 5MG</t>
  </si>
  <si>
    <t>TBL 30X5MG</t>
  </si>
  <si>
    <t>145310</t>
  </si>
  <si>
    <t>45310</t>
  </si>
  <si>
    <t>ANACID</t>
  </si>
  <si>
    <t>SUS 12X5ML(SACKY)</t>
  </si>
  <si>
    <t>146964</t>
  </si>
  <si>
    <t>46964</t>
  </si>
  <si>
    <t>RISPERDAL 1MG</t>
  </si>
  <si>
    <t>TBL OBD 20X1MG</t>
  </si>
  <si>
    <t>146981</t>
  </si>
  <si>
    <t>46981</t>
  </si>
  <si>
    <t>BETALOC SR 200MG</t>
  </si>
  <si>
    <t>TBL RET 30X200MG</t>
  </si>
  <si>
    <t>147476</t>
  </si>
  <si>
    <t>47476</t>
  </si>
  <si>
    <t>LORADUR</t>
  </si>
  <si>
    <t>POR TBL NOB 50</t>
  </si>
  <si>
    <t>148578</t>
  </si>
  <si>
    <t>48578</t>
  </si>
  <si>
    <t>TIAPRIDAL</t>
  </si>
  <si>
    <t>POR TBLNOB 50X100MG</t>
  </si>
  <si>
    <t>149317</t>
  </si>
  <si>
    <t>49317</t>
  </si>
  <si>
    <t>CALCIUM GLUCONICUM 10% B.BRAUN</t>
  </si>
  <si>
    <t>INJ SOL 20X10ML</t>
  </si>
  <si>
    <t>155823</t>
  </si>
  <si>
    <t>55823</t>
  </si>
  <si>
    <t>TBL OBD 20X500MG</t>
  </si>
  <si>
    <t>158746</t>
  </si>
  <si>
    <t>58746</t>
  </si>
  <si>
    <t>KARDEGIC 0.5 G</t>
  </si>
  <si>
    <t>INJ PSO LQF 6+SOL</t>
  </si>
  <si>
    <t>162320</t>
  </si>
  <si>
    <t>62320</t>
  </si>
  <si>
    <t>BETADINE</t>
  </si>
  <si>
    <t>UNG 1X20GM</t>
  </si>
  <si>
    <t>164881</t>
  </si>
  <si>
    <t>64881</t>
  </si>
  <si>
    <t>BEROTEC N 100 MCG</t>
  </si>
  <si>
    <t>INH SOL PSS200 DAV</t>
  </si>
  <si>
    <t>166555</t>
  </si>
  <si>
    <t>66555</t>
  </si>
  <si>
    <t>MAGNOSOLV</t>
  </si>
  <si>
    <t>GRA 30X6.1GM(SACKY)</t>
  </si>
  <si>
    <t>169654</t>
  </si>
  <si>
    <t>KAPIDIN 20 MG</t>
  </si>
  <si>
    <t>POR TBL FLM 30X20MG</t>
  </si>
  <si>
    <t>176496</t>
  </si>
  <si>
    <t>76496</t>
  </si>
  <si>
    <t>BERODUAL</t>
  </si>
  <si>
    <t>INH LIQ 1X20ML</t>
  </si>
  <si>
    <t>183272</t>
  </si>
  <si>
    <t>215478</t>
  </si>
  <si>
    <t>EBRANTIL 60 RETARD</t>
  </si>
  <si>
    <t>POR CPS PRO 50X60MG</t>
  </si>
  <si>
    <t>183318</t>
  </si>
  <si>
    <t>83318</t>
  </si>
  <si>
    <t>DIGOXIN 0.125 LECIVA</t>
  </si>
  <si>
    <t>TBL 30X0.125MG</t>
  </si>
  <si>
    <t>183974</t>
  </si>
  <si>
    <t>83974</t>
  </si>
  <si>
    <t>BETALOC</t>
  </si>
  <si>
    <t>INJ 5X5ML/5MG</t>
  </si>
  <si>
    <t>184090</t>
  </si>
  <si>
    <t>84090</t>
  </si>
  <si>
    <t>DEXAMED</t>
  </si>
  <si>
    <t>INJ 10X2ML/8MG</t>
  </si>
  <si>
    <t>184292</t>
  </si>
  <si>
    <t>CONCOR COMBI 10 MG/5 MG</t>
  </si>
  <si>
    <t>POR TBL NOB 30</t>
  </si>
  <si>
    <t>184360</t>
  </si>
  <si>
    <t>84360</t>
  </si>
  <si>
    <t>TENAXUM</t>
  </si>
  <si>
    <t>TBL 30X1MG</t>
  </si>
  <si>
    <t>184700</t>
  </si>
  <si>
    <t>84700</t>
  </si>
  <si>
    <t>OTOBACID N</t>
  </si>
  <si>
    <t>AUR GTT SOL 1X5ML</t>
  </si>
  <si>
    <t>185656</t>
  </si>
  <si>
    <t>85656</t>
  </si>
  <si>
    <t>DORSIFLEX</t>
  </si>
  <si>
    <t>TBL 30X200MG</t>
  </si>
  <si>
    <t>187076</t>
  </si>
  <si>
    <t>87076</t>
  </si>
  <si>
    <t>ERDOMED 300MG</t>
  </si>
  <si>
    <t>CPS 20X300MG</t>
  </si>
  <si>
    <t>188217</t>
  </si>
  <si>
    <t>88217</t>
  </si>
  <si>
    <t>LEXAURIN</t>
  </si>
  <si>
    <t>TBL 30X1.5MG</t>
  </si>
  <si>
    <t>188356</t>
  </si>
  <si>
    <t>88356</t>
  </si>
  <si>
    <t>CARDILAN</t>
  </si>
  <si>
    <t>TBL 100X175MG</t>
  </si>
  <si>
    <t>191836</t>
  </si>
  <si>
    <t>91836</t>
  </si>
  <si>
    <t>TORECAN</t>
  </si>
  <si>
    <t>INJ 5X1ML/6.5MG</t>
  </si>
  <si>
    <t>192351</t>
  </si>
  <si>
    <t>92351</t>
  </si>
  <si>
    <t>ATROVENT 0.025%</t>
  </si>
  <si>
    <t>INH SOL 1X20ML</t>
  </si>
  <si>
    <t>192729</t>
  </si>
  <si>
    <t>92729</t>
  </si>
  <si>
    <t>ACIDUM ASCORBICUM</t>
  </si>
  <si>
    <t>INJ 5X5ML</t>
  </si>
  <si>
    <t>192853</t>
  </si>
  <si>
    <t>POR CPS DUR 20X2MG</t>
  </si>
  <si>
    <t>193104</t>
  </si>
  <si>
    <t>93104</t>
  </si>
  <si>
    <t>DEGAN</t>
  </si>
  <si>
    <t>TBL 40X10MG</t>
  </si>
  <si>
    <t>193105</t>
  </si>
  <si>
    <t>93105</t>
  </si>
  <si>
    <t>INJ 50X2ML/10MG</t>
  </si>
  <si>
    <t>193746</t>
  </si>
  <si>
    <t>93746</t>
  </si>
  <si>
    <t>HEPARIN LECIVA</t>
  </si>
  <si>
    <t>INJ 1X10ML/50KU</t>
  </si>
  <si>
    <t>196635</t>
  </si>
  <si>
    <t>96635</t>
  </si>
  <si>
    <t>MAGNE B6</t>
  </si>
  <si>
    <t>DRG 50</t>
  </si>
  <si>
    <t>197026</t>
  </si>
  <si>
    <t>97026</t>
  </si>
  <si>
    <t>ENELBIN RETARD</t>
  </si>
  <si>
    <t>TBL OBD 50X100MG</t>
  </si>
  <si>
    <t>197402</t>
  </si>
  <si>
    <t>97402</t>
  </si>
  <si>
    <t>SORBIFER DURULES</t>
  </si>
  <si>
    <t>TBL FC 50X100MG</t>
  </si>
  <si>
    <t>199333</t>
  </si>
  <si>
    <t>99333</t>
  </si>
  <si>
    <t>FUROSEMID BIOTIKA FORTE</t>
  </si>
  <si>
    <t>INJ 10X10ML/125MG</t>
  </si>
  <si>
    <t>500618</t>
  </si>
  <si>
    <t>125753</t>
  </si>
  <si>
    <t xml:space="preserve">Essentiale Forte N </t>
  </si>
  <si>
    <t>por.cps.dur.100</t>
  </si>
  <si>
    <t>840220</t>
  </si>
  <si>
    <t>0</t>
  </si>
  <si>
    <t>Lactobacillus acidophil.cps.75 bez laktózy</t>
  </si>
  <si>
    <t>841535</t>
  </si>
  <si>
    <t>MENALIND Kožní ochranný krém 200 ml</t>
  </si>
  <si>
    <t>841572</t>
  </si>
  <si>
    <t>MENALIND Ubrousky 50ks náhradní náplň</t>
  </si>
  <si>
    <t>843905</t>
  </si>
  <si>
    <t>103391</t>
  </si>
  <si>
    <t>MUCOSOLVAN</t>
  </si>
  <si>
    <t>POR GTT SOL+INH SOL 60ML</t>
  </si>
  <si>
    <t>844831</t>
  </si>
  <si>
    <t>DIGOXIN ORION INJ.-MIMOŘÁDNÝ DOVOZ!!</t>
  </si>
  <si>
    <t>INJ SOL 25X1ML/0.25MG</t>
  </si>
  <si>
    <t>844960</t>
  </si>
  <si>
    <t>125114</t>
  </si>
  <si>
    <t>ANOPYRIN 100MG</t>
  </si>
  <si>
    <t>TBL 60X100 MG</t>
  </si>
  <si>
    <t>845008</t>
  </si>
  <si>
    <t>107806</t>
  </si>
  <si>
    <t>AESCIN-TEVA</t>
  </si>
  <si>
    <t>845108</t>
  </si>
  <si>
    <t>125595</t>
  </si>
  <si>
    <t>VALSACOR 160 MG</t>
  </si>
  <si>
    <t>POR TBL FLM 28X160MG</t>
  </si>
  <si>
    <t>845369</t>
  </si>
  <si>
    <t>107987</t>
  </si>
  <si>
    <t>ANALGIN</t>
  </si>
  <si>
    <t>INJ SOL 5X5ML</t>
  </si>
  <si>
    <t>845758</t>
  </si>
  <si>
    <t>280</t>
  </si>
  <si>
    <t>PYRIDOXIN LÉČIVA TBL</t>
  </si>
  <si>
    <t xml:space="preserve">POR TBL NOB 20X20MG </t>
  </si>
  <si>
    <t>846758</t>
  </si>
  <si>
    <t>103387</t>
  </si>
  <si>
    <t>ACC INJEKT</t>
  </si>
  <si>
    <t>INJ SOL 5X3ML/300MG</t>
  </si>
  <si>
    <t>847713</t>
  </si>
  <si>
    <t>125526</t>
  </si>
  <si>
    <t>APO-IBUPROFEN 400 MG</t>
  </si>
  <si>
    <t>POR TBL FLM 100X400MG</t>
  </si>
  <si>
    <t>848632</t>
  </si>
  <si>
    <t>125315</t>
  </si>
  <si>
    <t>INJ SOL 12X2ML/100MG</t>
  </si>
  <si>
    <t>849561</t>
  </si>
  <si>
    <t>125060</t>
  </si>
  <si>
    <t>APO-AMLO 5</t>
  </si>
  <si>
    <t>POR TBL NOB 30X5MG</t>
  </si>
  <si>
    <t>849713</t>
  </si>
  <si>
    <t>125046</t>
  </si>
  <si>
    <t>APO-AMLO 10</t>
  </si>
  <si>
    <t>905097</t>
  </si>
  <si>
    <t>158767</t>
  </si>
  <si>
    <t>DZ OCTENISEPT 250 ml</t>
  </si>
  <si>
    <t>sprej</t>
  </si>
  <si>
    <t>930065</t>
  </si>
  <si>
    <t>DZ PRONTOSAN ROZTOK 350ml</t>
  </si>
  <si>
    <t>987464</t>
  </si>
  <si>
    <t>Menalind Professional čistící pěna 400ml</t>
  </si>
  <si>
    <t>988179</t>
  </si>
  <si>
    <t>SUPP.GLYCERINI SANOVA Glycerín.čípky Extra 3g 10ks</t>
  </si>
  <si>
    <t>988466</t>
  </si>
  <si>
    <t>NO-SPA</t>
  </si>
  <si>
    <t>POR TBL NOB 24X40MG</t>
  </si>
  <si>
    <t>51384</t>
  </si>
  <si>
    <t>INF SOL 10X1000MLPLAH</t>
  </si>
  <si>
    <t>53761</t>
  </si>
  <si>
    <t>NEBILET</t>
  </si>
  <si>
    <t>POR TBL NOB 28X5MG</t>
  </si>
  <si>
    <t>100489</t>
  </si>
  <si>
    <t>489</t>
  </si>
  <si>
    <t>KANAVIT</t>
  </si>
  <si>
    <t>INJ 5X1ML/10MG</t>
  </si>
  <si>
    <t>100513</t>
  </si>
  <si>
    <t>513</t>
  </si>
  <si>
    <t>NATRIUM CHLORATUM BIOTIKA 10%</t>
  </si>
  <si>
    <t>100536</t>
  </si>
  <si>
    <t>536</t>
  </si>
  <si>
    <t>NORADRENALIN LECIVA</t>
  </si>
  <si>
    <t>100612</t>
  </si>
  <si>
    <t>612</t>
  </si>
  <si>
    <t>SYNTOSTIGMIN</t>
  </si>
  <si>
    <t>INJ 10X1ML/0.5MG</t>
  </si>
  <si>
    <t>102429</t>
  </si>
  <si>
    <t>2429</t>
  </si>
  <si>
    <t>TISERCIN</t>
  </si>
  <si>
    <t>TBL OBD 50X25MG</t>
  </si>
  <si>
    <t>102546</t>
  </si>
  <si>
    <t>2546</t>
  </si>
  <si>
    <t>MAXITROL</t>
  </si>
  <si>
    <t>SUS OPH 1X5ML</t>
  </si>
  <si>
    <t>110086</t>
  </si>
  <si>
    <t>10086</t>
  </si>
  <si>
    <t>NEODOLPASSE</t>
  </si>
  <si>
    <t>INF 10X250ML</t>
  </si>
  <si>
    <t>111063</t>
  </si>
  <si>
    <t>11063</t>
  </si>
  <si>
    <t>IBALGIN 600 (IBUPROFEN 600)</t>
  </si>
  <si>
    <t>TBL OBD 30X600MG</t>
  </si>
  <si>
    <t>111337</t>
  </si>
  <si>
    <t>52421</t>
  </si>
  <si>
    <t>GERATAM 3 G</t>
  </si>
  <si>
    <t>INJ SOL 4X15ML/3GM</t>
  </si>
  <si>
    <t>118305</t>
  </si>
  <si>
    <t>18305</t>
  </si>
  <si>
    <t>INF SOL10X1000ML PE</t>
  </si>
  <si>
    <t>125362</t>
  </si>
  <si>
    <t>25362</t>
  </si>
  <si>
    <t>HELICID 10 ZENTIVA</t>
  </si>
  <si>
    <t>POR CPS ETD 28X10MG</t>
  </si>
  <si>
    <t>145981</t>
  </si>
  <si>
    <t>45981</t>
  </si>
  <si>
    <t>CERNEVIT</t>
  </si>
  <si>
    <t>INJ PLV SOL10X750MG</t>
  </si>
  <si>
    <t>157866</t>
  </si>
  <si>
    <t>57866</t>
  </si>
  <si>
    <t>TOBRADEX</t>
  </si>
  <si>
    <t>GTT OPH 1X5ML</t>
  </si>
  <si>
    <t>158287</t>
  </si>
  <si>
    <t>58287</t>
  </si>
  <si>
    <t>ADDAMEL N</t>
  </si>
  <si>
    <t>INF CNC 20X10ML</t>
  </si>
  <si>
    <t>159357</t>
  </si>
  <si>
    <t>59357</t>
  </si>
  <si>
    <t>RINGERUV ROZTOK BRAUN</t>
  </si>
  <si>
    <t>INF 10X500ML(LDPE)</t>
  </si>
  <si>
    <t>159940</t>
  </si>
  <si>
    <t>59940</t>
  </si>
  <si>
    <t>SMECTA</t>
  </si>
  <si>
    <t>PLV POR 1X10SACKU</t>
  </si>
  <si>
    <t>172564</t>
  </si>
  <si>
    <t>72564</t>
  </si>
  <si>
    <t>SEROPRAM</t>
  </si>
  <si>
    <t>INF 5X0.5ML/20MG</t>
  </si>
  <si>
    <t>185733</t>
  </si>
  <si>
    <t>85733</t>
  </si>
  <si>
    <t>ISOKET LOSUNG 0.1% PRO INFUS.</t>
  </si>
  <si>
    <t>INJ PRO INF 10X10ML</t>
  </si>
  <si>
    <t>189244</t>
  </si>
  <si>
    <t>89244</t>
  </si>
  <si>
    <t>AQUA PRO INJECTIONE ARDEAPHARMA</t>
  </si>
  <si>
    <t>INF 1X250ML</t>
  </si>
  <si>
    <t>191731</t>
  </si>
  <si>
    <t>91731</t>
  </si>
  <si>
    <t>PROSTAVASIN</t>
  </si>
  <si>
    <t>INJ SIC 10X20RG</t>
  </si>
  <si>
    <t>192757</t>
  </si>
  <si>
    <t>92757</t>
  </si>
  <si>
    <t>CPS 10X300MG</t>
  </si>
  <si>
    <t>193724</t>
  </si>
  <si>
    <t>93724</t>
  </si>
  <si>
    <t>INDOMETACIN 100 BERLIN-CHEMIE</t>
  </si>
  <si>
    <t>SUP 10X100MG</t>
  </si>
  <si>
    <t>194919</t>
  </si>
  <si>
    <t>94919</t>
  </si>
  <si>
    <t>AMBROBENE 7.5MG/ML</t>
  </si>
  <si>
    <t>SOL 1X40ML</t>
  </si>
  <si>
    <t>194920</t>
  </si>
  <si>
    <t>94920</t>
  </si>
  <si>
    <t>SOL 1X100ML</t>
  </si>
  <si>
    <t>196610</t>
  </si>
  <si>
    <t>96610</t>
  </si>
  <si>
    <t>APAURIN</t>
  </si>
  <si>
    <t>INJ 10X2ML/10MG</t>
  </si>
  <si>
    <t>394130</t>
  </si>
  <si>
    <t>B-komplex Zentiva 30drg</t>
  </si>
  <si>
    <t>841541</t>
  </si>
  <si>
    <t>MENALIND Mycí emulze 500ml</t>
  </si>
  <si>
    <t>845329</t>
  </si>
  <si>
    <t>Biopron9 tob.60</t>
  </si>
  <si>
    <t>848802</t>
  </si>
  <si>
    <t>163138</t>
  </si>
  <si>
    <t>FLAVOBION</t>
  </si>
  <si>
    <t>POR TBL FLM 50X70MG</t>
  </si>
  <si>
    <t>849276</t>
  </si>
  <si>
    <t>155875</t>
  </si>
  <si>
    <t>TRENTAL</t>
  </si>
  <si>
    <t>INF SOL 5X5ML/100MG</t>
  </si>
  <si>
    <t>102684</t>
  </si>
  <si>
    <t>2684</t>
  </si>
  <si>
    <t>GEL 1X20GM</t>
  </si>
  <si>
    <t>104071</t>
  </si>
  <si>
    <t>4071</t>
  </si>
  <si>
    <t>INJ 10X2ML</t>
  </si>
  <si>
    <t>109210</t>
  </si>
  <si>
    <t>9210</t>
  </si>
  <si>
    <t>LEKOPTIN</t>
  </si>
  <si>
    <t>INJ 50X2ML/5MG</t>
  </si>
  <si>
    <t>165633</t>
  </si>
  <si>
    <t>165751</t>
  </si>
  <si>
    <t>GELASPAN 4% EBI20x500 ml</t>
  </si>
  <si>
    <t>INF SOL20X500ML VAK</t>
  </si>
  <si>
    <t>47706</t>
  </si>
  <si>
    <t>GLUKÓZA 20 BRAUN</t>
  </si>
  <si>
    <t>100409</t>
  </si>
  <si>
    <t>409</t>
  </si>
  <si>
    <t>CALCIUM CHLORATUM BIOTIKA</t>
  </si>
  <si>
    <t>100874</t>
  </si>
  <si>
    <t>874</t>
  </si>
  <si>
    <t>OPHTHALMO-AZULEN</t>
  </si>
  <si>
    <t>104344</t>
  </si>
  <si>
    <t>4344</t>
  </si>
  <si>
    <t>HYPNOMIDATE</t>
  </si>
  <si>
    <t>INJ 5X10ML/20MG</t>
  </si>
  <si>
    <t>118175</t>
  </si>
  <si>
    <t>18175</t>
  </si>
  <si>
    <t>PROPOFOL 1% MCT/LCT FRESENIUS</t>
  </si>
  <si>
    <t>INJ EML 10X100ML</t>
  </si>
  <si>
    <t>119757</t>
  </si>
  <si>
    <t>19757</t>
  </si>
  <si>
    <t>BELODERM</t>
  </si>
  <si>
    <t>DRM UNG1X30GM 0.05%</t>
  </si>
  <si>
    <t>142595</t>
  </si>
  <si>
    <t>42595</t>
  </si>
  <si>
    <t>VITALIPID N ADULT</t>
  </si>
  <si>
    <t>INF CNC SOL 10X10ML</t>
  </si>
  <si>
    <t>162597</t>
  </si>
  <si>
    <t>62597</t>
  </si>
  <si>
    <t>ENAP I.V.</t>
  </si>
  <si>
    <t>INJ 5X1ML/1.25MG</t>
  </si>
  <si>
    <t>187822</t>
  </si>
  <si>
    <t>87822</t>
  </si>
  <si>
    <t>ARDUAN</t>
  </si>
  <si>
    <t>INJ SIC 25X4MG+2ML</t>
  </si>
  <si>
    <t>194852</t>
  </si>
  <si>
    <t>94852</t>
  </si>
  <si>
    <t>SOLUVIT N PRO INFUS.</t>
  </si>
  <si>
    <t>INJ SIC 10</t>
  </si>
  <si>
    <t>194916</t>
  </si>
  <si>
    <t>94916</t>
  </si>
  <si>
    <t>AMBROBENE</t>
  </si>
  <si>
    <t>INJ 5X2ML/15MG</t>
  </si>
  <si>
    <t>500280</t>
  </si>
  <si>
    <t>159836</t>
  </si>
  <si>
    <t>Propanorm 35mg/10ml inj.10 x 10 ml/35mg</t>
  </si>
  <si>
    <t>843740</t>
  </si>
  <si>
    <t>AVIRIL Dětský zásyp s azulenem sypačka</t>
  </si>
  <si>
    <t>902087</t>
  </si>
  <si>
    <t>IR  CITRALYSAT K2 5000 ml</t>
  </si>
  <si>
    <t>dialys.rozt.</t>
  </si>
  <si>
    <t>921458</t>
  </si>
  <si>
    <t>KL ETHER 200G</t>
  </si>
  <si>
    <t>162317</t>
  </si>
  <si>
    <t>62317</t>
  </si>
  <si>
    <t>BETADINE - zelená</t>
  </si>
  <si>
    <t>LIQ 1X1000ML</t>
  </si>
  <si>
    <t>850095</t>
  </si>
  <si>
    <t>120406</t>
  </si>
  <si>
    <t>THIOPENTAL VUAB INJ. PLV. SOL. 0,5 G</t>
  </si>
  <si>
    <t>INJ PLV SOL 1X0.5GM</t>
  </si>
  <si>
    <t>100407</t>
  </si>
  <si>
    <t>407</t>
  </si>
  <si>
    <t>CALCIUM BIOTIKA</t>
  </si>
  <si>
    <t>INJ 10X10ML/1GM</t>
  </si>
  <si>
    <t>900321</t>
  </si>
  <si>
    <t>KL PRIPRAVEK</t>
  </si>
  <si>
    <t>100512</t>
  </si>
  <si>
    <t>512</t>
  </si>
  <si>
    <t>INJ 10X5ML 10%</t>
  </si>
  <si>
    <t>101127</t>
  </si>
  <si>
    <t>1127</t>
  </si>
  <si>
    <t>INJ 10X2ML/20MG</t>
  </si>
  <si>
    <t>102957</t>
  </si>
  <si>
    <t>2957</t>
  </si>
  <si>
    <t>PRESID 5 MG</t>
  </si>
  <si>
    <t>TBL RET 30X5MG</t>
  </si>
  <si>
    <t>114926</t>
  </si>
  <si>
    <t>14926</t>
  </si>
  <si>
    <t>INHIBACE 2.5 MG</t>
  </si>
  <si>
    <t>POR TBL FLM28X2.5MG</t>
  </si>
  <si>
    <t>117011</t>
  </si>
  <si>
    <t>17011</t>
  </si>
  <si>
    <t>DICYNONE 250</t>
  </si>
  <si>
    <t>INJ SOL 4X2ML/250MG</t>
  </si>
  <si>
    <t>126502</t>
  </si>
  <si>
    <t>26502</t>
  </si>
  <si>
    <t>EBIXA 10 MG</t>
  </si>
  <si>
    <t>POR TBL FLM 56X10MG</t>
  </si>
  <si>
    <t>144357</t>
  </si>
  <si>
    <t>44357</t>
  </si>
  <si>
    <t>REMESTYP 1.0</t>
  </si>
  <si>
    <t>INJ 5X10ML/1MG</t>
  </si>
  <si>
    <t>149024</t>
  </si>
  <si>
    <t>164999</t>
  </si>
  <si>
    <t>IMURAN 50 MG</t>
  </si>
  <si>
    <t>POR TBL FLM 100X50MG</t>
  </si>
  <si>
    <t>157351</t>
  </si>
  <si>
    <t>57351</t>
  </si>
  <si>
    <t>OXANTIL</t>
  </si>
  <si>
    <t>INJ 5X2ML</t>
  </si>
  <si>
    <t>166506</t>
  </si>
  <si>
    <t>66506</t>
  </si>
  <si>
    <t>ENAP-H</t>
  </si>
  <si>
    <t>TBL 30</t>
  </si>
  <si>
    <t>167547</t>
  </si>
  <si>
    <t>67547</t>
  </si>
  <si>
    <t>ALMIRAL</t>
  </si>
  <si>
    <t>INJ 10X3ML/75MG</t>
  </si>
  <si>
    <t>169671</t>
  </si>
  <si>
    <t>69671</t>
  </si>
  <si>
    <t>INJECTIO PROCAIN.CHLOR.0.2% ARD</t>
  </si>
  <si>
    <t>INJ 1X500ML 0.2%</t>
  </si>
  <si>
    <t>193723</t>
  </si>
  <si>
    <t>93723</t>
  </si>
  <si>
    <t>INDOMETACIN 50 BERLIN-CHEMIE</t>
  </si>
  <si>
    <t>SUP 10X50MG</t>
  </si>
  <si>
    <t>703722</t>
  </si>
  <si>
    <t>MENALIND Olejový spray na ochranu kůže</t>
  </si>
  <si>
    <t>790011</t>
  </si>
  <si>
    <t>Emspoma M 500g/chladivá</t>
  </si>
  <si>
    <t>850235</t>
  </si>
  <si>
    <t>160806</t>
  </si>
  <si>
    <t>PICOPREP PRÁŠEK PRO PŘÍPRAVU PERORÁLNÍHO ROZTOKU</t>
  </si>
  <si>
    <t>POR PLV SOL 2</t>
  </si>
  <si>
    <t>100113</t>
  </si>
  <si>
    <t>113</t>
  </si>
  <si>
    <t>DILURAN</t>
  </si>
  <si>
    <t>TBL 20X250MG</t>
  </si>
  <si>
    <t>103065</t>
  </si>
  <si>
    <t>ZOVIRAX</t>
  </si>
  <si>
    <t>DRM CRM 1X2GM/100MG</t>
  </si>
  <si>
    <t>104160</t>
  </si>
  <si>
    <t>4160</t>
  </si>
  <si>
    <t>TRIAMCINOLON S LECIVA</t>
  </si>
  <si>
    <t>UNG 30GM</t>
  </si>
  <si>
    <t>108499</t>
  </si>
  <si>
    <t>8499</t>
  </si>
  <si>
    <t>DIPIDOLOR</t>
  </si>
  <si>
    <t>INJ 5X2ML 7.5MG/ML</t>
  </si>
  <si>
    <t>110803</t>
  </si>
  <si>
    <t>10803</t>
  </si>
  <si>
    <t>ZOFRAN</t>
  </si>
  <si>
    <t>INJ SOL 5X2ML/4MG</t>
  </si>
  <si>
    <t>116547</t>
  </si>
  <si>
    <t>16547</t>
  </si>
  <si>
    <t>CYMEVENE</t>
  </si>
  <si>
    <t>INF SIC 1X500MG</t>
  </si>
  <si>
    <t>142630</t>
  </si>
  <si>
    <t>42630</t>
  </si>
  <si>
    <t>PAMBA</t>
  </si>
  <si>
    <t>INJ SOL 5X5ML/50MG</t>
  </si>
  <si>
    <t>159358</t>
  </si>
  <si>
    <t>59358</t>
  </si>
  <si>
    <t>INF 10X1000ML(LDPE)</t>
  </si>
  <si>
    <t>187299</t>
  </si>
  <si>
    <t>87299</t>
  </si>
  <si>
    <t>IMUNOR</t>
  </si>
  <si>
    <t>LYO 4X10MG</t>
  </si>
  <si>
    <t>187764</t>
  </si>
  <si>
    <t>87764</t>
  </si>
  <si>
    <t>ARDEAELYTOSOL NA.HYDR.CARB.4.2%</t>
  </si>
  <si>
    <t>INF 1X200ML</t>
  </si>
  <si>
    <t>199466</t>
  </si>
  <si>
    <t>BURONIL 25 MG</t>
  </si>
  <si>
    <t>POR TBL OBD 50X25MG</t>
  </si>
  <si>
    <t>843217</t>
  </si>
  <si>
    <t>CATAPRES 0,15MG INJ-MIMOŘÁDNÝ DOVOZ!!</t>
  </si>
  <si>
    <t>INJ 5X1ML/0.15MG</t>
  </si>
  <si>
    <t>844591</t>
  </si>
  <si>
    <t>107161</t>
  </si>
  <si>
    <t>DIPEPTIVEN</t>
  </si>
  <si>
    <t>INF CNC SOL 1X100ML</t>
  </si>
  <si>
    <t>844764</t>
  </si>
  <si>
    <t>105943</t>
  </si>
  <si>
    <t>TETRASPAN 10%</t>
  </si>
  <si>
    <t>INF SOL 20X500ML</t>
  </si>
  <si>
    <t>848725</t>
  </si>
  <si>
    <t>107677</t>
  </si>
  <si>
    <t>KALIUMCHLORID 7.45% BRAUN</t>
  </si>
  <si>
    <t>INF CNC SOL 20X100ML</t>
  </si>
  <si>
    <t>920356</t>
  </si>
  <si>
    <t>KL SOL.BORGLYCEROLI  3% 100 G</t>
  </si>
  <si>
    <t>501065</t>
  </si>
  <si>
    <t>KL SIGNATURY</t>
  </si>
  <si>
    <t>114711</t>
  </si>
  <si>
    <t>14711</t>
  </si>
  <si>
    <t>TARDYFERON</t>
  </si>
  <si>
    <t>TBL RET 30</t>
  </si>
  <si>
    <t>196974</t>
  </si>
  <si>
    <t>96974</t>
  </si>
  <si>
    <t>CERUCAL</t>
  </si>
  <si>
    <t>POR TBL NOB 50X10MG</t>
  </si>
  <si>
    <t>845813</t>
  </si>
  <si>
    <t>Deca durabolin 50mg amp.1x1ml - MIMOŘÁDNÝ DOVOZ!!</t>
  </si>
  <si>
    <t>900881</t>
  </si>
  <si>
    <t>KL BALS.VISNEVSKI 100G</t>
  </si>
  <si>
    <t>921184</t>
  </si>
  <si>
    <t>KL UNGUENTUM</t>
  </si>
  <si>
    <t>106091</t>
  </si>
  <si>
    <t>6091</t>
  </si>
  <si>
    <t>GUTRON 2.5MG</t>
  </si>
  <si>
    <t>TBL 20X2.5MG</t>
  </si>
  <si>
    <t>114808</t>
  </si>
  <si>
    <t>14808</t>
  </si>
  <si>
    <t>COAXIL</t>
  </si>
  <si>
    <t>TBL OBD 90X12.5MG</t>
  </si>
  <si>
    <t>175025</t>
  </si>
  <si>
    <t>75025</t>
  </si>
  <si>
    <t>THIAMIN LECIVA</t>
  </si>
  <si>
    <t>TBL 20X50MG(BLISTR)</t>
  </si>
  <si>
    <t>841314</t>
  </si>
  <si>
    <t>MENALIND Ochranná pěna 100ml</t>
  </si>
  <si>
    <t>847962</t>
  </si>
  <si>
    <t>AESCIN 30mg tbl.60 VULM</t>
  </si>
  <si>
    <t>790001</t>
  </si>
  <si>
    <t>TRAUMACEL P 2G</t>
  </si>
  <si>
    <t>neleč.</t>
  </si>
  <si>
    <t>147671</t>
  </si>
  <si>
    <t>47671</t>
  </si>
  <si>
    <t>PERLINGANIT ROZTOK</t>
  </si>
  <si>
    <t>INF SOL10X10ML AMP</t>
  </si>
  <si>
    <t>169667</t>
  </si>
  <si>
    <t>69667</t>
  </si>
  <si>
    <t>ARDEAELYTOSOL NA.HYDR.FOSF.8.7%</t>
  </si>
  <si>
    <t>500629</t>
  </si>
  <si>
    <t>180173</t>
  </si>
  <si>
    <t>Canesten Gyn 1 den</t>
  </si>
  <si>
    <t>vag.tbl.1x500mg</t>
  </si>
  <si>
    <t>500686</t>
  </si>
  <si>
    <t xml:space="preserve">DZ PRONTODERM SHOWER GEL  100ML </t>
  </si>
  <si>
    <t>strong</t>
  </si>
  <si>
    <t>152225</t>
  </si>
  <si>
    <t>52225</t>
  </si>
  <si>
    <t>THIOCTACID 600 T</t>
  </si>
  <si>
    <t>INJ SOL 5X24ML/600MG</t>
  </si>
  <si>
    <t>100560</t>
  </si>
  <si>
    <t>560</t>
  </si>
  <si>
    <t>PLEGOMAZIN</t>
  </si>
  <si>
    <t>INJ 10X5ML/25MG</t>
  </si>
  <si>
    <t>125364</t>
  </si>
  <si>
    <t>25364</t>
  </si>
  <si>
    <t>POR CPS ETD 14X20MG</t>
  </si>
  <si>
    <t>850729</t>
  </si>
  <si>
    <t>157875</t>
  </si>
  <si>
    <t>PARACETAMOL KABI 10MG/ML</t>
  </si>
  <si>
    <t>INF SOL 10X100ML/1000MG</t>
  </si>
  <si>
    <t>900873</t>
  </si>
  <si>
    <t>KL VASELINUM ALBUM, 100G</t>
  </si>
  <si>
    <t>102439</t>
  </si>
  <si>
    <t>2439</t>
  </si>
  <si>
    <t>MARCAINE 0.5%</t>
  </si>
  <si>
    <t>INJ SOL5X20ML/100MG</t>
  </si>
  <si>
    <t>155911</t>
  </si>
  <si>
    <t>55911</t>
  </si>
  <si>
    <t>PEROXID VODÍKU 3% COO</t>
  </si>
  <si>
    <t>DRM SOL 1X100ML 3%</t>
  </si>
  <si>
    <t>702489</t>
  </si>
  <si>
    <t>Emspoma M 300ml/chladivá</t>
  </si>
  <si>
    <t>920154</t>
  </si>
  <si>
    <t>DZ PRONTODERM PENA 200ml</t>
  </si>
  <si>
    <t>119188</t>
  </si>
  <si>
    <t>19188</t>
  </si>
  <si>
    <t>SUBCUVIA</t>
  </si>
  <si>
    <t>INJ SOL 1X10ML</t>
  </si>
  <si>
    <t>121393</t>
  </si>
  <si>
    <t>21393</t>
  </si>
  <si>
    <t>PATENTBLAU V</t>
  </si>
  <si>
    <t>INJ 5X2ML/50MG</t>
  </si>
  <si>
    <t>127657</t>
  </si>
  <si>
    <t>27657</t>
  </si>
  <si>
    <t>STALEVO 150MG/37.5MG/200MG</t>
  </si>
  <si>
    <t>POR TBL FLM 100</t>
  </si>
  <si>
    <t>168096</t>
  </si>
  <si>
    <t>IFIRMACOMBI 150 MG/12,5 MG</t>
  </si>
  <si>
    <t>POR TBL FLM 28</t>
  </si>
  <si>
    <t>2584</t>
  </si>
  <si>
    <t>GLUKÓZA 40 BRAUN</t>
  </si>
  <si>
    <t>844242</t>
  </si>
  <si>
    <t>105937</t>
  </si>
  <si>
    <t>TETRASPAN 6%</t>
  </si>
  <si>
    <t>100584</t>
  </si>
  <si>
    <t>584</t>
  </si>
  <si>
    <t>PYRIDOXIN LECIVA</t>
  </si>
  <si>
    <t>INJ 5X1ML 50MG</t>
  </si>
  <si>
    <t>130229</t>
  </si>
  <si>
    <t>30229</t>
  </si>
  <si>
    <t>PARALEN PLUS</t>
  </si>
  <si>
    <t>TBL OBD 24</t>
  </si>
  <si>
    <t>843996</t>
  </si>
  <si>
    <t>100191</t>
  </si>
  <si>
    <t>VOLUVEN  6%</t>
  </si>
  <si>
    <t>INF SOL 20X500MLVAK+P</t>
  </si>
  <si>
    <t>846116</t>
  </si>
  <si>
    <t>125226</t>
  </si>
  <si>
    <t>NORETHISTERON ZENTIVA</t>
  </si>
  <si>
    <t>900012</t>
  </si>
  <si>
    <t>KL SOL.HYD.PEROX.3% 200G</t>
  </si>
  <si>
    <t>187000</t>
  </si>
  <si>
    <t>87000</t>
  </si>
  <si>
    <t>ARDEAOSMOSOL MA 20 (Mannitol)</t>
  </si>
  <si>
    <t>790012</t>
  </si>
  <si>
    <t>Emspoma O 500g/hřejivá</t>
  </si>
  <si>
    <t>132082</t>
  </si>
  <si>
    <t>32082</t>
  </si>
  <si>
    <t>IBALGIN 400 (IBUPROFEN 400)</t>
  </si>
  <si>
    <t>TBL OBD 100X400MG</t>
  </si>
  <si>
    <t>187906</t>
  </si>
  <si>
    <t>87906</t>
  </si>
  <si>
    <t>KORYLAN</t>
  </si>
  <si>
    <t>TBL 10</t>
  </si>
  <si>
    <t>100699</t>
  </si>
  <si>
    <t>699</t>
  </si>
  <si>
    <t>CHOLAGOL</t>
  </si>
  <si>
    <t>GTT 1X10ML</t>
  </si>
  <si>
    <t>100812</t>
  </si>
  <si>
    <t>812</t>
  </si>
  <si>
    <t>SANORIN</t>
  </si>
  <si>
    <t>LIQ 10ML 0.1%</t>
  </si>
  <si>
    <t>192414</t>
  </si>
  <si>
    <t>92414</t>
  </si>
  <si>
    <t>SEPTONEX</t>
  </si>
  <si>
    <t>SPR 1X45ML</t>
  </si>
  <si>
    <t>396754</t>
  </si>
  <si>
    <t>DZ PRONTODERM NASAL GEL  30ML</t>
  </si>
  <si>
    <t>850680</t>
  </si>
  <si>
    <t>120407</t>
  </si>
  <si>
    <t>THIOPENTAL VUAB INJ. PLV. SOL. 1,0 G</t>
  </si>
  <si>
    <t>INJ PLV SOL 1X1GM</t>
  </si>
  <si>
    <t>103761</t>
  </si>
  <si>
    <t>3761</t>
  </si>
  <si>
    <t>CHIROCAINE 5 MG/ML</t>
  </si>
  <si>
    <t>INJ CNC SOL 10X10ML</t>
  </si>
  <si>
    <t>187814</t>
  </si>
  <si>
    <t>87814</t>
  </si>
  <si>
    <t>CALYPSOL</t>
  </si>
  <si>
    <t>INJ 5X10ML/500MG</t>
  </si>
  <si>
    <t>149990</t>
  </si>
  <si>
    <t>49990</t>
  </si>
  <si>
    <t>EXACYL</t>
  </si>
  <si>
    <t>INJ 5X5ML/500MG</t>
  </si>
  <si>
    <t>155939</t>
  </si>
  <si>
    <t>HERPESIN 250</t>
  </si>
  <si>
    <t>INJ SIC 10X250MG</t>
  </si>
  <si>
    <t>187825</t>
  </si>
  <si>
    <t>87825</t>
  </si>
  <si>
    <t>ARDEAELYTOSOL NA.HYDR.CARB.8.4%</t>
  </si>
  <si>
    <t>190484</t>
  </si>
  <si>
    <t>NEPRESOL 25 MG-MIMOŘÁDNÝ DOVOZ!!</t>
  </si>
  <si>
    <t>INJ SIC 5X25MG+SOLV</t>
  </si>
  <si>
    <t>395850</t>
  </si>
  <si>
    <t>OptiLube lubrikační gel</t>
  </si>
  <si>
    <t>tuba 113g</t>
  </si>
  <si>
    <t>500396</t>
  </si>
  <si>
    <t>Diffusil H forte B85 150ml</t>
  </si>
  <si>
    <t>902082</t>
  </si>
  <si>
    <t>IR  NATRIUM CITRICUM 4%1x2000ml</t>
  </si>
  <si>
    <t>IR dial. rozt. Phoenix 1 kart.= 6ks po 2000ml</t>
  </si>
  <si>
    <t>129027</t>
  </si>
  <si>
    <t>PROPOFOL-LIPURO 1 % (10MG/ML)</t>
  </si>
  <si>
    <t>INJ+INF EML 10X100ML/1000MG</t>
  </si>
  <si>
    <t>900539</t>
  </si>
  <si>
    <t>KL MAST NA SPALENINY, 100G</t>
  </si>
  <si>
    <t>921231</t>
  </si>
  <si>
    <t>KL MAST NA SPALENINY, 20G</t>
  </si>
  <si>
    <t>169726</t>
  </si>
  <si>
    <t>69726</t>
  </si>
  <si>
    <t>ARDEAELYTOSOL NATRIUMCHLOR.5.85</t>
  </si>
  <si>
    <t>INF 1X80ML</t>
  </si>
  <si>
    <t>799044</t>
  </si>
  <si>
    <t>Herbacos Rybilka dětská mast</t>
  </si>
  <si>
    <t>844716</t>
  </si>
  <si>
    <t>107676</t>
  </si>
  <si>
    <t>ISOPRINOSINE</t>
  </si>
  <si>
    <t>POR TBL NOB 50X500MG</t>
  </si>
  <si>
    <t>921135</t>
  </si>
  <si>
    <t>KL UNG.ICHT.2G,CaCO3 10G,ZnO 6G,VAS.LEN. AA AD</t>
  </si>
  <si>
    <t>100G, 2% ichtamolu</t>
  </si>
  <si>
    <t>146899</t>
  </si>
  <si>
    <t>46899</t>
  </si>
  <si>
    <t>MUNDISAL</t>
  </si>
  <si>
    <t>GEL 1X8GM</t>
  </si>
  <si>
    <t>847025</t>
  </si>
  <si>
    <t>137119</t>
  </si>
  <si>
    <t>CALCIUM 500 MG PHARMAVIT</t>
  </si>
  <si>
    <t>POR TBL EFF 20X500MG</t>
  </si>
  <si>
    <t>900034</t>
  </si>
  <si>
    <t>KL POLYSAN, OL.HELIANTHI AA AD 100G</t>
  </si>
  <si>
    <t>846024</t>
  </si>
  <si>
    <t>100097</t>
  </si>
  <si>
    <t>VOLTAREN EMULGEL</t>
  </si>
  <si>
    <t>DRM GEL 1X100GM LAM</t>
  </si>
  <si>
    <t>145087</t>
  </si>
  <si>
    <t>45087</t>
  </si>
  <si>
    <t>ARUFIL</t>
  </si>
  <si>
    <t>OPH GTT SOL 1X10ML</t>
  </si>
  <si>
    <t>930673</t>
  </si>
  <si>
    <t>KL CHLORHEXIDINI SOL. 0,1% 200g</t>
  </si>
  <si>
    <t>v sirokohrdle lahvi</t>
  </si>
  <si>
    <t>849920</t>
  </si>
  <si>
    <t>144615</t>
  </si>
  <si>
    <t>UNILAT 50 MIKROGRAMŮ/ML, OČNÍ KAPKY, ROZTOK</t>
  </si>
  <si>
    <t>OPH GTT SOL 1X2.5ML</t>
  </si>
  <si>
    <t>107812</t>
  </si>
  <si>
    <t>BRUFEN 400</t>
  </si>
  <si>
    <t>500553</t>
  </si>
  <si>
    <t>Lapis tyčinka na bradavice</t>
  </si>
  <si>
    <t>157871</t>
  </si>
  <si>
    <t>PARACETAMOL KABI 10 MG/ML</t>
  </si>
  <si>
    <t>INF SOL 10X50ML/500MG</t>
  </si>
  <si>
    <t>158892</t>
  </si>
  <si>
    <t>58892</t>
  </si>
  <si>
    <t>XALATAN</t>
  </si>
  <si>
    <t>GTT OPH 3X2.5ML</t>
  </si>
  <si>
    <t>200600</t>
  </si>
  <si>
    <t>LUXFEN, 2 MG/ML OČNÍ KAPKY, ROZTOK</t>
  </si>
  <si>
    <t>OPH GTT SOL 1X5ML</t>
  </si>
  <si>
    <t>921331</t>
  </si>
  <si>
    <t>KL ETHANOLUM 70% 400G</t>
  </si>
  <si>
    <t>842703</t>
  </si>
  <si>
    <t>Hypromeloza -P 10ml</t>
  </si>
  <si>
    <t>844955</t>
  </si>
  <si>
    <t>18761</t>
  </si>
  <si>
    <t>SELENASE INJEKČNÍ ROZTOK 500 MCG</t>
  </si>
  <si>
    <t>INJ SOL 10X10ML</t>
  </si>
  <si>
    <t>176954</t>
  </si>
  <si>
    <t>ALGIFEN NEO</t>
  </si>
  <si>
    <t>POR GTT SOL 1X50ML</t>
  </si>
  <si>
    <t>200863</t>
  </si>
  <si>
    <t>OPH GTT SOL 1X10ML PLAST</t>
  </si>
  <si>
    <t>162305</t>
  </si>
  <si>
    <t>TIMO-COMOD 0,5%</t>
  </si>
  <si>
    <t>OPH GTT SOL 2X10ML</t>
  </si>
  <si>
    <t>394153</t>
  </si>
  <si>
    <t>Calcium pantotenicum mast 30g Generica</t>
  </si>
  <si>
    <t>395712</t>
  </si>
  <si>
    <t>HBF Calcium panthotenát mast 30g</t>
  </si>
  <si>
    <t>201992</t>
  </si>
  <si>
    <t>DETRALEX</t>
  </si>
  <si>
    <t>POR TBL FLM 120X500MG</t>
  </si>
  <si>
    <t>114675</t>
  </si>
  <si>
    <t>200934</t>
  </si>
  <si>
    <t>DOBEXIL H UNG</t>
  </si>
  <si>
    <t>RCT UNG 1X20GM</t>
  </si>
  <si>
    <t>397238</t>
  </si>
  <si>
    <t>KL ETHANOLUM BENZ.DENAT. 500ml /400g/</t>
  </si>
  <si>
    <t>UN 1170</t>
  </si>
  <si>
    <t>202701</t>
  </si>
  <si>
    <t>POR TBL ENT 90X20MG</t>
  </si>
  <si>
    <t>198054</t>
  </si>
  <si>
    <t>SANVAL 10 MG</t>
  </si>
  <si>
    <t>POR TBL FLM 20X10MG</t>
  </si>
  <si>
    <t>171031</t>
  </si>
  <si>
    <t>NASIVIN SENSITIVE 0,05%</t>
  </si>
  <si>
    <t>NAS SPR SOL 1X10ML/5MG</t>
  </si>
  <si>
    <t>136126</t>
  </si>
  <si>
    <t>NICORETTE INVISIPATCH 25 MG/16 H</t>
  </si>
  <si>
    <t>DRM EMP TDR 7X25MG</t>
  </si>
  <si>
    <t>136129</t>
  </si>
  <si>
    <t>NICORETTE INVISIPATCH 15 MG/16 H</t>
  </si>
  <si>
    <t>DRM EMP TDR 7X15MG</t>
  </si>
  <si>
    <t>23987</t>
  </si>
  <si>
    <t>DZ OCTENISEPT drm. sol. 250 ml</t>
  </si>
  <si>
    <t>DRM SOL 1X250ML</t>
  </si>
  <si>
    <t>920235</t>
  </si>
  <si>
    <t>15880</t>
  </si>
  <si>
    <t>DZ BRAUNOL 500 ML</t>
  </si>
  <si>
    <t>59551</t>
  </si>
  <si>
    <t>TEVETEN 600 MG</t>
  </si>
  <si>
    <t>POR TBL FLM 28X600MG</t>
  </si>
  <si>
    <t>190973</t>
  </si>
  <si>
    <t>TRIPLIXAM 10 MG/2,5 MG/10 MG</t>
  </si>
  <si>
    <t>POR TBL FLM 30</t>
  </si>
  <si>
    <t>989656</t>
  </si>
  <si>
    <t>Calcium pantothenicum mast Generica 100g</t>
  </si>
  <si>
    <t>137275</t>
  </si>
  <si>
    <t>CALCIUM RESONIUM</t>
  </si>
  <si>
    <t>POR+RCT PLV SUS 300GM</t>
  </si>
  <si>
    <t>988837</t>
  </si>
  <si>
    <t>Calcium pantothenicum krém Generica  30g</t>
  </si>
  <si>
    <t>500088</t>
  </si>
  <si>
    <t>DZ PRONTORAL 250ML</t>
  </si>
  <si>
    <t>844041</t>
  </si>
  <si>
    <t>Emspoma U základní 300g/bílá</t>
  </si>
  <si>
    <t>203323</t>
  </si>
  <si>
    <t>DRM UNG 1X100GM 10%</t>
  </si>
  <si>
    <t>214902</t>
  </si>
  <si>
    <t>EUPHYLLIN CR N 100</t>
  </si>
  <si>
    <t>POR CPS PRO 50X100MG</t>
  </si>
  <si>
    <t>161371</t>
  </si>
  <si>
    <t>SUXAMETHONIUM CHLORID VUAB 100 MG</t>
  </si>
  <si>
    <t>203954</t>
  </si>
  <si>
    <t>BISEPTOL 480</t>
  </si>
  <si>
    <t>POR TBL NOB 28X480MG</t>
  </si>
  <si>
    <t>202891</t>
  </si>
  <si>
    <t>CLARINASE REPETABS</t>
  </si>
  <si>
    <t>POR TBL PRO 7 II</t>
  </si>
  <si>
    <t>134821</t>
  </si>
  <si>
    <t>ISOLYTE  FFX - VAK</t>
  </si>
  <si>
    <t>INF SOL 10X1000ML Freeflex</t>
  </si>
  <si>
    <t>214745</t>
  </si>
  <si>
    <t>THIOGAMMA TURBO SET 600 MG</t>
  </si>
  <si>
    <t>INJ SOL 10X50ML</t>
  </si>
  <si>
    <t>215473</t>
  </si>
  <si>
    <t>EBRANTIL I.V. 25</t>
  </si>
  <si>
    <t>INJ SOL 5X5ML/25MG</t>
  </si>
  <si>
    <t>215474</t>
  </si>
  <si>
    <t>EBRANTIL I.V.50</t>
  </si>
  <si>
    <t>INJ SOL 5X10ML/50MG</t>
  </si>
  <si>
    <t>214616</t>
  </si>
  <si>
    <t>501555</t>
  </si>
  <si>
    <t>KL SOL.HYPERMANGAN 4%</t>
  </si>
  <si>
    <t>115318</t>
  </si>
  <si>
    <t>POR CPS ETD 90X20MG</t>
  </si>
  <si>
    <t>990927</t>
  </si>
  <si>
    <t>Klysma salinické 135ml</t>
  </si>
  <si>
    <t>119685</t>
  </si>
  <si>
    <t>NASIVIN 0,025%</t>
  </si>
  <si>
    <t>NAS GTT SOL 10ML</t>
  </si>
  <si>
    <t>187659</t>
  </si>
  <si>
    <t>INJ SOL 100X10ML II</t>
  </si>
  <si>
    <t>216104</t>
  </si>
  <si>
    <t>POR TBL PRO 14 II</t>
  </si>
  <si>
    <t>848462</t>
  </si>
  <si>
    <t>Paranit prevent.sprej proti vším 100 ml</t>
  </si>
  <si>
    <t>501567</t>
  </si>
  <si>
    <t>KL UNG.FRAMYKOIN</t>
  </si>
  <si>
    <t>10G</t>
  </si>
  <si>
    <t>132522</t>
  </si>
  <si>
    <t>EGILOK 25 MG</t>
  </si>
  <si>
    <t>TBL 60X25MG</t>
  </si>
  <si>
    <t>185625</t>
  </si>
  <si>
    <t>POR TBL FLM 30X400MG</t>
  </si>
  <si>
    <t>187660</t>
  </si>
  <si>
    <t>INJ SOL 100X20ML II</t>
  </si>
  <si>
    <t>215168</t>
  </si>
  <si>
    <t>KREON 10 000</t>
  </si>
  <si>
    <t>POR CPS ETD 50</t>
  </si>
  <si>
    <t>116285</t>
  </si>
  <si>
    <t>16285</t>
  </si>
  <si>
    <t>STILNOX</t>
  </si>
  <si>
    <t>POR TBL FLM 10X10MG</t>
  </si>
  <si>
    <t>216199</t>
  </si>
  <si>
    <t>KLACID 500</t>
  </si>
  <si>
    <t>POR TBL FLM 14X500MG</t>
  </si>
  <si>
    <t>197323</t>
  </si>
  <si>
    <t>ADDAVEN</t>
  </si>
  <si>
    <t>IVN INF CNC SOL 20X10ML</t>
  </si>
  <si>
    <t>988431</t>
  </si>
  <si>
    <t>HBF Rybilka NEO 100ml</t>
  </si>
  <si>
    <t>216900</t>
  </si>
  <si>
    <t>NORADRENALIN LÉČIVA</t>
  </si>
  <si>
    <t>IVN INF CNC SOL 5X5ML</t>
  </si>
  <si>
    <t>132718</t>
  </si>
  <si>
    <t>MOVALIS 15 MG</t>
  </si>
  <si>
    <t>POR TBL NOB 20X15MG</t>
  </si>
  <si>
    <t>215606</t>
  </si>
  <si>
    <t>185546</t>
  </si>
  <si>
    <t>BRUFEDOL 400 MG ŠUMIVÉ GRANULE</t>
  </si>
  <si>
    <t>POR GRA EFF 30X400MG</t>
  </si>
  <si>
    <t>215851</t>
  </si>
  <si>
    <t>TRANSMETIL 500 MG TABLETY</t>
  </si>
  <si>
    <t>POR TBL ENT 10X500MG</t>
  </si>
  <si>
    <t>142451</t>
  </si>
  <si>
    <t>42451</t>
  </si>
  <si>
    <t>MINIRIN 0.1 MG TABLETY</t>
  </si>
  <si>
    <t>POR TBL NOB30X0.1MG</t>
  </si>
  <si>
    <t>991662</t>
  </si>
  <si>
    <t>216232</t>
  </si>
  <si>
    <t>GLYVENOL 400</t>
  </si>
  <si>
    <t>POR CPS MOL 60X400MG</t>
  </si>
  <si>
    <t>P</t>
  </si>
  <si>
    <t>56972</t>
  </si>
  <si>
    <t>TRITACE 1,25 MG</t>
  </si>
  <si>
    <t>POR TBL NOB 20X1.25MG</t>
  </si>
  <si>
    <t>109709</t>
  </si>
  <si>
    <t>9709</t>
  </si>
  <si>
    <t>SOLU-MEDROL</t>
  </si>
  <si>
    <t>INJ SIC 1X40MG+1ML</t>
  </si>
  <si>
    <t>112892</t>
  </si>
  <si>
    <t>12892</t>
  </si>
  <si>
    <t>113767</t>
  </si>
  <si>
    <t>13767</t>
  </si>
  <si>
    <t>CORDARONE</t>
  </si>
  <si>
    <t>POR TBL NOB30X200MG</t>
  </si>
  <si>
    <t>114439</t>
  </si>
  <si>
    <t>14439</t>
  </si>
  <si>
    <t>FOKUSIN</t>
  </si>
  <si>
    <t>POR CPS RDR30X0.4MG</t>
  </si>
  <si>
    <t>115316</t>
  </si>
  <si>
    <t>15316</t>
  </si>
  <si>
    <t>LOZAP H</t>
  </si>
  <si>
    <t>117433</t>
  </si>
  <si>
    <t>17433</t>
  </si>
  <si>
    <t>CITALEC 20 ZENTIVA</t>
  </si>
  <si>
    <t>POR TBL FLM 60X20MG</t>
  </si>
  <si>
    <t>140368</t>
  </si>
  <si>
    <t>40368</t>
  </si>
  <si>
    <t>MEDROL 4 MG</t>
  </si>
  <si>
    <t>POR TBL NOB30X4MG-L</t>
  </si>
  <si>
    <t>142547</t>
  </si>
  <si>
    <t>42547</t>
  </si>
  <si>
    <t>LACTULOSE AL SIRUP</t>
  </si>
  <si>
    <t>POR SIR 1X500ML</t>
  </si>
  <si>
    <t>147740</t>
  </si>
  <si>
    <t>47740</t>
  </si>
  <si>
    <t>RIVOCOR 5</t>
  </si>
  <si>
    <t>POR TBL FLM 30X5MG</t>
  </si>
  <si>
    <t>147741</t>
  </si>
  <si>
    <t>47741</t>
  </si>
  <si>
    <t>RIVOCOR 10</t>
  </si>
  <si>
    <t>POR TBL FLM 30X10MG</t>
  </si>
  <si>
    <t>149909</t>
  </si>
  <si>
    <t>49909</t>
  </si>
  <si>
    <t>LOKREN 20 MG</t>
  </si>
  <si>
    <t>POR TBL FLM 28X20MG</t>
  </si>
  <si>
    <t>154316</t>
  </si>
  <si>
    <t>54316</t>
  </si>
  <si>
    <t>FRAXIPARIN MULTI</t>
  </si>
  <si>
    <t>INJ 10X5ML/47.5KU</t>
  </si>
  <si>
    <t>156503</t>
  </si>
  <si>
    <t>56503</t>
  </si>
  <si>
    <t>SIOFOR 500</t>
  </si>
  <si>
    <t>TBL OBD 60X500MG</t>
  </si>
  <si>
    <t>156981</t>
  </si>
  <si>
    <t>56981</t>
  </si>
  <si>
    <t>TRITACE 5</t>
  </si>
  <si>
    <t>158380</t>
  </si>
  <si>
    <t>58380</t>
  </si>
  <si>
    <t>VENTOLIN ROZTOK K INHALACI</t>
  </si>
  <si>
    <t>INH SOL1X20ML/120MG</t>
  </si>
  <si>
    <t>166030</t>
  </si>
  <si>
    <t>66030</t>
  </si>
  <si>
    <t>ZODAC</t>
  </si>
  <si>
    <t>TBL OBD 30X10MG</t>
  </si>
  <si>
    <t>184398</t>
  </si>
  <si>
    <t>84398</t>
  </si>
  <si>
    <t>NEURONTIN 100MG</t>
  </si>
  <si>
    <t>CPS 100X100MG</t>
  </si>
  <si>
    <t>184399</t>
  </si>
  <si>
    <t>84399</t>
  </si>
  <si>
    <t>NEURONTIN 300MG</t>
  </si>
  <si>
    <t>CPS 50X300MG</t>
  </si>
  <si>
    <t>190957</t>
  </si>
  <si>
    <t>90957</t>
  </si>
  <si>
    <t>XANAX</t>
  </si>
  <si>
    <t>844651</t>
  </si>
  <si>
    <t>101205</t>
  </si>
  <si>
    <t>PRESTARIUM NEO</t>
  </si>
  <si>
    <t>844738</t>
  </si>
  <si>
    <t>101227</t>
  </si>
  <si>
    <t>PRESTARIUM NEO FORTE</t>
  </si>
  <si>
    <t>845220</t>
  </si>
  <si>
    <t>101211</t>
  </si>
  <si>
    <t>POR TBL FLM 90X5MG</t>
  </si>
  <si>
    <t>848765</t>
  </si>
  <si>
    <t>107938</t>
  </si>
  <si>
    <t>INJ SOL 6X3ML/150MG</t>
  </si>
  <si>
    <t>849453</t>
  </si>
  <si>
    <t>163077</t>
  </si>
  <si>
    <t>AMARYL 2 MG</t>
  </si>
  <si>
    <t>POR TBL NOB 30X2MG</t>
  </si>
  <si>
    <t>849831</t>
  </si>
  <si>
    <t>162008</t>
  </si>
  <si>
    <t>PRESTARIUM NEO COMBI 10 MG/2,5 MG</t>
  </si>
  <si>
    <t>116923</t>
  </si>
  <si>
    <t>16923</t>
  </si>
  <si>
    <t>MOXOSTAD 0.3 MG</t>
  </si>
  <si>
    <t>POR TBL FLM30X0.3MG</t>
  </si>
  <si>
    <t>117425</t>
  </si>
  <si>
    <t>17425</t>
  </si>
  <si>
    <t>CITALEC 10 ZENTIVA</t>
  </si>
  <si>
    <t>POR TBL FLM30X10MG</t>
  </si>
  <si>
    <t>126786</t>
  </si>
  <si>
    <t>26786</t>
  </si>
  <si>
    <t>NOVORAPID 100 U/ML</t>
  </si>
  <si>
    <t>142546</t>
  </si>
  <si>
    <t>42546</t>
  </si>
  <si>
    <t>POR SIR 1X200ML</t>
  </si>
  <si>
    <t>145215</t>
  </si>
  <si>
    <t>45215</t>
  </si>
  <si>
    <t>ZOXON 4</t>
  </si>
  <si>
    <t>TBL 30X4MG</t>
  </si>
  <si>
    <t>183099</t>
  </si>
  <si>
    <t>83099</t>
  </si>
  <si>
    <t>XANAX SR</t>
  </si>
  <si>
    <t>TBL RET 30X0.5MG</t>
  </si>
  <si>
    <t>193019</t>
  </si>
  <si>
    <t>93019</t>
  </si>
  <si>
    <t>SORTIS 40MG</t>
  </si>
  <si>
    <t>TBL OBD 30X40MG</t>
  </si>
  <si>
    <t>848925</t>
  </si>
  <si>
    <t>148068</t>
  </si>
  <si>
    <t>ROSUCARD 10 MG POTAHOVANÉ TABLETY</t>
  </si>
  <si>
    <t>848947</t>
  </si>
  <si>
    <t>135928</t>
  </si>
  <si>
    <t>ESOPREX 10 MG</t>
  </si>
  <si>
    <t>126789</t>
  </si>
  <si>
    <t>26789</t>
  </si>
  <si>
    <t>NOVORAPID PENFILL 100 U/ML</t>
  </si>
  <si>
    <t>INJ SOL 5X3ML</t>
  </si>
  <si>
    <t>153951</t>
  </si>
  <si>
    <t>53951</t>
  </si>
  <si>
    <t>ZOLOFT 100MG</t>
  </si>
  <si>
    <t>TBL OBD 28X100MG</t>
  </si>
  <si>
    <t>848477</t>
  </si>
  <si>
    <t>124346</t>
  </si>
  <si>
    <t>CEZERA 5 MG</t>
  </si>
  <si>
    <t>112354</t>
  </si>
  <si>
    <t>12354</t>
  </si>
  <si>
    <t>146692</t>
  </si>
  <si>
    <t>46692</t>
  </si>
  <si>
    <t>EUTHYROX 75</t>
  </si>
  <si>
    <t>TBL 100X75RG</t>
  </si>
  <si>
    <t>190959</t>
  </si>
  <si>
    <t>90959</t>
  </si>
  <si>
    <t>TBL 30X0.5MG</t>
  </si>
  <si>
    <t>848895</t>
  </si>
  <si>
    <t>151056</t>
  </si>
  <si>
    <t>LAMICTAL 100 MG</t>
  </si>
  <si>
    <t>POR TBL NOB 42X100MG</t>
  </si>
  <si>
    <t>117431</t>
  </si>
  <si>
    <t>17431</t>
  </si>
  <si>
    <t>POR TBL FLM30X20MG</t>
  </si>
  <si>
    <t>184396</t>
  </si>
  <si>
    <t>84396</t>
  </si>
  <si>
    <t>CPS 20X100MG</t>
  </si>
  <si>
    <t>166760</t>
  </si>
  <si>
    <t>KINITO 50 MG, POTAHOVANÉ TABLETY</t>
  </si>
  <si>
    <t>115245</t>
  </si>
  <si>
    <t>15245</t>
  </si>
  <si>
    <t>SANDOSTATIN 0.1 MG/ML</t>
  </si>
  <si>
    <t>INJ SOL 5X1ML/0.1MG</t>
  </si>
  <si>
    <t>147466</t>
  </si>
  <si>
    <t>EUTHYROX 137 MIKROGRAMŮ</t>
  </si>
  <si>
    <t>POR TBL NOB 100X137RG II</t>
  </si>
  <si>
    <t>176193</t>
  </si>
  <si>
    <t>REQUIP-MODUTAB 4 MG</t>
  </si>
  <si>
    <t>POR TBL PRO 28X4MG</t>
  </si>
  <si>
    <t>121088</t>
  </si>
  <si>
    <t>21088</t>
  </si>
  <si>
    <t>SUFENTANIL TORREX 50 MCG/ML</t>
  </si>
  <si>
    <t>INJ SOL 5X5ML/250RG</t>
  </si>
  <si>
    <t>847134</t>
  </si>
  <si>
    <t>151050</t>
  </si>
  <si>
    <t>DEPAKINE</t>
  </si>
  <si>
    <t>INJ PSO LQF 4X4ML/400MG</t>
  </si>
  <si>
    <t>117135</t>
  </si>
  <si>
    <t>17135</t>
  </si>
  <si>
    <t>LAMICTAL 25 MG</t>
  </si>
  <si>
    <t>POR TBL NOB 42X25MG</t>
  </si>
  <si>
    <t>849578</t>
  </si>
  <si>
    <t>149480</t>
  </si>
  <si>
    <t>ZYLLT 75 MG</t>
  </si>
  <si>
    <t>POR TBL FLM 28X75MG</t>
  </si>
  <si>
    <t>180087</t>
  </si>
  <si>
    <t>SYMBICORT TURBUHALER 200 MIKROGRAMŮ/ 6 MIKROGRAMŮ/</t>
  </si>
  <si>
    <t>INH PLV 1X120DÁV</t>
  </si>
  <si>
    <t>187425</t>
  </si>
  <si>
    <t>LETROX 50</t>
  </si>
  <si>
    <t>POR TBL NOB 100X50RG II</t>
  </si>
  <si>
    <t>184245</t>
  </si>
  <si>
    <t>LETROX 75</t>
  </si>
  <si>
    <t>POR TBL NOB 100X75MCG II</t>
  </si>
  <si>
    <t>169714</t>
  </si>
  <si>
    <t>LETROX 125</t>
  </si>
  <si>
    <t>POR TBL NOB 100X125MCG</t>
  </si>
  <si>
    <t>187607</t>
  </si>
  <si>
    <t>ONDANSETRON B. BRAUN 2 MG/ML</t>
  </si>
  <si>
    <t>INJ SOL 20X4ML/8MG LDPE</t>
  </si>
  <si>
    <t>213480</t>
  </si>
  <si>
    <t>FRAXIPARINE FORTE</t>
  </si>
  <si>
    <t>INJ SOL 10X0.6ML</t>
  </si>
  <si>
    <t>213477</t>
  </si>
  <si>
    <t>214427</t>
  </si>
  <si>
    <t>CONTROLOC I.V.</t>
  </si>
  <si>
    <t>INJ PLV SOL 1X40MG</t>
  </si>
  <si>
    <t>132689</t>
  </si>
  <si>
    <t>214526</t>
  </si>
  <si>
    <t>CONTROLOC 40 MG</t>
  </si>
  <si>
    <t>POR TBL ENT 100X40MG I</t>
  </si>
  <si>
    <t>187427</t>
  </si>
  <si>
    <t>LETROX 100</t>
  </si>
  <si>
    <t>POR TBL NOB 100X100RG II</t>
  </si>
  <si>
    <t>195941</t>
  </si>
  <si>
    <t>SERTRALIN APOTEX 50 MG POTAHOVANÉ TABLETY</t>
  </si>
  <si>
    <t>50113006</t>
  </si>
  <si>
    <t>846327</t>
  </si>
  <si>
    <t>33404</t>
  </si>
  <si>
    <t>Calogen Neutral por.eml. 1x200ml</t>
  </si>
  <si>
    <t>217007</t>
  </si>
  <si>
    <t>NUTRICOMP SOUP MIX</t>
  </si>
  <si>
    <t>POR SOL 24X200ML</t>
  </si>
  <si>
    <t>33564</t>
  </si>
  <si>
    <t>NUTRILAC COFFEE S-Objednávat po 18ks!</t>
  </si>
  <si>
    <t>POR SOL 1X200ML</t>
  </si>
  <si>
    <t>33567</t>
  </si>
  <si>
    <t>NUTRILAC VANILKA S-Objednávat po 18ks!</t>
  </si>
  <si>
    <t>33561</t>
  </si>
  <si>
    <t>NUTRILAC NATURAL PLUS-Objednávat po 18ks!</t>
  </si>
  <si>
    <t>841569</t>
  </si>
  <si>
    <t>Fresubin hepa 15x500ml</t>
  </si>
  <si>
    <t>846016</t>
  </si>
  <si>
    <t>Nutrison Advanced Protison 500ml</t>
  </si>
  <si>
    <t>1X500ML</t>
  </si>
  <si>
    <t>988740</t>
  </si>
  <si>
    <t>Nutrison Advanced Diason 1000ml</t>
  </si>
  <si>
    <t>990223</t>
  </si>
  <si>
    <t>NEPRO HP 500ml vanilková</t>
  </si>
  <si>
    <t>990658</t>
  </si>
  <si>
    <t xml:space="preserve">Nutricomp Glutamine Plus MB 500ml </t>
  </si>
  <si>
    <t>991213</t>
  </si>
  <si>
    <t>NutrilaC Natural 1 000 ml-Objednávat po 8ks!!</t>
  </si>
  <si>
    <t>501627</t>
  </si>
  <si>
    <t>Nutricomp intensiv</t>
  </si>
  <si>
    <t>15x500ml</t>
  </si>
  <si>
    <t>991356</t>
  </si>
  <si>
    <t>Calogen Neutral 4x200ml</t>
  </si>
  <si>
    <t>217054</t>
  </si>
  <si>
    <t>NUTRISON</t>
  </si>
  <si>
    <t>POR SOL 8X1000ML</t>
  </si>
  <si>
    <t>133339</t>
  </si>
  <si>
    <t>33339</t>
  </si>
  <si>
    <t>DIASIP S PŘÍCHUTÍ JAHODOVOU</t>
  </si>
  <si>
    <t>133340</t>
  </si>
  <si>
    <t>33340</t>
  </si>
  <si>
    <t>DIASIP S PŘÍCHUTÍ VANILKOVOU</t>
  </si>
  <si>
    <t>133341</t>
  </si>
  <si>
    <t>33341</t>
  </si>
  <si>
    <t>CUBITAN S PŘÍCHUTÍ VANILKOVOU (SOL)</t>
  </si>
  <si>
    <t>133343</t>
  </si>
  <si>
    <t>33343</t>
  </si>
  <si>
    <t>CUBITAN S PŘÍCHUTÍ JAHODOVOU (SOL)</t>
  </si>
  <si>
    <t>33740</t>
  </si>
  <si>
    <t>NUTRIDRINK COMPACT PROTEIN S PŘÍCHUTÍ KÁVY</t>
  </si>
  <si>
    <t>POR SOL 4X125ML</t>
  </si>
  <si>
    <t>133148</t>
  </si>
  <si>
    <t>33148</t>
  </si>
  <si>
    <t>NUTRISON PROTEIN PLUS MULTI FIB</t>
  </si>
  <si>
    <t>POR SOL 1X500ML-VA</t>
  </si>
  <si>
    <t>33526</t>
  </si>
  <si>
    <t>POR SOL 1X1000ML</t>
  </si>
  <si>
    <t>33750</t>
  </si>
  <si>
    <t>NUTRIDRINK CREME S PŘÍCHUTÍ VANILKOVOU</t>
  </si>
  <si>
    <t>POR SOL 4X125GM</t>
  </si>
  <si>
    <t>33751</t>
  </si>
  <si>
    <t>NUTRIDRINK CREME S PŘÍCHUTÍ ČOKOLÁDOVOU</t>
  </si>
  <si>
    <t>395579</t>
  </si>
  <si>
    <t>33752</t>
  </si>
  <si>
    <t>NUTRIDRINK CREME S PŘÍCHUTÍ LES.OVOCE</t>
  </si>
  <si>
    <t>4x125ml</t>
  </si>
  <si>
    <t>846765</t>
  </si>
  <si>
    <t>33421</t>
  </si>
  <si>
    <t>NUTRIDRINK COMPACT S PŘÍCHUTÍ KÁVY</t>
  </si>
  <si>
    <t>987792</t>
  </si>
  <si>
    <t>33749</t>
  </si>
  <si>
    <t>NUTRIDRINK CREME S PŘÍCHUTÍ BANÁNOVOU</t>
  </si>
  <si>
    <t>33848</t>
  </si>
  <si>
    <t>NUTRIDRINK S PŘÍCHUTÍ ČOKOLÁDOVOU</t>
  </si>
  <si>
    <t>POR SOL 4X200ML</t>
  </si>
  <si>
    <t>33847</t>
  </si>
  <si>
    <t>NUTRIDRINK S PŘÍCHUTÍ VANILKOVOU</t>
  </si>
  <si>
    <t>33859</t>
  </si>
  <si>
    <t>NUTRIDRINK JUICE STYLE S PŘÍCHUTÍ JABLEČNOU</t>
  </si>
  <si>
    <t>33936</t>
  </si>
  <si>
    <t>NUTRIDRINK S PŘÍCHUTÍ BANÁNOVOU</t>
  </si>
  <si>
    <t>990352</t>
  </si>
  <si>
    <t>33935</t>
  </si>
  <si>
    <t>NUTRIDRINK S PŘÍCHUTÍ JAHODOVOU</t>
  </si>
  <si>
    <t>50113007</t>
  </si>
  <si>
    <t>162464</t>
  </si>
  <si>
    <t>62464</t>
  </si>
  <si>
    <t>HAEMOCOMPLETTAN P</t>
  </si>
  <si>
    <t>INF PLV SOL1X1000MG</t>
  </si>
  <si>
    <t>50113013</t>
  </si>
  <si>
    <t>96414</t>
  </si>
  <si>
    <t>GENTAMICIN LEK 80 MG/2 ML</t>
  </si>
  <si>
    <t>INJ SOL 10X2ML/80MG</t>
  </si>
  <si>
    <t>101066</t>
  </si>
  <si>
    <t>1066</t>
  </si>
  <si>
    <t>FRAMYKOIN</t>
  </si>
  <si>
    <t>UNG 1X10GM</t>
  </si>
  <si>
    <t>101076</t>
  </si>
  <si>
    <t>1076</t>
  </si>
  <si>
    <t>OPHTHALMO-FRAMYKOIN</t>
  </si>
  <si>
    <t>103708</t>
  </si>
  <si>
    <t>3708</t>
  </si>
  <si>
    <t>ZYVOXID</t>
  </si>
  <si>
    <t>INF SOL 10X300ML</t>
  </si>
  <si>
    <t>106264</t>
  </si>
  <si>
    <t>6264</t>
  </si>
  <si>
    <t>SUMETROLIM</t>
  </si>
  <si>
    <t>TBL 20X480MG</t>
  </si>
  <si>
    <t>116600</t>
  </si>
  <si>
    <t>16600</t>
  </si>
  <si>
    <t>UNASYN</t>
  </si>
  <si>
    <t>INJ PLV SOL 1X1.5GM</t>
  </si>
  <si>
    <t>120605</t>
  </si>
  <si>
    <t>20605</t>
  </si>
  <si>
    <t>COLOMYCIN INJEKCE 1000000 IU</t>
  </si>
  <si>
    <t>INJ PLV SOL 10X1MU</t>
  </si>
  <si>
    <t>131654</t>
  </si>
  <si>
    <t>CEFTAZIDIM KABI 1 GM</t>
  </si>
  <si>
    <t>INJ PLV SOL 10X1GM</t>
  </si>
  <si>
    <t>147727</t>
  </si>
  <si>
    <t>47727</t>
  </si>
  <si>
    <t>ZINNAT 500 MG</t>
  </si>
  <si>
    <t>TBL OBD 10X500MG</t>
  </si>
  <si>
    <t>172972</t>
  </si>
  <si>
    <t>72972</t>
  </si>
  <si>
    <t>AMOKSIKLAV 1.2GM</t>
  </si>
  <si>
    <t>INJ SIC 5X1.2GM</t>
  </si>
  <si>
    <t>847476</t>
  </si>
  <si>
    <t>112782</t>
  </si>
  <si>
    <t xml:space="preserve">GENTAMICIN B.BRAUN 3 MG/ML INFUZNÍ ROZTOK </t>
  </si>
  <si>
    <t>INF SOL 20X80ML</t>
  </si>
  <si>
    <t>117041</t>
  </si>
  <si>
    <t>17041</t>
  </si>
  <si>
    <t>CEFOBID 1 G</t>
  </si>
  <si>
    <t>INJ SIC 1X1GM</t>
  </si>
  <si>
    <t>117170</t>
  </si>
  <si>
    <t>17170</t>
  </si>
  <si>
    <t>BELOGENT KRÉM</t>
  </si>
  <si>
    <t>CRM 1X30GM</t>
  </si>
  <si>
    <t>131656</t>
  </si>
  <si>
    <t>CEFTAZIDIM KABI 2 GM</t>
  </si>
  <si>
    <t>INJ+INF PLV SOL 10X2GM</t>
  </si>
  <si>
    <t>148261</t>
  </si>
  <si>
    <t>48261</t>
  </si>
  <si>
    <t>PLV ADS 1X20GM</t>
  </si>
  <si>
    <t>849206</t>
  </si>
  <si>
    <t>162809</t>
  </si>
  <si>
    <t>Avelox 400mg/250ml inf.sol.1x250ml/400mg</t>
  </si>
  <si>
    <t>103952</t>
  </si>
  <si>
    <t>3952</t>
  </si>
  <si>
    <t>AMIKIN</t>
  </si>
  <si>
    <t>INJ 1X2ML/500MG</t>
  </si>
  <si>
    <t>111706</t>
  </si>
  <si>
    <t>11706</t>
  </si>
  <si>
    <t>INJ 10X5ML</t>
  </si>
  <si>
    <t>72973</t>
  </si>
  <si>
    <t>AMOKSIKLAV 600 MG</t>
  </si>
  <si>
    <t>INJ PLV SOL 5X600MG</t>
  </si>
  <si>
    <t>168999</t>
  </si>
  <si>
    <t>68999</t>
  </si>
  <si>
    <t>AMPICILIN 0,5 BIOTIKA</t>
  </si>
  <si>
    <t>INJ PLV SOL 10X500MG</t>
  </si>
  <si>
    <t>105113</t>
  </si>
  <si>
    <t>5113</t>
  </si>
  <si>
    <t>TARGOCID 400MG</t>
  </si>
  <si>
    <t>INJ SIC 1X400MG+SOL</t>
  </si>
  <si>
    <t>186264</t>
  </si>
  <si>
    <t>86264</t>
  </si>
  <si>
    <t>TOBREX</t>
  </si>
  <si>
    <t>GTT OPH 5ML 3MG/1ML</t>
  </si>
  <si>
    <t>193207</t>
  </si>
  <si>
    <t>93207</t>
  </si>
  <si>
    <t>UNG OPH 3.5GM 0.3%</t>
  </si>
  <si>
    <t>175754</t>
  </si>
  <si>
    <t>75754</t>
  </si>
  <si>
    <t>ROVAMYCINE 3MU</t>
  </si>
  <si>
    <t>TBL OBD 10X3MU</t>
  </si>
  <si>
    <t>847759</t>
  </si>
  <si>
    <t>142077</t>
  </si>
  <si>
    <t>TIENAM 500 MG/500 MG I.V.</t>
  </si>
  <si>
    <t>INF PLV SOL 1X10LAH/20ML</t>
  </si>
  <si>
    <t>113453</t>
  </si>
  <si>
    <t>PIPERACILLIN/TAZOBACTAM KABI 4 G/0,5 G</t>
  </si>
  <si>
    <t>INF PLV SOL 10X4.5GM</t>
  </si>
  <si>
    <t>94176</t>
  </si>
  <si>
    <t>CEFOTAXIME LEK 1 G PRÁŠEK PRO INJEKČNÍ ROZTOK</t>
  </si>
  <si>
    <t>183926</t>
  </si>
  <si>
    <t>AZEPO 1 G</t>
  </si>
  <si>
    <t>INJ+INF PLV SOL 10X1GM</t>
  </si>
  <si>
    <t>202911</t>
  </si>
  <si>
    <t>DILIZOLEN 2 MG/ML</t>
  </si>
  <si>
    <t>INF SOL 10X300ML/600MG</t>
  </si>
  <si>
    <t>137499</t>
  </si>
  <si>
    <t>KLACID I.V.</t>
  </si>
  <si>
    <t>INF PLV SOL 1X500MG</t>
  </si>
  <si>
    <t>136083</t>
  </si>
  <si>
    <t>AMPICILLIN AND SULBACTAM IBI 1 G + 500 MG PRÁŠEK P</t>
  </si>
  <si>
    <t>INJ PLV SOL 10X1G+500MG/LAH</t>
  </si>
  <si>
    <t>151458</t>
  </si>
  <si>
    <t>CEFUROXIM KABI 1500 MG</t>
  </si>
  <si>
    <t>INJ+INF PLV SOL 10X1.5GM</t>
  </si>
  <si>
    <t>162180</t>
  </si>
  <si>
    <t>CIPROFLOXACIN KABI 200 MG/100 ML INFUZNÍ ROZTOK</t>
  </si>
  <si>
    <t>INF SOL 10X200MG/100ML</t>
  </si>
  <si>
    <t>162187</t>
  </si>
  <si>
    <t>CIPROFLOXACIN KABI 400 MG/200 ML INFUZNÍ ROZTOK</t>
  </si>
  <si>
    <t>INF SOL 10X400MG/200ML</t>
  </si>
  <si>
    <t>849655</t>
  </si>
  <si>
    <t>129836</t>
  </si>
  <si>
    <t>Clindamycin Kabi 150mg/ml 10 x 4ml/600mg</t>
  </si>
  <si>
    <t>10 x 4ml /600mg</t>
  </si>
  <si>
    <t>849887</t>
  </si>
  <si>
    <t>129834</t>
  </si>
  <si>
    <t>Clindamycin Kabi inj.sol.10x2ml/300mg</t>
  </si>
  <si>
    <t>202740</t>
  </si>
  <si>
    <t>NORMIX</t>
  </si>
  <si>
    <t>POR TBL FLM 28X200MG</t>
  </si>
  <si>
    <t>201967</t>
  </si>
  <si>
    <t>VULMIZOLIN 1,0</t>
  </si>
  <si>
    <t>201961</t>
  </si>
  <si>
    <t>AMPICILIN 1,0 BIOTIKA</t>
  </si>
  <si>
    <t>INJ PLV SOL 10X1000MG</t>
  </si>
  <si>
    <t>115658</t>
  </si>
  <si>
    <t>15658</t>
  </si>
  <si>
    <t>CIPLOX 500</t>
  </si>
  <si>
    <t>195147</t>
  </si>
  <si>
    <t>AMIKACIN MEDOPHARM 500 MG/2 ML</t>
  </si>
  <si>
    <t>INJ+INF SOL 10X2ML/500MG</t>
  </si>
  <si>
    <t>207280</t>
  </si>
  <si>
    <t>FUROLIN TABLETY</t>
  </si>
  <si>
    <t>203855</t>
  </si>
  <si>
    <t>IMS+IVN INJ PLV SOL 10X1GM</t>
  </si>
  <si>
    <t>105951</t>
  </si>
  <si>
    <t>5951</t>
  </si>
  <si>
    <t>AMOKSIKLAV 1G</t>
  </si>
  <si>
    <t>TBL OBD 14X1GM</t>
  </si>
  <si>
    <t>197000</t>
  </si>
  <si>
    <t>97000</t>
  </si>
  <si>
    <t>METRONIDAZOLE 0.5% POLFA</t>
  </si>
  <si>
    <t>INJ 1X100ML 5MG/1ML</t>
  </si>
  <si>
    <t>126127</t>
  </si>
  <si>
    <t>26127</t>
  </si>
  <si>
    <t>TYGACIL 50 MG</t>
  </si>
  <si>
    <t>INF PLV SOL 10X50MG/5ML</t>
  </si>
  <si>
    <t>166265</t>
  </si>
  <si>
    <t>VANCOMYCIN MYLAN 500 MG</t>
  </si>
  <si>
    <t>166269</t>
  </si>
  <si>
    <t>VANCOMYCIN MYLAN 1000 MG</t>
  </si>
  <si>
    <t>INF PLV SOL 1X1GM</t>
  </si>
  <si>
    <t>183817</t>
  </si>
  <si>
    <t>ARCHIFAR 1 G</t>
  </si>
  <si>
    <t>50113014</t>
  </si>
  <si>
    <t>113798</t>
  </si>
  <si>
    <t>13798</t>
  </si>
  <si>
    <t>CANESTEN KRÉM</t>
  </si>
  <si>
    <t>CRM 1X20GM/200MG</t>
  </si>
  <si>
    <t>116895</t>
  </si>
  <si>
    <t>16895</t>
  </si>
  <si>
    <t>IMAZOL KRÉMPASTA</t>
  </si>
  <si>
    <t>DRM PST 1X30GM</t>
  </si>
  <si>
    <t>850734</t>
  </si>
  <si>
    <t>149384</t>
  </si>
  <si>
    <t>ECALTA 100 MG</t>
  </si>
  <si>
    <t>INF PLV CSL 100MG+30ML</t>
  </si>
  <si>
    <t>129428</t>
  </si>
  <si>
    <t>500720</t>
  </si>
  <si>
    <t>MYCAMINE 100 MG</t>
  </si>
  <si>
    <t>INF PLV SOL 1X100MG</t>
  </si>
  <si>
    <t>126902</t>
  </si>
  <si>
    <t>26902</t>
  </si>
  <si>
    <t>VFEND 200 MG</t>
  </si>
  <si>
    <t>INF PLV SOL 1X200MG</t>
  </si>
  <si>
    <t>126889</t>
  </si>
  <si>
    <t>26889</t>
  </si>
  <si>
    <t>POR TBL OBD14X200MG</t>
  </si>
  <si>
    <t>164401</t>
  </si>
  <si>
    <t>FLUCONAZOL KABI 2 MG/ML</t>
  </si>
  <si>
    <t>INF SOL 10X100ML/200MG</t>
  </si>
  <si>
    <t>164407</t>
  </si>
  <si>
    <t>INF SOL 10X200ML/400MG</t>
  </si>
  <si>
    <t>64942</t>
  </si>
  <si>
    <t>DIFLUCAN 100 MG</t>
  </si>
  <si>
    <t>POR CPS DUR 28X100MG</t>
  </si>
  <si>
    <t>50113008</t>
  </si>
  <si>
    <t>97910</t>
  </si>
  <si>
    <t>Human Albumin 20% 100 ml GRIFOLS</t>
  </si>
  <si>
    <t>29980</t>
  </si>
  <si>
    <t>FLEBOGAMMA 10g DIF Grifols</t>
  </si>
  <si>
    <t>26042</t>
  </si>
  <si>
    <t>KIOVIG 10 g CZ Baxter</t>
  </si>
  <si>
    <t>0062464</t>
  </si>
  <si>
    <t>Haemocomplettan P 1000mg</t>
  </si>
  <si>
    <t>0138455</t>
  </si>
  <si>
    <t>ALBUNORM 20%</t>
  </si>
  <si>
    <t>INF SOL 1X100MLX200G/L</t>
  </si>
  <si>
    <t>6480</t>
  </si>
  <si>
    <t>Ocplex 20ml 500 I.U. Phoenix</t>
  </si>
  <si>
    <t>0129056</t>
  </si>
  <si>
    <t>ATENATIV 500 I.U. Phoenix</t>
  </si>
  <si>
    <t>50113011</t>
  </si>
  <si>
    <t>87240</t>
  </si>
  <si>
    <t>Fanhdi 100 I.U/ml(1000 I.U.)GRIFOLS</t>
  </si>
  <si>
    <t>87239</t>
  </si>
  <si>
    <t>Fanhdi 50 I.U./ml(500 I.U) GRIFOLS</t>
  </si>
  <si>
    <t>50113002</t>
  </si>
  <si>
    <t>195947</t>
  </si>
  <si>
    <t>95947</t>
  </si>
  <si>
    <t>AMINOMIX 2 NOVUM</t>
  </si>
  <si>
    <t>INF SOL4X2000ML</t>
  </si>
  <si>
    <t>158628</t>
  </si>
  <si>
    <t>58628</t>
  </si>
  <si>
    <t>NUTRAMIN VLI</t>
  </si>
  <si>
    <t>INF 1X500ML</t>
  </si>
  <si>
    <t>111453</t>
  </si>
  <si>
    <t>11453</t>
  </si>
  <si>
    <t>OLICLINOMEL N8-800</t>
  </si>
  <si>
    <t>INF EML4X2000ML</t>
  </si>
  <si>
    <t>103414</t>
  </si>
  <si>
    <t>3414</t>
  </si>
  <si>
    <t>NUTRIFLEX PERI</t>
  </si>
  <si>
    <t>INF SOL 5X2000ML</t>
  </si>
  <si>
    <t>103513</t>
  </si>
  <si>
    <t>3513</t>
  </si>
  <si>
    <t>NUTRIFLEX BASAL</t>
  </si>
  <si>
    <t>142003</t>
  </si>
  <si>
    <t>NEPHROTECT</t>
  </si>
  <si>
    <t>INF SOL 10X500ML</t>
  </si>
  <si>
    <t>149415</t>
  </si>
  <si>
    <t>49415</t>
  </si>
  <si>
    <t>AMINOPLASMAL B.BRAUN 10%</t>
  </si>
  <si>
    <t>149409</t>
  </si>
  <si>
    <t>49409</t>
  </si>
  <si>
    <t>AMINOPLASMAL B.BRAUN 5% E</t>
  </si>
  <si>
    <t>116337</t>
  </si>
  <si>
    <t>16337</t>
  </si>
  <si>
    <t>LIPOPLUS 20%</t>
  </si>
  <si>
    <t>INFEML10X250ML-SKLO</t>
  </si>
  <si>
    <t>165317</t>
  </si>
  <si>
    <t>65317</t>
  </si>
  <si>
    <t>ELOTRACE I.V.</t>
  </si>
  <si>
    <t>INF 10X100ML</t>
  </si>
  <si>
    <t>394774</t>
  </si>
  <si>
    <t>157118</t>
  </si>
  <si>
    <t>OLIMEL N9</t>
  </si>
  <si>
    <t>116338</t>
  </si>
  <si>
    <t>16338</t>
  </si>
  <si>
    <t>INFEML10X500ML-SKLO</t>
  </si>
  <si>
    <t>396920</t>
  </si>
  <si>
    <t>100152</t>
  </si>
  <si>
    <t>AMINOPLASMAL 15%</t>
  </si>
  <si>
    <t>INF 10X500ML</t>
  </si>
  <si>
    <t>396914</t>
  </si>
  <si>
    <t>52301</t>
  </si>
  <si>
    <t>AMINOPLASMAL HEPA-10%</t>
  </si>
  <si>
    <t>397303</t>
  </si>
  <si>
    <t>152193</t>
  </si>
  <si>
    <t>NUTRIFLEX OMEGA SPECIAL</t>
  </si>
  <si>
    <t>INF EML 5X625ML</t>
  </si>
  <si>
    <t>95639</t>
  </si>
  <si>
    <t>NUTRIFLEX LIPID PERI</t>
  </si>
  <si>
    <t>INF EML 5X1250ML</t>
  </si>
  <si>
    <t>Oddělení int. péče chirurg. oborů</t>
  </si>
  <si>
    <t>IPCHO: JIP 51</t>
  </si>
  <si>
    <t>Lékárna - léčiva</t>
  </si>
  <si>
    <t>Lékárna - enterární výživa</t>
  </si>
  <si>
    <t>Lékárna - deriváty</t>
  </si>
  <si>
    <t>Lékárna - antibiotika</t>
  </si>
  <si>
    <t>Lékárna - antimykotika</t>
  </si>
  <si>
    <t>393 TO krevní deriváty IVLP (112 01 003)</t>
  </si>
  <si>
    <t>394 TO krevní deriváty hemofilici (112 01 003)</t>
  </si>
  <si>
    <t>Lékárna - parenter. výživa</t>
  </si>
  <si>
    <t>5931 - IPCHO: JIP 51</t>
  </si>
  <si>
    <t>N01AH03 - Sufentanyl</t>
  </si>
  <si>
    <t>N05CD08 - Midazolam</t>
  </si>
  <si>
    <t>J01GB03 - Gentamicin</t>
  </si>
  <si>
    <t>V06XX - Potraviny pro zvláštní lékařské účely (PZLÚ)</t>
  </si>
  <si>
    <t>J01DD01 - Cefotaxim</t>
  </si>
  <si>
    <t>J01CR01 - Ampicilin a enzymový inhibitor</t>
  </si>
  <si>
    <t>J01DB04 - Cefazolin</t>
  </si>
  <si>
    <t>J01GB06 - Amikacin</t>
  </si>
  <si>
    <t>R01AA07 - Xylometazolin</t>
  </si>
  <si>
    <t>B01AC04 - Klopidogrel</t>
  </si>
  <si>
    <t>M01AX17 - Nimesulid</t>
  </si>
  <si>
    <t>N06AB10 - Escitalopram</t>
  </si>
  <si>
    <t>N03AX09 - Lamotrigin</t>
  </si>
  <si>
    <t>J01XA01 - Vankomycin</t>
  </si>
  <si>
    <t>J01FA09 - Klarithromycin</t>
  </si>
  <si>
    <t>C09AA05 - Ramipril</t>
  </si>
  <si>
    <t>J02AC03 - Vorikonazol</t>
  </si>
  <si>
    <t>C09BA04 - Perindopril a diuretika</t>
  </si>
  <si>
    <t>C09AA04 - Perindopril</t>
  </si>
  <si>
    <t>C09DA01 - Losartan a diuretika</t>
  </si>
  <si>
    <t>A04AA01 - Ondansetron</t>
  </si>
  <si>
    <t>C10AA05 - Atorvastatin</t>
  </si>
  <si>
    <t>J01XD01 - Metronidazol</t>
  </si>
  <si>
    <t>G04CA02 - Tamsulosin</t>
  </si>
  <si>
    <t>A06AD11 - Laktulóza</t>
  </si>
  <si>
    <t>H01CB02 - Oktreotid</t>
  </si>
  <si>
    <t>N04BC04 - Ropinirol</t>
  </si>
  <si>
    <t>H02AB04 - Methylprednisolon</t>
  </si>
  <si>
    <t>A03FA07 - Itopridum</t>
  </si>
  <si>
    <t>H03AA01 - Levothyroxin, sodná sůl</t>
  </si>
  <si>
    <t>J01FF01 - Klindamycin</t>
  </si>
  <si>
    <t>J01AA12 - Tigecyklin</t>
  </si>
  <si>
    <t>C02AC05 - Moxonidin</t>
  </si>
  <si>
    <t>J01CA01 - Ampicilin</t>
  </si>
  <si>
    <t>J01XB01 - Kolistin</t>
  </si>
  <si>
    <t>C07AB05 - Betaxolol</t>
  </si>
  <si>
    <t>J02AC01 - Flukonazol</t>
  </si>
  <si>
    <t>J01CR02 - Amoxicilin a enzymový inhibitor</t>
  </si>
  <si>
    <t>C07AB07 - Bisoprolol</t>
  </si>
  <si>
    <t>J01CR05 - Piperacilin a enzymový inhibitor</t>
  </si>
  <si>
    <t>N03AG01 - Kyselina valproová</t>
  </si>
  <si>
    <t>C01BD01 - Amiodaron</t>
  </si>
  <si>
    <t>N03AX12 - Gabapentin</t>
  </si>
  <si>
    <t>A10AB05 - Inzulin aspart</t>
  </si>
  <si>
    <t>N05BA12 - Alprazolam</t>
  </si>
  <si>
    <t>N06AB04 - Citalopram</t>
  </si>
  <si>
    <t>C02CA04 - Doxazosin</t>
  </si>
  <si>
    <t>N06AB06 - Sertralin</t>
  </si>
  <si>
    <t>R03AC02 - Salbutamol</t>
  </si>
  <si>
    <t>R06AE09 - Levocetirizin</t>
  </si>
  <si>
    <t>J01DC02 - Cefuroxim</t>
  </si>
  <si>
    <t>R06AE07 - Cetirizin</t>
  </si>
  <si>
    <t>A02BC02 - Pantoprazol</t>
  </si>
  <si>
    <t>A10BA02 - Metformin</t>
  </si>
  <si>
    <t>J01DD02 - Ceftazidim</t>
  </si>
  <si>
    <t>B01AB06 - Nadroparin</t>
  </si>
  <si>
    <t>J01DH02 - Meropenem</t>
  </si>
  <si>
    <t>A02BC02</t>
  </si>
  <si>
    <t>TBL ENT 100X40MG I</t>
  </si>
  <si>
    <t>A03FA07</t>
  </si>
  <si>
    <t>TBL FLM 100X50MG</t>
  </si>
  <si>
    <t>A04AA01</t>
  </si>
  <si>
    <t>ONDANSETRON B. BRAUN 2 MG/ML INJEKČNÍ ROZTOK</t>
  </si>
  <si>
    <t>INJ SOL 20X4MLX2MG/ML II</t>
  </si>
  <si>
    <t>A06AD11</t>
  </si>
  <si>
    <t>SIR 1X200MLX0,667GM/ML</t>
  </si>
  <si>
    <t>SIR 1X500MLX0,667GM/ML</t>
  </si>
  <si>
    <t>A10AB05</t>
  </si>
  <si>
    <t>NOVORAPID 100 JEDNOTEK/ML</t>
  </si>
  <si>
    <t>INJ SOL 1X10MLX100UT/ML</t>
  </si>
  <si>
    <t>NOVORAPID PENFILL 100 JEDNOTEK/ML</t>
  </si>
  <si>
    <t>INJ SOL 5X3MLX100UT/ML</t>
  </si>
  <si>
    <t>A10BA02</t>
  </si>
  <si>
    <t>TBL FLM 120X500MG I</t>
  </si>
  <si>
    <t>TBL FLM 60X500MG I</t>
  </si>
  <si>
    <t>B01AB06</t>
  </si>
  <si>
    <t>INJ SOL 10X5MLX9500IU/ML</t>
  </si>
  <si>
    <t>INJ SOL ISP 10X0,6ML</t>
  </si>
  <si>
    <t>B01AC04</t>
  </si>
  <si>
    <t>TBL FLM 28X75MG</t>
  </si>
  <si>
    <t>TBL FLM 30X75MG</t>
  </si>
  <si>
    <t>C01BD01</t>
  </si>
  <si>
    <t>INJ SOL 6X3MLX50MG/ML</t>
  </si>
  <si>
    <t>TBL NOB 30X200MG</t>
  </si>
  <si>
    <t>C02AC05</t>
  </si>
  <si>
    <t>MOXOSTAD 0,3 MG</t>
  </si>
  <si>
    <t>TBL FLM 30X0,3MG</t>
  </si>
  <si>
    <t>C02CA04</t>
  </si>
  <si>
    <t>TBL NOB 30X4MG</t>
  </si>
  <si>
    <t>C07AB05</t>
  </si>
  <si>
    <t>TBL FLM 28X20MG</t>
  </si>
  <si>
    <t>C07AB07</t>
  </si>
  <si>
    <t>TBL FLM 30X5MG</t>
  </si>
  <si>
    <t>TBL FLM 30X10MG</t>
  </si>
  <si>
    <t>C09AA04</t>
  </si>
  <si>
    <t>TBL FLM 90X5MG</t>
  </si>
  <si>
    <t>C09AA05</t>
  </si>
  <si>
    <t>TBL NOB 20X1,25MG</t>
  </si>
  <si>
    <t>TRITACE 5 MG</t>
  </si>
  <si>
    <t>TBL NOB 30X5MG</t>
  </si>
  <si>
    <t>C09BA04</t>
  </si>
  <si>
    <t>TBL FLM 30X10MG/2,5MG</t>
  </si>
  <si>
    <t>C09DA01</t>
  </si>
  <si>
    <t>TBL FLM 30X50MG/12,5MG</t>
  </si>
  <si>
    <t>C10AA05</t>
  </si>
  <si>
    <t>SORTIS 40 MG</t>
  </si>
  <si>
    <t>TBL FLM 30X40MG</t>
  </si>
  <si>
    <t>G04CA02</t>
  </si>
  <si>
    <t>CPS RDR 30X0,4MG</t>
  </si>
  <si>
    <t>H01CB02</t>
  </si>
  <si>
    <t>SANDOSTATIN 0,1 MG/ML</t>
  </si>
  <si>
    <t>INJ+INF SOL 5X1MLX0,1MG/ML</t>
  </si>
  <si>
    <t>H02AB04</t>
  </si>
  <si>
    <t>TBL NOB 30X4MG I</t>
  </si>
  <si>
    <t>SOLU-MEDROL 40 MG/ML</t>
  </si>
  <si>
    <t>INJ PSO LQF 40MG+1MLX40MG/ML</t>
  </si>
  <si>
    <t>H03AA01</t>
  </si>
  <si>
    <t>TBL NOB 100X137RG II</t>
  </si>
  <si>
    <t>TBL NOB 100X125RG II</t>
  </si>
  <si>
    <t>TBL NOB 100X75RG II</t>
  </si>
  <si>
    <t>TBL NOB 100X50RG II</t>
  </si>
  <si>
    <t>TBL NOB 100X100RG II</t>
  </si>
  <si>
    <t>EUTHYROX 75 MIKROGRAMŮ</t>
  </si>
  <si>
    <t>TBL NOB 100X75RG</t>
  </si>
  <si>
    <t>J01AA12</t>
  </si>
  <si>
    <t>INF PLV SOL 10X50MG</t>
  </si>
  <si>
    <t>J01CA01</t>
  </si>
  <si>
    <t>J01CR01</t>
  </si>
  <si>
    <t>AMPICILLIN AND SULBACTAM IBI 1 G + 500 MG PRÁŠEK PRO INJEKČNÍ ROZTOK</t>
  </si>
  <si>
    <t>INJ PLV SOL 10 LAH (20 ML)</t>
  </si>
  <si>
    <t>INJ PLV SOL 1X1GM/0,5GM</t>
  </si>
  <si>
    <t>J01CR02</t>
  </si>
  <si>
    <t>AMOKSIKLAV 1 G</t>
  </si>
  <si>
    <t>TBL FLM 14X875MG/125MG</t>
  </si>
  <si>
    <t>AMOKSIKLAV 1,2 G</t>
  </si>
  <si>
    <t>INJ+INF PLV SOL 5X1000MG/200MG</t>
  </si>
  <si>
    <t>J01CR05</t>
  </si>
  <si>
    <t>INF PLV SOL 10X4GM/0,5GM</t>
  </si>
  <si>
    <t>J01DB04</t>
  </si>
  <si>
    <t>J01DC02</t>
  </si>
  <si>
    <t>INJ+INF PLV SOL 10X1,5GM</t>
  </si>
  <si>
    <t>J01DD01</t>
  </si>
  <si>
    <t>J01DD02</t>
  </si>
  <si>
    <t>CEFTAZIDIM KABI 1 G</t>
  </si>
  <si>
    <t>CEFTAZIDIM KABI 2 G</t>
  </si>
  <si>
    <t>J01DH02</t>
  </si>
  <si>
    <t>J01FA09</t>
  </si>
  <si>
    <t>J01FF01</t>
  </si>
  <si>
    <t>CLINDAMYCIN KABI 150 MG/ML</t>
  </si>
  <si>
    <t>INJ SOL 10X2MLX150MG/ML</t>
  </si>
  <si>
    <t>INJ SOL 10X4MLX150MG/ML</t>
  </si>
  <si>
    <t>J01GB03</t>
  </si>
  <si>
    <t>GENTAMICIN B.BRAUN 3 MG/ML INFUZNÍ ROZTOK</t>
  </si>
  <si>
    <t>INF SOL 20X80MLX3MG/ML</t>
  </si>
  <si>
    <t>INJ+INF SOL 10X2MLX40MG/ML</t>
  </si>
  <si>
    <t>J01GB06</t>
  </si>
  <si>
    <t>INJ+INF SOL 10X2MLX250MG/ML</t>
  </si>
  <si>
    <t>AMIKIN 500 MG</t>
  </si>
  <si>
    <t>INJ SOL 1X2MLX250MG/ML</t>
  </si>
  <si>
    <t>J01XA01</t>
  </si>
  <si>
    <t>J01XB01</t>
  </si>
  <si>
    <t>COLOMYCIN INJEKCE 1 000 000 MEZINÁRODNÍCH JEDNOTEK</t>
  </si>
  <si>
    <t>INJ PLV SOL+SOL NEB 10X1MUX1MU</t>
  </si>
  <si>
    <t>J01XD01</t>
  </si>
  <si>
    <t>METRONIDAZOLE 0,5%-POLPHARMA</t>
  </si>
  <si>
    <t>INF SOL 1X100MLX5MG/ML</t>
  </si>
  <si>
    <t>J02AC01</t>
  </si>
  <si>
    <t>INF SOL 10X100MLX2MG/ML</t>
  </si>
  <si>
    <t>INF SOL 10X200MLX2MG/ML</t>
  </si>
  <si>
    <t>CPS DUR 28X100MG I</t>
  </si>
  <si>
    <t>J02AC03</t>
  </si>
  <si>
    <t>TBL FLM 14X200MG</t>
  </si>
  <si>
    <t>M01AX17</t>
  </si>
  <si>
    <t>TBL NOB 30X100MG</t>
  </si>
  <si>
    <t>N01AH03</t>
  </si>
  <si>
    <t>SUFENTANIL TORREX 50 MIKROGRAMŮ/ML</t>
  </si>
  <si>
    <t>INJ SOL 5X5MLX50RG/ML</t>
  </si>
  <si>
    <t>SUFENTA FORTE</t>
  </si>
  <si>
    <t>INJ SOL 5X1MLX50RG/ML</t>
  </si>
  <si>
    <t>N03AG01</t>
  </si>
  <si>
    <t>INJ PSO LQF 4+4X4MLX100MG/ML</t>
  </si>
  <si>
    <t>N03AX09</t>
  </si>
  <si>
    <t>TBL NOB 42X100MG</t>
  </si>
  <si>
    <t>TBL NOB 42X25MG</t>
  </si>
  <si>
    <t>N03AX12</t>
  </si>
  <si>
    <t>NEURONTIN 100 MG</t>
  </si>
  <si>
    <t>CPS DUR 20X100MG</t>
  </si>
  <si>
    <t>CPS DUR 100X100MG</t>
  </si>
  <si>
    <t>NEURONTIN 300 MG</t>
  </si>
  <si>
    <t>CPS DUR 50X300MG</t>
  </si>
  <si>
    <t>N04BC04</t>
  </si>
  <si>
    <t>TBL PRO 28X4MG II</t>
  </si>
  <si>
    <t>N05BA12</t>
  </si>
  <si>
    <t>XANAX SR 0,5 MG</t>
  </si>
  <si>
    <t>TBL PRO 30X0,5MG</t>
  </si>
  <si>
    <t>XANAX 0,25 MG</t>
  </si>
  <si>
    <t>TBL NOB 30X0,25MG</t>
  </si>
  <si>
    <t>XANAX 0,5 MG</t>
  </si>
  <si>
    <t>TBL NOB 30X0,5MG</t>
  </si>
  <si>
    <t>N05CD08</t>
  </si>
  <si>
    <t>INJ+INF+RCT SOL 10X50MLX1MG/ML</t>
  </si>
  <si>
    <t>N06AB04</t>
  </si>
  <si>
    <t>TBL FLM 60X20MG</t>
  </si>
  <si>
    <t>TBL FLM 30X20MG</t>
  </si>
  <si>
    <t>N06AB06</t>
  </si>
  <si>
    <t>ZOLOFT 100 MG</t>
  </si>
  <si>
    <t>TBL FLM 28X100MG</t>
  </si>
  <si>
    <t>N06AB10</t>
  </si>
  <si>
    <t>TBL FLM 28X10MG</t>
  </si>
  <si>
    <t>TBL FLM 28X5MG</t>
  </si>
  <si>
    <t>R01AA07</t>
  </si>
  <si>
    <t>OLYNTH 0,05%</t>
  </si>
  <si>
    <t>NAS SPR SOL 1X10MLX0,5MG/ML</t>
  </si>
  <si>
    <t>R03AC02</t>
  </si>
  <si>
    <t>INH SOL 1X20MLX5MG/ML</t>
  </si>
  <si>
    <t>R06AE07</t>
  </si>
  <si>
    <t>R06AE09</t>
  </si>
  <si>
    <t>TBL FLM 90X5MG I</t>
  </si>
  <si>
    <t>V06XX</t>
  </si>
  <si>
    <t>NUTRISON PROTEIN PLUS MULTI FIBRE</t>
  </si>
  <si>
    <t>POR SOL 1X500ML</t>
  </si>
  <si>
    <t>CUBITAN S PŘÍCHUTÍ VANILKOVOU</t>
  </si>
  <si>
    <t>CUBITAN S PŘÍCHUTÍ JAHODOVOU</t>
  </si>
  <si>
    <t>CALOGEN NEUTRAL</t>
  </si>
  <si>
    <t>POR EML 1X200ML</t>
  </si>
  <si>
    <t>NUTRILAC NATURAL PLUS</t>
  </si>
  <si>
    <t>NUTRILAC COFFEE S</t>
  </si>
  <si>
    <t>NUTRILAC VANILKA S</t>
  </si>
  <si>
    <t>NUTRIDRINK CREME S PŘÍCHUTÍ LESNÍHO OVOCE</t>
  </si>
  <si>
    <t>Přehled plnění pozitivního listu - spotřeba léčivých přípravků - orientační přehled</t>
  </si>
  <si>
    <t>59 - Oddělení intenzivní péče chirurgických oborů</t>
  </si>
  <si>
    <t>5931 - JIP 51</t>
  </si>
  <si>
    <t>ZA324</t>
  </si>
  <si>
    <t>Náplast tegaderm 10,0 cm x 12,0 cm bal. á 50 ks 1626W</t>
  </si>
  <si>
    <t>ZA325</t>
  </si>
  <si>
    <t>Krytí hypro-sorb R 65 x 55 mm 002</t>
  </si>
  <si>
    <t>ZA329</t>
  </si>
  <si>
    <t>Obinadlo fixa crep   6 cm x 4 m 1323100102</t>
  </si>
  <si>
    <t>ZA330</t>
  </si>
  <si>
    <t>Obinadlo fixa crep   8 cm x 4 m 1323100103</t>
  </si>
  <si>
    <t>ZA331</t>
  </si>
  <si>
    <t>Obinadlo fixa crep 10 cm x 4 m 1323100104</t>
  </si>
  <si>
    <t>ZA338</t>
  </si>
  <si>
    <t>Obinadlo hydrofilní   6 cm x   5 m 13005</t>
  </si>
  <si>
    <t>ZA339</t>
  </si>
  <si>
    <t>Obinadlo hydrofilní   8 cm x   5 m 13006</t>
  </si>
  <si>
    <t>ZA340</t>
  </si>
  <si>
    <t>Obinadlo hydrofilní 12 cm x   5 m 13008</t>
  </si>
  <si>
    <t>ZA418</t>
  </si>
  <si>
    <t>Náplast metaline pod TS 8 x 9 cm 23094</t>
  </si>
  <si>
    <t>ZA419</t>
  </si>
  <si>
    <t>Náplast octacare cotton tape- betaplast 10 cm x 5 m (510W) 10510</t>
  </si>
  <si>
    <t>ZA425</t>
  </si>
  <si>
    <t>Obinadlo hydrofilní 10 cm x   5 m 13007</t>
  </si>
  <si>
    <t>ZA436</t>
  </si>
  <si>
    <t>Obvaz elastický síťový pruban č. 12 427312</t>
  </si>
  <si>
    <t>ZA444</t>
  </si>
  <si>
    <t>Tampon nesterilní stáčený 20 x 19 cm bez RTG nití bal. á 100 ks 1320300404</t>
  </si>
  <si>
    <t>ZA446</t>
  </si>
  <si>
    <t>Vata buničitá přířezy 20 x 30 cm 1230200129</t>
  </si>
  <si>
    <t>ZA451</t>
  </si>
  <si>
    <t>Náplast omniplast 5,0 cm x 9,2 m 9004540 (900429)</t>
  </si>
  <si>
    <t>ZA459</t>
  </si>
  <si>
    <t>Kompresa AB 10 x 20 cm/1 ks sterilní NT savá 1230114021</t>
  </si>
  <si>
    <t>ZA463</t>
  </si>
  <si>
    <t>Kompresa NT 10 x 20 cm/2 ks sterilní 26620</t>
  </si>
  <si>
    <t>ZA464</t>
  </si>
  <si>
    <t>Kompresa NT 10 x 10 cm/2 ks sterilní 26520</t>
  </si>
  <si>
    <t>ZA466</t>
  </si>
  <si>
    <t>Tyčinka vatová sterilní 14 cm bal. á 200 ks 9679501</t>
  </si>
  <si>
    <t>ZA467</t>
  </si>
  <si>
    <t>Tyčinka vatová nesterilní 15 cm bal. á 100 ks 9679369</t>
  </si>
  <si>
    <t>ZA478</t>
  </si>
  <si>
    <t>Krytí actisorb plus 10,5 x 10,5 cm bal. á 10 ks s aktivním uhlím SYSMAP105EE</t>
  </si>
  <si>
    <t>ZA537</t>
  </si>
  <si>
    <t>Krytí mepilex heel 13 x 20 cm bal. á 5 ks 288100-01</t>
  </si>
  <si>
    <t>ZA539</t>
  </si>
  <si>
    <t>Kompresa NT 10 x 10 cm nesterilní 06103</t>
  </si>
  <si>
    <t>ZA542</t>
  </si>
  <si>
    <t>Náplast wet pruf voduvzd. 1,25 cm x 9,14 m bal. á 24 ks K00-3063C</t>
  </si>
  <si>
    <t>ZA544</t>
  </si>
  <si>
    <t>Krytí inadine nepřilnavé 5,0 x 5,0 cm 1/10 SYS01481EE</t>
  </si>
  <si>
    <t>ZA547</t>
  </si>
  <si>
    <t>Krytí inadine nepřilnavé 9,5 x 9,5 cm 1/10 SYS01512EE</t>
  </si>
  <si>
    <t>ZA550</t>
  </si>
  <si>
    <t>Krytí hydrogelové nu-gel 25 g bal. á 6 ks MNG425</t>
  </si>
  <si>
    <t>ZA558</t>
  </si>
  <si>
    <t>Tampon-gazin sterilní bal. á 125 ks 14962</t>
  </si>
  <si>
    <t>ZA561</t>
  </si>
  <si>
    <t>Kompresa AB 20 x 40 cm/1 ks sterilní NT savá 1230114051</t>
  </si>
  <si>
    <t>ZA562</t>
  </si>
  <si>
    <t>Náplast cosmopor i. v. 6 x 8 cm bal. á 50 ks 9008054</t>
  </si>
  <si>
    <t>ZA563</t>
  </si>
  <si>
    <t>Kompresa AB 20 x 20 cm/1 ks sterilní NT savá 1230114041</t>
  </si>
  <si>
    <t>ZA617</t>
  </si>
  <si>
    <t>Tampon TC-OC k ošetření dutiny ústní á 250 ks 12240</t>
  </si>
  <si>
    <t>ZA643</t>
  </si>
  <si>
    <t>Kompresa vliwasoft 10 x 20 nesterilní á 100 ks 12070</t>
  </si>
  <si>
    <t>ZA664</t>
  </si>
  <si>
    <t>Krytí gelové hydrokoloidní Flamigel 250 ml FLAM250</t>
  </si>
  <si>
    <t>ZB084</t>
  </si>
  <si>
    <t>Náplast transpore 2,50 cm x 9,14 m 1527-1</t>
  </si>
  <si>
    <t>ZC100</t>
  </si>
  <si>
    <t>Vata buničitá dělená 2 role / 500 ks 40 x 50 mm 1230200310</t>
  </si>
  <si>
    <t>ZC506</t>
  </si>
  <si>
    <t>Kompresa NT 10 x 10 cm/5 ks sterilní 1325020275</t>
  </si>
  <si>
    <t>ZC550</t>
  </si>
  <si>
    <t>Krytí mepilex silikonový Ag 10 x 10 cm bal. á 5 ks 287110-00</t>
  </si>
  <si>
    <t>ZC702</t>
  </si>
  <si>
    <t>Náplast tegaderm 6,0 cm x 7,0 cm bal. á 100 ks 1624W</t>
  </si>
  <si>
    <t>ZC845</t>
  </si>
  <si>
    <t>Kompresa NT 10 x 20 cm/5 ks sterilní 26621</t>
  </si>
  <si>
    <t>ZC846</t>
  </si>
  <si>
    <t>Kompresa AB 15 x 25 cm/1 ks sterilní NT savá 1230114031</t>
  </si>
  <si>
    <t>ZC885</t>
  </si>
  <si>
    <t>Náplast omnifix E 10 cm x 10 m 900650</t>
  </si>
  <si>
    <t>ZD631</t>
  </si>
  <si>
    <t>Krytí pharmafoam-trach. s výřezem 8 x 8 cm bal. á 10 ks P-Tracheo 808</t>
  </si>
  <si>
    <t>ZE748</t>
  </si>
  <si>
    <t>Krytí melgisorb Ag alginátové absorpční 10 x 10 cm bal. á 10 ks 256100-00</t>
  </si>
  <si>
    <t>ZH012</t>
  </si>
  <si>
    <t>Náplast micropore 2,50 cm x 9,10 m 840W-1</t>
  </si>
  <si>
    <t>ZI558</t>
  </si>
  <si>
    <t>Náplast curapor   7 x   5 cm 22120 ( náhrada za cosmopor )</t>
  </si>
  <si>
    <t>ZI599</t>
  </si>
  <si>
    <t>Náplast curapor 10 x   8 cm 22121 ( náhrada za cosmopor )</t>
  </si>
  <si>
    <t>ZI600</t>
  </si>
  <si>
    <t>Náplast curapor 10 x 15 cm 32914 ( náhrada za cosmopor )</t>
  </si>
  <si>
    <t>ZK352</t>
  </si>
  <si>
    <t>Krytí - rotok Hyiodine na chronické rány bal. á 50 ml HYIODINE</t>
  </si>
  <si>
    <t>ZK405</t>
  </si>
  <si>
    <t>Krytí gelitaspon standard 80 x 50 mm x 10 mm bal. á 10 ks A2107861</t>
  </si>
  <si>
    <t>ZA442</t>
  </si>
  <si>
    <t>Steh náplasťový Steri-strip 6 x 75 mm bal. á 50 ks R1541</t>
  </si>
  <si>
    <t>ZB086</t>
  </si>
  <si>
    <t>Krytí surgicel standard 10 x 20,0 cm bal. á 24 ks 1902GB</t>
  </si>
  <si>
    <t>ZL410</t>
  </si>
  <si>
    <t>Krytí gelové Hemagel 100 g A2681147</t>
  </si>
  <si>
    <t>ZL664</t>
  </si>
  <si>
    <t>Krytí mastný tyl pharmatull 10 x 20 cm bal. á 10 ks P-Tull1020</t>
  </si>
  <si>
    <t>ZK087</t>
  </si>
  <si>
    <t>Krém cavilon ochranný bariérový á 28 g bal. á 12 ks 3391E</t>
  </si>
  <si>
    <t>ZL999</t>
  </si>
  <si>
    <t>Rychloobvaz 8 x 4 cm / 3 ks 001445510</t>
  </si>
  <si>
    <t>ZF042</t>
  </si>
  <si>
    <t>Krytí mastný tyl jelonet 10 x 10 cm á 10 ks 7404</t>
  </si>
  <si>
    <t>ZA065</t>
  </si>
  <si>
    <t>Verba č. 5 - břišní pás 105 - 115 cm 932535</t>
  </si>
  <si>
    <t>ZD819</t>
  </si>
  <si>
    <t>Krytí debrisoft 10 x 10 cm bal. á 5 ks 31222</t>
  </si>
  <si>
    <t>ZF749</t>
  </si>
  <si>
    <t>Fixace nosních katetrů nasofix niko S střední bal. á 100 ks 49-625-S(625M-S)</t>
  </si>
  <si>
    <t>ZE894</t>
  </si>
  <si>
    <t>Krytí mepilex transfer Ag 7,5 x 8,5 cm bal. á 10 ks 394000</t>
  </si>
  <si>
    <t>ZA066</t>
  </si>
  <si>
    <t>Verba č. 4 - břišní pás 95 - 105 cm 932534</t>
  </si>
  <si>
    <t>ZM769</t>
  </si>
  <si>
    <t>Ubrousky cavilon pro péči při inkontinenci 8 ubrousků 20 x 30 cm bal. á 96 ks 9274 DH888843488</t>
  </si>
  <si>
    <t>ZA067</t>
  </si>
  <si>
    <t>Verba č. 3 - břišní pás 85 - 95 cm 932533</t>
  </si>
  <si>
    <t>ZD632</t>
  </si>
  <si>
    <t>Krytí pharmapore silver-polšt. se stříbrem 8 x 10 cm bal. á 100 ks P8010S</t>
  </si>
  <si>
    <t>ZN467</t>
  </si>
  <si>
    <t>Náplast elastpore+pad i. v. 6 x 8 cm steril. 1320113503</t>
  </si>
  <si>
    <t>ZN477</t>
  </si>
  <si>
    <t>Obinadlo elastické universal 12 cm x 5 m 1323100314</t>
  </si>
  <si>
    <t>ZN478</t>
  </si>
  <si>
    <t>Obinadlo elastické universal 10 cm x 5 m 1323100313</t>
  </si>
  <si>
    <t>ZN475</t>
  </si>
  <si>
    <t>Obinadlo elastické universal   8 cm x 5 m 1323100312</t>
  </si>
  <si>
    <t>ZA564</t>
  </si>
  <si>
    <t>Náplast curagard SP 7,5 cm x 6 cm á 100 ks 30117</t>
  </si>
  <si>
    <t>ZA543</t>
  </si>
  <si>
    <t>Krytí tielle pěnové   7 x  9 cm bal. á 10 ks SYS MTL100 EE</t>
  </si>
  <si>
    <t>ZA479</t>
  </si>
  <si>
    <t>Krytí tielle pěnové 11 x 11 cm bal. á 10 ks SYS MTL101 EE</t>
  </si>
  <si>
    <t>ZA119</t>
  </si>
  <si>
    <t>Trokar hrudní 18F 30 cm 636,18</t>
  </si>
  <si>
    <t>ZA206</t>
  </si>
  <si>
    <t>Set perkutální PEG-24-PULL-I-S</t>
  </si>
  <si>
    <t>ZA688</t>
  </si>
  <si>
    <t>Sáček močový curity s hod. diurézou 400 ml hadička 150 cm 8150</t>
  </si>
  <si>
    <t>ZA691</t>
  </si>
  <si>
    <t>Rampa 3 kohouty discofix 16600C/4085434/</t>
  </si>
  <si>
    <t>ZA713</t>
  </si>
  <si>
    <t>Měřič žilního tlaku 01 646992</t>
  </si>
  <si>
    <t>ZA728</t>
  </si>
  <si>
    <t>Lopatka ústní dřevěná lékařská nesterilní bal. á 100 ks 1320100655</t>
  </si>
  <si>
    <t>ZA738</t>
  </si>
  <si>
    <t>Filtr mini spike zelený 4550242</t>
  </si>
  <si>
    <t>ZA787</t>
  </si>
  <si>
    <t>Stříkačka injekční 2-dílná 10 ml L Inject Solo 4606108V</t>
  </si>
  <si>
    <t>ZA788</t>
  </si>
  <si>
    <t>Stříkačka injekční 2-dílná 20 ml L Inject Solo 4606205V</t>
  </si>
  <si>
    <t>ZA789</t>
  </si>
  <si>
    <t>Stříkačka injekční 2-dílná 2 ml L Inject Solo 4606027V</t>
  </si>
  <si>
    <t>ZA790</t>
  </si>
  <si>
    <t>Stříkačka injekční 2-dílná 5 ml L Inject Solo4606051V</t>
  </si>
  <si>
    <t>ZA812</t>
  </si>
  <si>
    <t>Uzávěr do katetrů 4435001</t>
  </si>
  <si>
    <t>ZA831</t>
  </si>
  <si>
    <t>Rourka rektální CH20 délka 40 cm 19-20.100</t>
  </si>
  <si>
    <t>ZA860</t>
  </si>
  <si>
    <t>Spojka dvojitá otočná čistá á 20 ks 23412</t>
  </si>
  <si>
    <t>ZA883</t>
  </si>
  <si>
    <t>Rourka rektální CH18 délka 40 cm 19-18.100</t>
  </si>
  <si>
    <t>ZA884</t>
  </si>
  <si>
    <t>Rourka rektální CH22 délka 40 cm 19-22.100</t>
  </si>
  <si>
    <t>ZA964</t>
  </si>
  <si>
    <t>Stříkačka janett 3-dílná 60 ml sterilní vyplachovací MRG564</t>
  </si>
  <si>
    <t>ZA967</t>
  </si>
  <si>
    <t>Flocare 800 Pack set Transition nový pro enter. vaky ( APA 3227171) 586511</t>
  </si>
  <si>
    <t>ZB249</t>
  </si>
  <si>
    <t>Sáček močový s křížovou výpustí 2000 ml ZAR-TNU201601</t>
  </si>
  <si>
    <t>ZB295</t>
  </si>
  <si>
    <t>Filtr iso-gard hepa čistý bal. á 20 ks 28012</t>
  </si>
  <si>
    <t>ZB314</t>
  </si>
  <si>
    <t>Kanyla TS 8,0 s manžetou bal. á 2 ks 100/523/080</t>
  </si>
  <si>
    <t>ZB361</t>
  </si>
  <si>
    <t>Láhev respiflo 1000 ml 21000</t>
  </si>
  <si>
    <t>ZB387</t>
  </si>
  <si>
    <t>Kanyla ET 8,0 s manžetou 9480E</t>
  </si>
  <si>
    <t>ZB414</t>
  </si>
  <si>
    <t>Kanyla ET 6,0 s manžetou 9460E</t>
  </si>
  <si>
    <t>ZB477</t>
  </si>
  <si>
    <t>Kohout trojcestný lopez valve AA-011-M9000 S</t>
  </si>
  <si>
    <t>ZB488</t>
  </si>
  <si>
    <t>Sprej cavilon 28 ml bal. á 12 ks 3346E</t>
  </si>
  <si>
    <t>ZB543</t>
  </si>
  <si>
    <t>Souprava odběrová tracheální G05206</t>
  </si>
  <si>
    <t>ZB598</t>
  </si>
  <si>
    <t>Spojka symetrická přímá 7 x 7 mm 60.23.00 (120 430)</t>
  </si>
  <si>
    <t>ZB621</t>
  </si>
  <si>
    <t>Adaptér respiflo MN 1072</t>
  </si>
  <si>
    <t>ZB724</t>
  </si>
  <si>
    <t>Kapilára sedimentační kalibrovaná 727111</t>
  </si>
  <si>
    <t>ZB754</t>
  </si>
  <si>
    <t>Zkumavka černá 2 ml 454073</t>
  </si>
  <si>
    <t>ZB756</t>
  </si>
  <si>
    <t>Zkumavka 3 ml K3 edta fialová 454086</t>
  </si>
  <si>
    <t>ZB757</t>
  </si>
  <si>
    <t>Zkumavka 6 ml K3 edta fialová 456036</t>
  </si>
  <si>
    <t>ZB759</t>
  </si>
  <si>
    <t>Zkumavka červená 8 ml gel 455071</t>
  </si>
  <si>
    <t>ZB762</t>
  </si>
  <si>
    <t>Zkumavka červená 6 ml 456092</t>
  </si>
  <si>
    <t>ZB764</t>
  </si>
  <si>
    <t>Zkumavka zelená 4 ml 454051</t>
  </si>
  <si>
    <t>ZB770</t>
  </si>
  <si>
    <t>Držák jehly excentrický Holdex 450263</t>
  </si>
  <si>
    <t>ZB771</t>
  </si>
  <si>
    <t>Držák jehly základní 450201</t>
  </si>
  <si>
    <t>ZB773</t>
  </si>
  <si>
    <t>Zkumavka šedá-glykemie 454085</t>
  </si>
  <si>
    <t>ZB774</t>
  </si>
  <si>
    <t>Zkumavka červená 5 ml gel 456071</t>
  </si>
  <si>
    <t>ZB775</t>
  </si>
  <si>
    <t>Zkumavka koagulace 4 ml modrá 454329</t>
  </si>
  <si>
    <t>ZB777</t>
  </si>
  <si>
    <t>Zkumavka červená 4 ml gel 454071</t>
  </si>
  <si>
    <t>ZB780</t>
  </si>
  <si>
    <t>Kontejner 120 ml sterilní á 50 ks FLME25035</t>
  </si>
  <si>
    <t>ZB804</t>
  </si>
  <si>
    <t>Regulátor průtoku infúze dosicair DF 100</t>
  </si>
  <si>
    <t>ZB893</t>
  </si>
  <si>
    <t>Stříkačka inzulinová omnican 0,5 ml 100j s jehlou 30 G 9151125S</t>
  </si>
  <si>
    <t>ZB948</t>
  </si>
  <si>
    <t>Mikronebulizér MicroMist bal. á 50 ks 41891</t>
  </si>
  <si>
    <t>ZC059</t>
  </si>
  <si>
    <t>Láhev redon drenofast 400 ml-kompletní bal. á 40 ks 28 400</t>
  </si>
  <si>
    <t>ZC074</t>
  </si>
  <si>
    <t>Nebulizátor Typ 753 pro dospělé 01.000.08.753</t>
  </si>
  <si>
    <t>ZC648</t>
  </si>
  <si>
    <t>Elektroda EKG pěnová pr. 55 mm pro dospělé H-108002</t>
  </si>
  <si>
    <t>ZC738</t>
  </si>
  <si>
    <t>Husí krk Expandi-flex 22362</t>
  </si>
  <si>
    <t>ZC755</t>
  </si>
  <si>
    <t>Čepelka skalpelová 22 BB522</t>
  </si>
  <si>
    <t>ZC756</t>
  </si>
  <si>
    <t>Čepelka skalpelová 23 BB523</t>
  </si>
  <si>
    <t>ZC906</t>
  </si>
  <si>
    <t>Škrtidlo se sponou pro dospělé 25 x 500 mm KVS25500</t>
  </si>
  <si>
    <t>ZC948</t>
  </si>
  <si>
    <t>Páska bepa clip pro TS kanylu s háčky 31-43 cm á 12 ks NKS:200443</t>
  </si>
  <si>
    <t>ZD190</t>
  </si>
  <si>
    <t>Kyveta CO2 pro dospělé á 10 ks MP01062</t>
  </si>
  <si>
    <t>ZD462</t>
  </si>
  <si>
    <t>Nos umělý termotrach bal. á 50 ks 038-41-250</t>
  </si>
  <si>
    <t>ZD650</t>
  </si>
  <si>
    <t>Aquapak - sterilní voda 340 ml s adaptérem bal. á 20 ks 400340</t>
  </si>
  <si>
    <t>ZD808</t>
  </si>
  <si>
    <t>Kanyla vasofix 22G modrá safety 4269098S-01</t>
  </si>
  <si>
    <t>ZD809</t>
  </si>
  <si>
    <t>Kanyla vasofix 20G růžová safety 4269110S-01</t>
  </si>
  <si>
    <t>ZD980</t>
  </si>
  <si>
    <t>Kanyla vasofix 18G zelená safety 4269136S-01</t>
  </si>
  <si>
    <t>ZE146</t>
  </si>
  <si>
    <t>Souprava nebulizační uzavřená In-Line-Neb Tee Kit  bal. á 50 ks 41745</t>
  </si>
  <si>
    <t>ZE159</t>
  </si>
  <si>
    <t>Nádoba na kontaminovaný odpad 2 l 15-0003</t>
  </si>
  <si>
    <t>ZF233</t>
  </si>
  <si>
    <t>Stříkačka injekční arteriální 3 ml bez jehly line draw L/S bal. á 200 ks 4043E</t>
  </si>
  <si>
    <t>ZG515</t>
  </si>
  <si>
    <t>Zkumavka močová vacuette 10,5 ml bal. á 50 ks 455007</t>
  </si>
  <si>
    <t>ZH168</t>
  </si>
  <si>
    <t>Stříkačka injekční 3-dílná 1 ml L tuberculin s jehlou KD-JECT III 831786</t>
  </si>
  <si>
    <t>ZH491</t>
  </si>
  <si>
    <t>Stříkačka injekční 3-dílná 50 - 60 ml LL MRG00711</t>
  </si>
  <si>
    <t>ZH845</t>
  </si>
  <si>
    <t>Tyčinka vatová medcomfort + glyc. citónová příchuť bal. á 75 ks 09157-100</t>
  </si>
  <si>
    <t>ZI179</t>
  </si>
  <si>
    <t>Zkumavka s mediem+ flovakovaný tampon eSwab růžový 490CE.A</t>
  </si>
  <si>
    <t>ZI182</t>
  </si>
  <si>
    <t>Zkumavka + aplikátor s chem.stabilizátorem UriSwab žlutá 802CE.A</t>
  </si>
  <si>
    <t>ZI436</t>
  </si>
  <si>
    <t>Brýle kyslíkové americký typ upevnění svorkou ALL SOFT H-103106</t>
  </si>
  <si>
    <t>ZJ312</t>
  </si>
  <si>
    <t>Sonda žaludeční CH16 1200 mm s RTG linkou bal. á 50 ks 412016</t>
  </si>
  <si>
    <t>ZJ659</t>
  </si>
  <si>
    <t>Kohout trojcestný s bezjehlovým konektorem Discofix C bal. á 100 ks 16494CSF</t>
  </si>
  <si>
    <t>ZJ695</t>
  </si>
  <si>
    <t>Sonda žaludeční CH14 1200 mm s RTG linkou bal. á 50 ks 412014</t>
  </si>
  <si>
    <t>ZJ696</t>
  </si>
  <si>
    <t>Sonda žaludeční CH18 1200 mm s RTG linkou bal. á 30 ks 412018</t>
  </si>
  <si>
    <t>ZK179</t>
  </si>
  <si>
    <t>Sonda žaludeční CH12 1200 mm s RTG linkou bal. á 50 ks 412012</t>
  </si>
  <si>
    <t>ZK435</t>
  </si>
  <si>
    <t>Rampa 5 kohoutů discofix bal. á 40 ks 16608C (4085450)</t>
  </si>
  <si>
    <t>ZK798</t>
  </si>
  <si>
    <t>Zátka combi modrá 4495152</t>
  </si>
  <si>
    <t>ZK799</t>
  </si>
  <si>
    <t>Zátka combi červená 4495101</t>
  </si>
  <si>
    <t>ZK884</t>
  </si>
  <si>
    <t>Kohout trojcestný discofix modrý 4095111</t>
  </si>
  <si>
    <t>ZK976</t>
  </si>
  <si>
    <t>Cévka odsávací CH12 s přerušovačem sání P01171a</t>
  </si>
  <si>
    <t>ZK977</t>
  </si>
  <si>
    <t>Cévka odsávací CH14 s přerušovačem sání P01173a</t>
  </si>
  <si>
    <t>ZK978</t>
  </si>
  <si>
    <t>Cévka odsávací CH16 s přerušovačem sání P01175a</t>
  </si>
  <si>
    <t>ZK979</t>
  </si>
  <si>
    <t>Cévka odsávací CH18 s přerušovačem sání P01177a</t>
  </si>
  <si>
    <t>ZL333</t>
  </si>
  <si>
    <t>Systém odsávací uzavřený ET Comfortsoft CH 14 55 cm 72 hod. 02-011-11</t>
  </si>
  <si>
    <t>ZB038</t>
  </si>
  <si>
    <t>Medisize hydrovent S filt./HM</t>
  </si>
  <si>
    <t>ZB056</t>
  </si>
  <si>
    <t>Kanyla TS 8,5 s manžetou bal. á 10 ks 100/800/085</t>
  </si>
  <si>
    <t>ZB303</t>
  </si>
  <si>
    <t>Spojka asymetrická 4 x 7 mm 60.21.00 (120 420)</t>
  </si>
  <si>
    <t>ZB557</t>
  </si>
  <si>
    <t>Přechodka adapter combifix rekord - luer 4090306</t>
  </si>
  <si>
    <t>ZB632</t>
  </si>
  <si>
    <t>Ventil expirační jednorázový á 10 ks 8414776</t>
  </si>
  <si>
    <t>ZB666</t>
  </si>
  <si>
    <t>Spojka Y 9 x 9 x 9 mm symetrická bal. á 100 ks 12049</t>
  </si>
  <si>
    <t>ZD151</t>
  </si>
  <si>
    <t>Ambuvak pro dospělé vak 1,5 l 7152000</t>
  </si>
  <si>
    <t>ZF512</t>
  </si>
  <si>
    <t>Páska bepa clip vario pro TS kanylu 30/V á 6 ks NKS:200602</t>
  </si>
  <si>
    <t>ZI347</t>
  </si>
  <si>
    <t>Podložka natura flexibilní 57 mm bal. á 5 ks 0086766 125903</t>
  </si>
  <si>
    <t>ZL688</t>
  </si>
  <si>
    <t>Proužky Accu-Check Inform IIStrip 50 EU1 á 50 ks 05942861</t>
  </si>
  <si>
    <t>ZL689</t>
  </si>
  <si>
    <t>Roztok Accu-Check Performa Int´l Controls 1+2 level 04861736</t>
  </si>
  <si>
    <t>ZL952</t>
  </si>
  <si>
    <t>Stříkačka injekční 50 ml LL light protected bal.á 60 ks 2022920A</t>
  </si>
  <si>
    <t>ZL951</t>
  </si>
  <si>
    <t>Hadička prodlužovací PVC 150 cm pro světlocitlivé léky NO DOP bal. á 20  ks V686423</t>
  </si>
  <si>
    <t>ZL954</t>
  </si>
  <si>
    <t>Rampa 5 cestná - 5 x konektor s BV NO PVC V696425</t>
  </si>
  <si>
    <t>ZB505</t>
  </si>
  <si>
    <t>Tubo-fix pro ET rourky á 8 ks komplet NKS:20-10</t>
  </si>
  <si>
    <t>ZB899</t>
  </si>
  <si>
    <t>Senzor spirologický bal. á 5 ks 8403735-03</t>
  </si>
  <si>
    <t>ZI346</t>
  </si>
  <si>
    <t>Podložka natura flexibilní 70 mm bal. á 5 ks 0086767 125904</t>
  </si>
  <si>
    <t>ZE195</t>
  </si>
  <si>
    <t>Manžeta TK k monitoru Mindray a další jednohadičková s vložkou 25 - 35 cm dospělá MEC 1200 NIBPHPA</t>
  </si>
  <si>
    <t>ZA685</t>
  </si>
  <si>
    <t>Sonda pro tamponádu jícnu č.7 699021PHX</t>
  </si>
  <si>
    <t>ZB389</t>
  </si>
  <si>
    <t>Kanyla ET 9,0 s manžetou bal. á 10 ks 9590E</t>
  </si>
  <si>
    <t>ZJ672</t>
  </si>
  <si>
    <t>Pohár na moč 250 ml UH GAMA204809</t>
  </si>
  <si>
    <t>ZB054</t>
  </si>
  <si>
    <t>Láhev 2,00 l šroubový uzávěr 000-030-000 (111-888-200)</t>
  </si>
  <si>
    <t>ZA753</t>
  </si>
  <si>
    <t>Sonda flocare PUR CH8/110 cm enlock 2778398</t>
  </si>
  <si>
    <t>ZD254</t>
  </si>
  <si>
    <t>Souprava flexi seal FMS pro fekální inkont. Signál akce 2+1 418000</t>
  </si>
  <si>
    <t>ZB507</t>
  </si>
  <si>
    <t>Páska fixační SOFT FIX, set-4druhy, 9 rolí NKS:30-05</t>
  </si>
  <si>
    <t>ZM513</t>
  </si>
  <si>
    <t>Konektor ventil jednocestný back check valve 8502802</t>
  </si>
  <si>
    <t>ZJ194</t>
  </si>
  <si>
    <t>Sáček výpustný natura 57 mm průhledný urostomický bal. á 10 ks 401536</t>
  </si>
  <si>
    <t>ZA937</t>
  </si>
  <si>
    <t>Ambuvak pro dospělé PVC ( set ) P04223</t>
  </si>
  <si>
    <t>ZL953</t>
  </si>
  <si>
    <t>Rampa 3 cestná - 3 x konektor s BV NO PVC V696423</t>
  </si>
  <si>
    <t>ZA978</t>
  </si>
  <si>
    <t>Houbička odsávací s reg. vakua 2201</t>
  </si>
  <si>
    <t>ZA799</t>
  </si>
  <si>
    <t>Trokar hrudní redax F20 s ostrým koncem bal. á 10 ks 11220</t>
  </si>
  <si>
    <t>ZB966</t>
  </si>
  <si>
    <t>Nůžky rovné chirurgické hrotnaté 150 mm B397113920005</t>
  </si>
  <si>
    <t>ZN296</t>
  </si>
  <si>
    <t>Hadička spojovací Gamaplus 1,8 x 450 UNIV NO DOP 606306-ND</t>
  </si>
  <si>
    <t>ZN297</t>
  </si>
  <si>
    <t>Hadička spojovací Gamaplus 1,8 x 450 LL NO DOP (606301) 686401</t>
  </si>
  <si>
    <t>ZN298</t>
  </si>
  <si>
    <t>Hadička spojovací Gamaplus 1,8 x 1800 LL NO DOP (606304) 686403</t>
  </si>
  <si>
    <t>ZI345</t>
  </si>
  <si>
    <t>Sáček výpustný natura 70 mm průhledný urostomický bal. á 10 ks 401537</t>
  </si>
  <si>
    <t>ZN367</t>
  </si>
  <si>
    <t>Konektor bezjehlový gama modrý NO PVC V696420</t>
  </si>
  <si>
    <t>ZN409</t>
  </si>
  <si>
    <t>Katetr močový nelaton 14CH Silasil balónkový 28 dní bal. á 10 ks 186005-000140</t>
  </si>
  <si>
    <t>ZN410</t>
  </si>
  <si>
    <t>Katetr močový nelaton 16CH Silasil balónkový 28 dní bal. á 10 ks 186005-000160</t>
  </si>
  <si>
    <t>ZN412</t>
  </si>
  <si>
    <t>Katetr močový nelaton 20CH Silasil balónkový 28 dní bal. á 10 ks 186005-000200</t>
  </si>
  <si>
    <t>ZI789</t>
  </si>
  <si>
    <t>Sáček výpustný natura urostomický průhledný standard 45 mm á 10 ks 401535</t>
  </si>
  <si>
    <t>ZN426</t>
  </si>
  <si>
    <t>Podložka natura flexibilní 45 mm bal. á 5 ks 125902</t>
  </si>
  <si>
    <t>ZB963</t>
  </si>
  <si>
    <t>Pinzeta anatomická úzká 145 mm B397114920019</t>
  </si>
  <si>
    <t>ZF442</t>
  </si>
  <si>
    <t>Vak dýchací 2000 ml 2820</t>
  </si>
  <si>
    <t>ZN598</t>
  </si>
  <si>
    <t>Set odsávací jednorázový starset vak 2000 ml odsávací hadice 180 cm přerušovač sání bal. á 25 ks ZMF 160 203 PS</t>
  </si>
  <si>
    <t>ZC842</t>
  </si>
  <si>
    <t>Sáček výpustný+ invisiclose natura 100 mm béžový standard bal. á 10 ks 0082656 416472</t>
  </si>
  <si>
    <t>ZB812</t>
  </si>
  <si>
    <t>Manžeta fixační Ute-Fix bal. á 30 ks NKS:40-05</t>
  </si>
  <si>
    <t>ZD611</t>
  </si>
  <si>
    <t>Rampa 3 kohouty - 4 x konektor HQ-H2376 H1149</t>
  </si>
  <si>
    <t>ZN854</t>
  </si>
  <si>
    <t>Stříkačka injekční arteriální 3 ml bez jehly s heparinem bal. á 100 ks safePICO Aspirator 956-622</t>
  </si>
  <si>
    <t>ZD814</t>
  </si>
  <si>
    <t>Manžeta TK k monitoru Philips obézní 17 x 60 cm KVS M1 6ZOM</t>
  </si>
  <si>
    <t>ZA364</t>
  </si>
  <si>
    <t>Sáček kolostomický draina S mini 75 mm á 30 ks H08560U</t>
  </si>
  <si>
    <t>ZB548</t>
  </si>
  <si>
    <t>Kanyla TS 9,0 s manžetou bal. á 10 ks 100/800/090</t>
  </si>
  <si>
    <t>ZN580</t>
  </si>
  <si>
    <t>Nůžky převazové Lister 200 mm P03138</t>
  </si>
  <si>
    <t>ZB364</t>
  </si>
  <si>
    <t>Nůžky převazové lister 180 mm P01120</t>
  </si>
  <si>
    <t>ZH278</t>
  </si>
  <si>
    <t>Nůžky oční zahnuté hrotnaté 105 mm B397113920045</t>
  </si>
  <si>
    <t>ZM550</t>
  </si>
  <si>
    <t>Peán zahnutý mosqito 125 mm B397115910082</t>
  </si>
  <si>
    <t>ZF283</t>
  </si>
  <si>
    <t>Držák pro zásobník katetrů N077.1030</t>
  </si>
  <si>
    <t>ZO010</t>
  </si>
  <si>
    <t>Pinzeta chirurgická Standard rovná 1 x 2 zuby 140 mm 1141113014</t>
  </si>
  <si>
    <t>ZG893</t>
  </si>
  <si>
    <t>Rouška prošívaná na popáleniny 40 x 60 cm karton á 30 ks 28510</t>
  </si>
  <si>
    <t>ZN044</t>
  </si>
  <si>
    <t>Hadička spojovací PE červená 2,0 x 2000 mm LL bal. á 200 ks 12003200E</t>
  </si>
  <si>
    <t>ZD228</t>
  </si>
  <si>
    <t>Ambuvak kompletní silikonový 51.500.00.301</t>
  </si>
  <si>
    <t>ZM923</t>
  </si>
  <si>
    <t>Nůžky oční rovné 110 mm PL81048T</t>
  </si>
  <si>
    <t>ZB637</t>
  </si>
  <si>
    <t>Nůžky zahnuté chirurgické hrotnatotupé 130 mm B397113080410</t>
  </si>
  <si>
    <t>ZH776</t>
  </si>
  <si>
    <t>Lžíce laryngoskopu č.3 jednorázová bal. á 10 ks LS-78130</t>
  </si>
  <si>
    <t>ZE884</t>
  </si>
  <si>
    <t>Sáček výpustný+ invisiclose natura 57 mm béžový standard bal. á 10 ks 0082654 416420</t>
  </si>
  <si>
    <t>ZB298</t>
  </si>
  <si>
    <t>Trokar hrudní Argyle Ch16/25 cm bal. á 10 ks 8888561035</t>
  </si>
  <si>
    <t>ZD273</t>
  </si>
  <si>
    <t>Sonda Freka PEG žaludeční CH15 TR/F 7980111</t>
  </si>
  <si>
    <t>ZE203</t>
  </si>
  <si>
    <t>Manžeta TK k monitoru Mindray a další jednohadičková s vložkou 18 - 26 cm dětská MEC 1200 NIBPHPD</t>
  </si>
  <si>
    <t>ZB582</t>
  </si>
  <si>
    <t>Rampa 5 kohoutů discofix proset - 5 x konektor,bal. 50 ks,  4085450SF</t>
  </si>
  <si>
    <t>ZB656</t>
  </si>
  <si>
    <t>Senzor flotrac set 152 cm MHD6R</t>
  </si>
  <si>
    <t>ZJ028</t>
  </si>
  <si>
    <t>Helma castar R vel. M CP211M/2R</t>
  </si>
  <si>
    <t>ZF985</t>
  </si>
  <si>
    <t>Katetr močový foley 24CH bal. á 12 ks 1620-02</t>
  </si>
  <si>
    <t>ZL671</t>
  </si>
  <si>
    <t>Sonda Freka CH/FR 12, 120cm LL 7981811</t>
  </si>
  <si>
    <t>ZD998</t>
  </si>
  <si>
    <t>Spojka Y 8-10 ster. 884.08</t>
  </si>
  <si>
    <t>ZD933</t>
  </si>
  <si>
    <t>Listerine 1,0 l 450669</t>
  </si>
  <si>
    <t>ZC615</t>
  </si>
  <si>
    <t>Katetr CVC 3 lumen 7 Fr x 20 cm certofix trio V720 bal. á 10 ks 4163214P</t>
  </si>
  <si>
    <t>ZC637</t>
  </si>
  <si>
    <t>Arteriofix bal. á 20 ks 20G 5206324</t>
  </si>
  <si>
    <t>ZD827</t>
  </si>
  <si>
    <t>Katetr CVC 3 lumen 7 Fr x 20 cm certofix trio SB720 bal. á 10 ks 4163206E</t>
  </si>
  <si>
    <t>ZD909</t>
  </si>
  <si>
    <t>Katetr CVC 2 lumen 7 Fr x 20 cm certofix duo ECO 720 á 10 ks 4162200E</t>
  </si>
  <si>
    <t>ZJ759</t>
  </si>
  <si>
    <t>Katetr dialyzační 3 lumen 13,0 Fr x 20 cm KFE-TTL-1320-K</t>
  </si>
  <si>
    <t>ZA715</t>
  </si>
  <si>
    <t>Set infuzní intrafix primeline classic 150 cm 4062957</t>
  </si>
  <si>
    <t>ZB715</t>
  </si>
  <si>
    <t>Set kangaro univ. pro enterální výživu bal. á 30 ks  S777403</t>
  </si>
  <si>
    <t>ZE079</t>
  </si>
  <si>
    <t>Set transfúzní non PVC s odvzdušněním a bakteriálním filtrem ZAR-I-TS</t>
  </si>
  <si>
    <t>ZC393</t>
  </si>
  <si>
    <t>Set pro enterální výživu applix smart/vision á 30 ks 7751691</t>
  </si>
  <si>
    <t>ZB220</t>
  </si>
  <si>
    <t>Šití safil fialový 3/0 (2) bal. á 36 ks C1048046</t>
  </si>
  <si>
    <t>ZB834</t>
  </si>
  <si>
    <t>Šití nurolon bk 2-0 bal. á 36 ks EH6604H</t>
  </si>
  <si>
    <t>ZF937</t>
  </si>
  <si>
    <t>Šití premicron zelený 3/0 (2) bal. á 36 ks C0026553</t>
  </si>
  <si>
    <t>ZA963</t>
  </si>
  <si>
    <t>Šití merslen gr 3 bal. á 36 ks EH6418H</t>
  </si>
  <si>
    <t>ZA832</t>
  </si>
  <si>
    <t>Jehla injekční 0,9 x 40 mm žlutá 4657519</t>
  </si>
  <si>
    <t>ZA833</t>
  </si>
  <si>
    <t>Jehla injekční 0,8 x 40 mm zelená 4657527</t>
  </si>
  <si>
    <t>ZA834</t>
  </si>
  <si>
    <t>Jehla injekční 0,7 x 40 mm černá 4660021</t>
  </si>
  <si>
    <t>ZA835</t>
  </si>
  <si>
    <t>Jehla injekční 0,6 x 25 mm modrá 4657667</t>
  </si>
  <si>
    <t>ZA836</t>
  </si>
  <si>
    <t>Jehla injekční 0,9 x 70 mm žlutá 4665791</t>
  </si>
  <si>
    <t>ZB481</t>
  </si>
  <si>
    <t>Jehla chirurgická 0,7 x 25 B13</t>
  </si>
  <si>
    <t>ZB556</t>
  </si>
  <si>
    <t>Jehla injekční 1,2 x 40 mm růžová 4665120</t>
  </si>
  <si>
    <t>ZB769</t>
  </si>
  <si>
    <t>Jehla vakuová 206/38 mm žlutá 450077</t>
  </si>
  <si>
    <t>ZB466</t>
  </si>
  <si>
    <t>Jehla chirurgická B14</t>
  </si>
  <si>
    <t>ZK500</t>
  </si>
  <si>
    <t>Rukavice operační gammex PFXP cytostatické vel. 7,0 latex chemo bal. á 50 párů 330054070</t>
  </si>
  <si>
    <t>ZM292</t>
  </si>
  <si>
    <t>Rukavice nitril sempercare bez p. M bal. á 200 ks 30803</t>
  </si>
  <si>
    <t>ZM294</t>
  </si>
  <si>
    <t>Rukavice nitril sempercare bez p. XL bal. á 180 ks 30818</t>
  </si>
  <si>
    <t>ZM291</t>
  </si>
  <si>
    <t>Rukavice nitril sempercare bez p. S bal. á 200 ks 30802</t>
  </si>
  <si>
    <t>ZM293</t>
  </si>
  <si>
    <t>Rukavice nitril sempercare bez p. L bal. á 200 ks 30804</t>
  </si>
  <si>
    <t>ZN041</t>
  </si>
  <si>
    <t>Rukavice operační gammex ansell PF bez pudru 6,5 330048065</t>
  </si>
  <si>
    <t>ZN126</t>
  </si>
  <si>
    <t>Rukavice operační gammex ansell PF bez pudru 7,0 330048070</t>
  </si>
  <si>
    <t>ZN125</t>
  </si>
  <si>
    <t>Rukavice operační gammex ansell PF bez pudru 7,5 330048075</t>
  </si>
  <si>
    <t>ZN040</t>
  </si>
  <si>
    <t>Rukavice operační gammex ansell PF bez pudru 8,5 330048085</t>
  </si>
  <si>
    <t>ZK792</t>
  </si>
  <si>
    <t>Rukavice operační gammex PFXP cytostatické vel. 7,5 latex chemo bal. á 50 párů 330054075</t>
  </si>
  <si>
    <t>DG382</t>
  </si>
  <si>
    <t>Bactec Plus Aerobic</t>
  </si>
  <si>
    <t>DG385</t>
  </si>
  <si>
    <t>Bactec Plus Anaerobic</t>
  </si>
  <si>
    <t>DA002</t>
  </si>
  <si>
    <t>PROUZKY TETRAPHAN DIA  KATALOGO</t>
  </si>
  <si>
    <t>DG395</t>
  </si>
  <si>
    <t>Diagnostická souprava AB0 set monoklonální na 30</t>
  </si>
  <si>
    <t>DD075</t>
  </si>
  <si>
    <t>MEMBRÁNOVÁ SOUPRAVA REF.</t>
  </si>
  <si>
    <t>DC320</t>
  </si>
  <si>
    <t>AUTOCHECK TM5+/LEVEL3/S7755</t>
  </si>
  <si>
    <t>DA001</t>
  </si>
  <si>
    <t>PROUZKY DIAPHAN pro samotestování 50ks</t>
  </si>
  <si>
    <t>DF171</t>
  </si>
  <si>
    <t>KALIBRAČNÍ ROZTOK 1  S1820 (ABL 825)</t>
  </si>
  <si>
    <t>DF169</t>
  </si>
  <si>
    <t>PROPLACHOVACÍ ROZTOK 600 ml S4980 (ABL 825)</t>
  </si>
  <si>
    <t>DC319</t>
  </si>
  <si>
    <t>AUTOCHECK TM5+/LEVEL1/S7735</t>
  </si>
  <si>
    <t>DC402</t>
  </si>
  <si>
    <t>AUTOCHECK TM5+/LEVEL2/S7745</t>
  </si>
  <si>
    <t>DB437</t>
  </si>
  <si>
    <t>KALIBRACNI PLYN 1(10 bar)</t>
  </si>
  <si>
    <t>DF170</t>
  </si>
  <si>
    <t>NOVÝ ČISTÍCÍ ROZTOK s aditivem, S8375 (ABL 825)</t>
  </si>
  <si>
    <t>DC853</t>
  </si>
  <si>
    <t>KALIBRACNI PLYN 2</t>
  </si>
  <si>
    <t>DF166</t>
  </si>
  <si>
    <t>KALIBRAČNÍ ROZTOK 2  S1830 (ABL 825)</t>
  </si>
  <si>
    <t>DF445</t>
  </si>
  <si>
    <t>Odpadni nadoba D512 600 ml</t>
  </si>
  <si>
    <t>DC321</t>
  </si>
  <si>
    <t>AUTOCHECK TM5+/LEVEL4/,S7765</t>
  </si>
  <si>
    <t>DD309</t>
  </si>
  <si>
    <t>Laktátová membránová souprava</t>
  </si>
  <si>
    <t>DD268</t>
  </si>
  <si>
    <t>MEMBRÁNOVÁ SOUPRAVA Ca</t>
  </si>
  <si>
    <t>DD269</t>
  </si>
  <si>
    <t>MEMBRÁNOVÁ SOUPRAVA Cl</t>
  </si>
  <si>
    <t>DH594</t>
  </si>
  <si>
    <t>Cartridge complete</t>
  </si>
  <si>
    <t>ZB232</t>
  </si>
  <si>
    <t>Maska anesteziologická č.4 EcoMask ( s proužky ) 7094</t>
  </si>
  <si>
    <t>ZB750</t>
  </si>
  <si>
    <t>Hadice vrapovaná metráž dělitelná po 400 mm á 50 m 1574000/W</t>
  </si>
  <si>
    <t>ZB751</t>
  </si>
  <si>
    <t>Hadice PVC 8/12 á 30 m P00468</t>
  </si>
  <si>
    <t>ZB867</t>
  </si>
  <si>
    <t>Maska anesteziologická č.3 7193</t>
  </si>
  <si>
    <t>ZC366</t>
  </si>
  <si>
    <t>Převodník tlakový PX260 150 cm 1 linka bal. á 20 ks T100209A</t>
  </si>
  <si>
    <t>ZC367</t>
  </si>
  <si>
    <t>Převodník tlakový dvoukomorový 150 cm set 2 linky bal. á 10 ks T001650A</t>
  </si>
  <si>
    <t>ZJ051</t>
  </si>
  <si>
    <t>Okruh dýchací jednorázový - set VentStar Oxylog 3000 bal. á 5 ks 5703041(5702871)</t>
  </si>
  <si>
    <t>ZB233</t>
  </si>
  <si>
    <t>Maska anesteziologická č.5 EcoMask ( s proužky ) 7095</t>
  </si>
  <si>
    <t>ZF751</t>
  </si>
  <si>
    <t>Maska anesteziologická č.6 EcoMask ( s proužky ) 7096</t>
  </si>
  <si>
    <t>ZD534</t>
  </si>
  <si>
    <t>Okruh dýchací compact II 2,0 m 2151000</t>
  </si>
  <si>
    <t>ZA905</t>
  </si>
  <si>
    <t>Maska tracheostomická 001305</t>
  </si>
  <si>
    <t>ZN711</t>
  </si>
  <si>
    <t>Maska anesteziologická č.3 EcoMask ( s proužky ) 7093</t>
  </si>
  <si>
    <t>50115050</t>
  </si>
  <si>
    <t>502 SZM obvazový (112 02 040)</t>
  </si>
  <si>
    <t>50115060</t>
  </si>
  <si>
    <t>503 SZM ostatní zdravotnický (112 02 100)</t>
  </si>
  <si>
    <t>50115090</t>
  </si>
  <si>
    <t>509 SZM zubolékařský (112 02 110)</t>
  </si>
  <si>
    <t>50115070</t>
  </si>
  <si>
    <t>513 SZM katetry (112 02 101)</t>
  </si>
  <si>
    <t>50115063</t>
  </si>
  <si>
    <t>528 SZM sety (112 02 105)</t>
  </si>
  <si>
    <t>50115064</t>
  </si>
  <si>
    <t>529 SZM šicí materiál (112 02 106)</t>
  </si>
  <si>
    <t>50115065</t>
  </si>
  <si>
    <t>530 SZM jehly (112 02 107)</t>
  </si>
  <si>
    <t>50115067</t>
  </si>
  <si>
    <t>532 SZM Rukavice (112 02 108)</t>
  </si>
  <si>
    <t>50115020</t>
  </si>
  <si>
    <t>Diagnostika (112 04 004, 132 01 004)</t>
  </si>
  <si>
    <t>50115079</t>
  </si>
  <si>
    <t>542 SZM Intenzivní péče (112 02 100)</t>
  </si>
  <si>
    <t>Spotřeba zdravotnického materiálu - orientační přehled</t>
  </si>
  <si>
    <t>ON Data</t>
  </si>
  <si>
    <t>07 - Klinika anesteziologie, resuscitace a intenzivní medicíny</t>
  </si>
  <si>
    <t>07</t>
  </si>
  <si>
    <t>5T1</t>
  </si>
  <si>
    <t>V</t>
  </si>
  <si>
    <t>51021</t>
  </si>
  <si>
    <t>KOMPLEXNÍ VYŠETŘENÍ CHIRURGEM</t>
  </si>
  <si>
    <t>501</t>
  </si>
  <si>
    <t>15401</t>
  </si>
  <si>
    <t>ESOFAGOGASTRODUODENOSKOPIE</t>
  </si>
  <si>
    <t>15445</t>
  </si>
  <si>
    <t xml:space="preserve">POUŽITÍ VIDEOENDOSKOPU PŘI ENDOSKOPICKÉM VÝKONU Á </t>
  </si>
  <si>
    <t>15960</t>
  </si>
  <si>
    <t>ENDOSKOPICKÁ GASTROSTOMIE - PŘIČTI K CENĚ ZÁKLADNÍ</t>
  </si>
  <si>
    <t>5F1</t>
  </si>
  <si>
    <t>51343</t>
  </si>
  <si>
    <t>LOKÁLNÍ EXCIZE JATER NEBO OŠETŘENÍ MALÉ TRHLINY JA</t>
  </si>
  <si>
    <t>51349</t>
  </si>
  <si>
    <t>OTEVŘENÁ DRENÁŽ ABSCESU JATER, CYSTY JATER NEBO SU</t>
  </si>
  <si>
    <t>51353</t>
  </si>
  <si>
    <t>PUNKCE, ODSÁTÍ TENKÉHO STŘEVA, MANIPULACE SE STŘEV</t>
  </si>
  <si>
    <t>51359</t>
  </si>
  <si>
    <t>RESEKCE A ANASTOMÓZA TLUSTÉHO STŘEVA NEBO REKTOSIG</t>
  </si>
  <si>
    <t>51379</t>
  </si>
  <si>
    <t>CHOLEDOCHOTOMIE</t>
  </si>
  <si>
    <t>GASTROTOMIE, DUODENOTOMIE NEBO JEDNODUCHÁ PYLOROPL</t>
  </si>
  <si>
    <t>51388</t>
  </si>
  <si>
    <t>GASTROENTEROANASTOMÓZA  NEBO RESEKCE A (NEBO) ANAS</t>
  </si>
  <si>
    <t>51389</t>
  </si>
  <si>
    <t xml:space="preserve">KMENOVÁ A SELEKTIVNÍ  PŘÍP. PROXIMÁLNÍ SELEKTIVNÍ </t>
  </si>
  <si>
    <t>51392</t>
  </si>
  <si>
    <t>RELAPAROTOMIE PRO POOPERAČNÍ KRVÁCENÍ, PERITONITID</t>
  </si>
  <si>
    <t>51393</t>
  </si>
  <si>
    <t>EXPLORATIVNÍ LAPAROTOMIE</t>
  </si>
  <si>
    <t>51394</t>
  </si>
  <si>
    <t>UZÁVĚR STĚNY BŘIŠNÍ PO EVISCERACI</t>
  </si>
  <si>
    <t>51397</t>
  </si>
  <si>
    <t>OTEVŘENÁ LAVÁŽ PERITONEÁLNÍ DUTINY, SEC. LOOK, LAP</t>
  </si>
  <si>
    <t>51623</t>
  </si>
  <si>
    <t>POUŽITÍ ULTRAZVUKOVÉHO SKALPELU</t>
  </si>
  <si>
    <t>51713</t>
  </si>
  <si>
    <t>DIAGNOSTICKÁ VIDEOLAPAROSKOPIE A VIDEOTORAKOSKOPIE</t>
  </si>
  <si>
    <t>51819</t>
  </si>
  <si>
    <t>OŠETŘENÍ A OBVAZ ROZSÁHLÉ RÁNY V CELKOVÉ ANESTEZII</t>
  </si>
  <si>
    <t>71717</t>
  </si>
  <si>
    <t>TRACHEOTOMIE</t>
  </si>
  <si>
    <t>76479</t>
  </si>
  <si>
    <t>NEFREKTOMIE TRANSPERITONEÁLNÍ</t>
  </si>
  <si>
    <t>07546</t>
  </si>
  <si>
    <t>(DRG) OTEVŘENÝ PŘÍSTUP</t>
  </si>
  <si>
    <t>07422</t>
  </si>
  <si>
    <t>(VZP) EMBOLECTOMIE A. FEMORALIS COMMUNIS</t>
  </si>
  <si>
    <t>07531</t>
  </si>
  <si>
    <t>(VZP) ARTERIOGRAFIE PEROPERAČNÍ</t>
  </si>
  <si>
    <t>07545</t>
  </si>
  <si>
    <t>(DRG) DRUHÁ A DALŠÍ REOPERACE</t>
  </si>
  <si>
    <t>07350</t>
  </si>
  <si>
    <t>(VZP) ENDARTERECTOMIE BŘIŠNÍ AORTY</t>
  </si>
  <si>
    <t>07550</t>
  </si>
  <si>
    <t>(DRG) ENDOVASKULÁRNÍ PŘÍSTUP PERKUTÁNNÍ NEBO S?PRE</t>
  </si>
  <si>
    <t>07551</t>
  </si>
  <si>
    <t>(DRG) HYBRIDNÍ PŘÍSTUP</t>
  </si>
  <si>
    <t>07416</t>
  </si>
  <si>
    <t>(VZP) JINÉ REKONSTRUKCE V OBLASTI STEHNA</t>
  </si>
  <si>
    <t>07341</t>
  </si>
  <si>
    <t>(VZP) BYPASS AORTO - FEMORÁLNÍ OBOUSTRANNÝ PROTETI</t>
  </si>
  <si>
    <t>07417</t>
  </si>
  <si>
    <t>(VZP) ENDARTERECTOMIE A. FEMORALIS A JEJÍCH VĚTVÍ</t>
  </si>
  <si>
    <t>07565</t>
  </si>
  <si>
    <t>(DRG) KATASTROFICKÁ OPERACE KVCH</t>
  </si>
  <si>
    <t>07351</t>
  </si>
  <si>
    <t>(VZP) TROMBECTOMIE BŘIŠNÍ AORTY</t>
  </si>
  <si>
    <t>07407</t>
  </si>
  <si>
    <t>(VZP) BYPASS FEMORO - POPLITEÁLNÍ DISTÁLNÍ PROTETI</t>
  </si>
  <si>
    <t>07335</t>
  </si>
  <si>
    <t>(VZP) BYPASS AORTO - ILICKÝ NEBO NÁHRADA OBOUSTRAN</t>
  </si>
  <si>
    <t>07197</t>
  </si>
  <si>
    <t>(DRG) ZAVEDENÍ STENTU ČI STENTGRAFTU DO DESCENDENT</t>
  </si>
  <si>
    <t>09567</t>
  </si>
  <si>
    <t>(VZP) ZÁKROK NA LEVÉ STRANĚ</t>
  </si>
  <si>
    <t>07420</t>
  </si>
  <si>
    <t>(VZP) ČÁSTEČNÉ ODSTRANĚNÍ PROTETICKÉHO MATERIÁLU V</t>
  </si>
  <si>
    <t>57229</t>
  </si>
  <si>
    <t>PLEUROSTOMIE</t>
  </si>
  <si>
    <t>15404</t>
  </si>
  <si>
    <t>TOTÁLNÍ KOLOSKOPIE</t>
  </si>
  <si>
    <t>07543</t>
  </si>
  <si>
    <t>(DRG) PRIMOOPERACE</t>
  </si>
  <si>
    <t>51396</t>
  </si>
  <si>
    <t>PUNKCE DUTINY BŘIŠNÍ S DRENÁŽÍ EV. LAVAŽÍ</t>
  </si>
  <si>
    <t>54990</t>
  </si>
  <si>
    <t>ODBĚR ŽILNÍHO ŠTĚPU</t>
  </si>
  <si>
    <t>51371</t>
  </si>
  <si>
    <t>CHOLECYSTEKTOMIE</t>
  </si>
  <si>
    <t>54810</t>
  </si>
  <si>
    <t>PEROPERAČNÍ ANGIOGRAFIE</t>
  </si>
  <si>
    <t>57251</t>
  </si>
  <si>
    <t>KLÍNOVITÁ RESEKCE PLIC NEBO ENUKLEACE TUMORU</t>
  </si>
  <si>
    <t>54190</t>
  </si>
  <si>
    <t>OSTATNÍ REKONSTRUKCE TEPEN A BY-PASSY</t>
  </si>
  <si>
    <t>51825</t>
  </si>
  <si>
    <t>SEKUNDÁRNÍ SUTURA RÁNY</t>
  </si>
  <si>
    <t>51850</t>
  </si>
  <si>
    <t>PŘEVAZ RÁNY METODOU V. A. C. (VACUUM ASISTED CLOSU</t>
  </si>
  <si>
    <t>51386</t>
  </si>
  <si>
    <t>SUTURA EV. EXCIZE A SUTURA LÉZE STĚNY ŽALUDKU NEBO</t>
  </si>
  <si>
    <t>51311</t>
  </si>
  <si>
    <t>SPLENEKTOMIE</t>
  </si>
  <si>
    <t>51811</t>
  </si>
  <si>
    <t>ABSCES NEBO HEMATOM SUBKUTANNÍ, PILONIDÁLNÍ, INTRA</t>
  </si>
  <si>
    <t>APENDEKTOMIE NEBO OPERAČNÍ DRENÁŽ PERIAPENDIKULÁRN</t>
  </si>
  <si>
    <t>51821</t>
  </si>
  <si>
    <t>CHIRURGICKÉ ODSTRANĚNÍ CIZÍHO TĚLESA</t>
  </si>
  <si>
    <t>51827</t>
  </si>
  <si>
    <t>MULTIORGÁNOVÝ ODBĚR</t>
  </si>
  <si>
    <t>54120</t>
  </si>
  <si>
    <t>ANEURYSMA BŘIŠNÍ AORTY (NÁHRADA BIFURKAČNÍ PROTÉZO</t>
  </si>
  <si>
    <t>07564</t>
  </si>
  <si>
    <t>(DRG) EMERGENTNÍ OPERACE KVCH</t>
  </si>
  <si>
    <t>62310</t>
  </si>
  <si>
    <t>NEKREKTOMIE DO 1% POVRCHU TĚLA</t>
  </si>
  <si>
    <t>07562</t>
  </si>
  <si>
    <t>(DRG) PLÁNOVANÁ OPERACE KVCH</t>
  </si>
  <si>
    <t>51217</t>
  </si>
  <si>
    <t>EZOFAGEKTOMIE BEZ TORAKOTOMIE S NÁHRADOU JÍCNU ŽAL</t>
  </si>
  <si>
    <t>51345</t>
  </si>
  <si>
    <t>PARCIÁLNÍ RESEKCE JATER NEBO OŠETŘENÍ VĚTŠÍHO PORA</t>
  </si>
  <si>
    <t>54320</t>
  </si>
  <si>
    <t xml:space="preserve">ENDARTEREKTOMIE KAROTICKÁ A OSTATNÍCH PERIFERNÍCH </t>
  </si>
  <si>
    <t>07552</t>
  </si>
  <si>
    <t>(DRG) OPERAČNÍ VÝKON BEZ MIMOTĚLNÍHO OBĚHU</t>
  </si>
  <si>
    <t>66851</t>
  </si>
  <si>
    <t>AMPUTACE DLOUHÉ KOSTI / EXARTIKULACE VELKÉHO KLOUB</t>
  </si>
  <si>
    <t>07468</t>
  </si>
  <si>
    <t>(VZP) TROMBECTOMIE  A. POPLITEA A BÉRCOVÝCH TEPEN</t>
  </si>
  <si>
    <t>51357</t>
  </si>
  <si>
    <t>JEJUNOSTOMIE, ILEOSTOMIE NEBO KOLOSTOMIE, ANTEPOZI</t>
  </si>
  <si>
    <t>51321</t>
  </si>
  <si>
    <t>LEVOSTRANNÁ PANKREATEKTOMIE SE SPLENEKTOMIÍ</t>
  </si>
  <si>
    <t>07563</t>
  </si>
  <si>
    <t>(DRG) URGENTNÍ OPERACE KVCH</t>
  </si>
  <si>
    <t>51385</t>
  </si>
  <si>
    <t>RESEKCE ŽALUDKU S ANASTOMÓZOU</t>
  </si>
  <si>
    <t>51517</t>
  </si>
  <si>
    <t>OPERACE KÝLY S POUŽITÍM ŠTĚPU ČI IMPLANTÁTU, OPERA</t>
  </si>
  <si>
    <t>51515</t>
  </si>
  <si>
    <t>OPERACE KÝLY UMBILIKÁLNÍ NEBO EPIGASTRICKÁ - DOSPĚ</t>
  </si>
  <si>
    <t>57241</t>
  </si>
  <si>
    <t>DEKORTIKACE PLÍCE</t>
  </si>
  <si>
    <t>07469</t>
  </si>
  <si>
    <t>(VZP) EMBOLECTOMIE A. POPLITEA A BÉRCOVÝCH TEPEN</t>
  </si>
  <si>
    <t>51391</t>
  </si>
  <si>
    <t>LAPAROTOMIE A OŠETŘENÍ VÍCEČETNÉHO VISCERÁLNÍHO PO</t>
  </si>
  <si>
    <t>54340</t>
  </si>
  <si>
    <t>TEPENNÁ EMBOLEKTOMIE, TROMBEKTOMIE</t>
  </si>
  <si>
    <t>57235</t>
  </si>
  <si>
    <t>TORAKOTOMIE PROSTÁ NEBO S BIOPSIÍ, EVAKUACÍ HEMATO</t>
  </si>
  <si>
    <t>51215</t>
  </si>
  <si>
    <t>SUBTOTÁLNÍ NEBO TOTÁLNÍ RESEKCE JÍCNU TRANSTORAKÁL</t>
  </si>
  <si>
    <t>51365</t>
  </si>
  <si>
    <t>UZÁVĚR A ÚPRAVA STOMIÍ NA TLUSTÉM STŘEVĚ</t>
  </si>
  <si>
    <t>54170</t>
  </si>
  <si>
    <t>PROFUNDOPLASTIKA</t>
  </si>
  <si>
    <t>07389</t>
  </si>
  <si>
    <t>(VZP) TROMBECTOMIE A.ILIACA</t>
  </si>
  <si>
    <t>51355</t>
  </si>
  <si>
    <t>DVOJ - A VÍCENÁSOBNÁ RESEKCE A (NEBO) ANASTOMÓZA T</t>
  </si>
  <si>
    <t>07418</t>
  </si>
  <si>
    <t>(VZP) TROMBECTOMIE  A. FEMORALIS A JEJÍCH VĚTVÍ</t>
  </si>
  <si>
    <t>54310</t>
  </si>
  <si>
    <t>AORTOILICKÝ ÚSEK - ENDARTEREKTOMIE</t>
  </si>
  <si>
    <t>07413</t>
  </si>
  <si>
    <t>(VZP) PLASTIKA A. FEMORALIS A JEJÍCH VĚTVÍ PROTETI</t>
  </si>
  <si>
    <t>51381</t>
  </si>
  <si>
    <t>REKONSTRUKČNÍ VÝKON NA ŽLUČOVÝCH CESTÁCH</t>
  </si>
  <si>
    <t>51326</t>
  </si>
  <si>
    <t>DRENÁŽNÍ OPERACE PŘI AKUTNÍ PANKEATITIDĚ, DRENÁŽ A</t>
  </si>
  <si>
    <t>09569</t>
  </si>
  <si>
    <t>(VZP) ZÁKROK NA PRAVÉ STRANĚ</t>
  </si>
  <si>
    <t>51615</t>
  </si>
  <si>
    <t>PEROPERAČNÍ CHOLANGIOGRAFIE /CYSTOGRAFIE A  POD.</t>
  </si>
  <si>
    <t>51127</t>
  </si>
  <si>
    <t>HEMITYROIDEKTOMIE (TOTÁLNÍ LOBEKTOMIE ŠTÍTNÉ ŽLÁZY</t>
  </si>
  <si>
    <t>57221</t>
  </si>
  <si>
    <t>OPERAČNÍ STABILIZACE HRUDNÍKU PO ÚRAZE - JEDNA STR</t>
  </si>
  <si>
    <t>07388</t>
  </si>
  <si>
    <t>(VZP) ENDARTERECTOMIE  A.ILIACA</t>
  </si>
  <si>
    <t>57231</t>
  </si>
  <si>
    <t>MEDIASTINOTOMIE</t>
  </si>
  <si>
    <t>51361</t>
  </si>
  <si>
    <t>KOLEKTOMIE SUBTOTÁLNÍ S ILEOSTOMIÍ A UZÁVĚREM REKT</t>
  </si>
  <si>
    <t>51211</t>
  </si>
  <si>
    <t>MYOTOMIE JÍCNU, HRUDNÍ PŘÍSTUP</t>
  </si>
  <si>
    <t>07428</t>
  </si>
  <si>
    <t>(VZP) REVIZE V OBLASTI STEHNA PRO  KRVÁCENÍ</t>
  </si>
  <si>
    <t>07529</t>
  </si>
  <si>
    <t>(VZP) BYPASS CROSS-OVER FEMORO - FEMORÁLNÍ</t>
  </si>
  <si>
    <t>51117</t>
  </si>
  <si>
    <t>KRČNÍ EZOFAGOSTOMIE</t>
  </si>
  <si>
    <t>07535</t>
  </si>
  <si>
    <t>(VZP) JINÝ ENDOVASKULÁRNÍ UZÁVĚR TEPNY PEROPERAČNÍ</t>
  </si>
  <si>
    <t>07466</t>
  </si>
  <si>
    <t>(VZP) JINÁ REKONSTRUKCE V INFRAPOPLITEÁLNÍ OBLASTI</t>
  </si>
  <si>
    <t>5F3</t>
  </si>
  <si>
    <t>51853</t>
  </si>
  <si>
    <t>CIRKULÁRNÍ SÁDROVÝ OBVAZ - PRSTY, RUKA, PŘEDLOKTÍ</t>
  </si>
  <si>
    <t>51859</t>
  </si>
  <si>
    <t>FIXAČNÍ SÁDROVÁ DLAHA - NOHA, BÉREC</t>
  </si>
  <si>
    <t>51863</t>
  </si>
  <si>
    <t>FIXAČNÍ SÁDROVÁ DLAHA CELÉ DOLNÍ KONČETINY</t>
  </si>
  <si>
    <t>53159</t>
  </si>
  <si>
    <t>OTEVŘENÁ REPOZICE A OSTEOSYNTÉZA ZLOMENIN OBOU KOS</t>
  </si>
  <si>
    <t>53163</t>
  </si>
  <si>
    <t>OTEVŘENÁ REPOZICE A OSTEOSYNTÉZA VÍCEÚLOMKOVÝCH ZL</t>
  </si>
  <si>
    <t>53253</t>
  </si>
  <si>
    <t xml:space="preserve">OTEVŘENÁ REPOZICE A OSTEOSYNTÉZA ZLOMENIN DIAFÝZY </t>
  </si>
  <si>
    <t>53413</t>
  </si>
  <si>
    <t>ZAVŘENÁ REPOZICE ZLOMENINY BÉRCE VČETNĚ NITROKLOUB</t>
  </si>
  <si>
    <t>53453</t>
  </si>
  <si>
    <t>OTEVŘENÁ REPOZICE ZLOMENINY NEBO LUXACE VÍCE METAT</t>
  </si>
  <si>
    <t>53459</t>
  </si>
  <si>
    <t>OTEVŘENÁ REPOZICE NITROKLOUBNÍCH LUXAČNÍCH ZLOMENI</t>
  </si>
  <si>
    <t>53463</t>
  </si>
  <si>
    <t>OTEVŘENÁ REPOZICE A OSTEOSYNTÉZA PATELY NEBO PATEL</t>
  </si>
  <si>
    <t>53469</t>
  </si>
  <si>
    <t>ZLOMENINA DIAFÝZY A SUPRAKONDYLICKÉ OBLASTI FEMURU</t>
  </si>
  <si>
    <t>53483</t>
  </si>
  <si>
    <t>ZLOMENINA  ACETABULA - OBOU PILÍŘŮ - LÉČENÁ OTEVŘE</t>
  </si>
  <si>
    <t>66813</t>
  </si>
  <si>
    <t>ODSTRANĚNÍ OSTEOSYNTETICKÉHO MATERIÁLU</t>
  </si>
  <si>
    <t>66819</t>
  </si>
  <si>
    <t>APLIKACE ZEVNÍHO FIXATÉRU</t>
  </si>
  <si>
    <t>66823</t>
  </si>
  <si>
    <t>ODSTRANĚNÍ ZEVNÍHO FIXATÉRU</t>
  </si>
  <si>
    <t>66829</t>
  </si>
  <si>
    <t>ZAVEDENÍ PROPLACHOVÉ LAVÁŽE</t>
  </si>
  <si>
    <t>53457</t>
  </si>
  <si>
    <t>ZLOMENINY DOLNÍHO KONCE BÉRCE A HLEZNA S NITROKLOU</t>
  </si>
  <si>
    <t>53490</t>
  </si>
  <si>
    <t>ROZSÁHLÉ DEBRIDEMENT SLOŽITÝCH OTEVŘENÝCH ZLOMENIN</t>
  </si>
  <si>
    <t>53115</t>
  </si>
  <si>
    <t>ZAVŘENÁ REPOZICE LUXACE KARPU NEBO INTRAARTIKULÁRN</t>
  </si>
  <si>
    <t>66127</t>
  </si>
  <si>
    <t>MANIPULACE V CELKOVÉ NEBO LOKÁLNÍ ANESTÉZII</t>
  </si>
  <si>
    <t>51855</t>
  </si>
  <si>
    <t>FIXAČNÍ SÁDROVÁ DLAHA CELÉ HORNÍ KONČETINY</t>
  </si>
  <si>
    <t>53155</t>
  </si>
  <si>
    <t>OTEVŘENÁ REPOZICE - SYNTÉZA LUXACE KARPU - INTRAAR</t>
  </si>
  <si>
    <t>53471</t>
  </si>
  <si>
    <t>ZLOMENINA HORNÍHO KONCE FEMURU - REPOZICE OTEVŘENÁ</t>
  </si>
  <si>
    <t>53157</t>
  </si>
  <si>
    <t>OTEVŘENÁ REPOZICE A OSTEOSYNTÉZA ZLOMENINY JEDNÉ K</t>
  </si>
  <si>
    <t>53467</t>
  </si>
  <si>
    <t>ZLOMENINY TIBIÁLNÍHO NEBO FIBULÁRNÍHO PLATEAU TIBI</t>
  </si>
  <si>
    <t>53485</t>
  </si>
  <si>
    <t>ZLOMENINY PÁNEVNÍHO KRUHU - NESTABILNÍ - S OPERAČN</t>
  </si>
  <si>
    <t>62640</t>
  </si>
  <si>
    <t>ODBĚR DERMOEPIDERMÁLNÍHO ŠTĚPU: 1 - 5 % Z PLOCHY P</t>
  </si>
  <si>
    <t>66821</t>
  </si>
  <si>
    <t>PERKUTÁNNÍ FIXACE K-DRÁTEM</t>
  </si>
  <si>
    <t>53151</t>
  </si>
  <si>
    <t>OTEVĚNÁ REPOZICE A OSTEOSYNTÉZA ZLOMENINY NEBO LUX</t>
  </si>
  <si>
    <t>66825</t>
  </si>
  <si>
    <t>UPRAVENÍ ZEVNÍHO FIXATÉRU</t>
  </si>
  <si>
    <t>53451</t>
  </si>
  <si>
    <t>OTEVŘENÁ REPOZICE ZLOMENINY NEBO LUXACE JEDNOHO ME</t>
  </si>
  <si>
    <t>62440</t>
  </si>
  <si>
    <t>ŠTĚP PŘI POPÁLENÍ (A OSTATNÍCH KOŽNÍCH ZTRÁTÁCH) D</t>
  </si>
  <si>
    <t>66921</t>
  </si>
  <si>
    <t>EXKOCHLEACE A SPONGIOPLASTIKA</t>
  </si>
  <si>
    <t>53417</t>
  </si>
  <si>
    <t>66915</t>
  </si>
  <si>
    <t>DEKOMPRESE FASCIÁLNÍHO LOŽE</t>
  </si>
  <si>
    <t>53455</t>
  </si>
  <si>
    <t>OTEVŘENÁ REPOZICE ZLOMENINY KOSTI PATNÍ</t>
  </si>
  <si>
    <t>66415</t>
  </si>
  <si>
    <t>AMPUTACE - RUKA</t>
  </si>
  <si>
    <t>5F6</t>
  </si>
  <si>
    <t>56119</t>
  </si>
  <si>
    <t>DEKOMPRESIVNÍ KRANIEKTOMIE</t>
  </si>
  <si>
    <t>56163</t>
  </si>
  <si>
    <t>ZEVNÍ KOMOROVÁ DRENÁŽ NEBO ZAVEDENÍ ČIDLA NA MĚŘEN</t>
  </si>
  <si>
    <t>56419</t>
  </si>
  <si>
    <t>POUŽITÍ OPERAČNÍHO MIKROSKOPU Á 15 MINUT</t>
  </si>
  <si>
    <t>65513</t>
  </si>
  <si>
    <t>PŘÍPRAVA FASCIÁLNÍHO A PERIKRANIÁLNÍHO LALOKU K RE</t>
  </si>
  <si>
    <t>66313</t>
  </si>
  <si>
    <t xml:space="preserve">DELIBERACE - ODSTRANĚNÍ ÚTLAKU - DURÁLNÍHO VAKU A </t>
  </si>
  <si>
    <t>66319</t>
  </si>
  <si>
    <t>RESEKCE JINÉ NS ČÁSTI OBRATLE - INTERVERTEBRÁLNÍHO</t>
  </si>
  <si>
    <t>66323</t>
  </si>
  <si>
    <t>PŘEDNÍ RESEKCE OBRATLOVÉHO TĚLA - SOMATEKTOMIE - I</t>
  </si>
  <si>
    <t>66329</t>
  </si>
  <si>
    <t>FŮZE PÁTEŘE - STANDARDNÍ - PŘEDNÍ - INTERSOMATICKÁ</t>
  </si>
  <si>
    <t>66335</t>
  </si>
  <si>
    <t xml:space="preserve">OPERAČNÍ PŘÍSTUP NA PÁTEŘ - STANDARDNÍ - PŘEDNÍ - </t>
  </si>
  <si>
    <t>66315</t>
  </si>
  <si>
    <t xml:space="preserve">INSTRUMENTACE C, T, L, S PÁTEŘE - PŘEDNÍ I ZADNÍ, </t>
  </si>
  <si>
    <t>66337</t>
  </si>
  <si>
    <t xml:space="preserve">OPERAČNÍ PŘÍSTUP K PÁTEŘI - STANDARDNÍ - PŘEDNÍ - </t>
  </si>
  <si>
    <t>56151</t>
  </si>
  <si>
    <t>TREPANACE PRO EXTRACEREBRÁLNÍ HEMATOM NEBO KRANIOT</t>
  </si>
  <si>
    <t>56177</t>
  </si>
  <si>
    <t xml:space="preserve"> KRANIOTOMIE A RESEKCE, PŘÍPADNĚ LOBEKTOMIE PRO TU</t>
  </si>
  <si>
    <t>56117</t>
  </si>
  <si>
    <t>INTRAKRANIÁLNÍ REKONSTRUKČNÍ OPERACE PŘI LIKVOREI</t>
  </si>
  <si>
    <t>1</t>
  </si>
  <si>
    <t>0003708</t>
  </si>
  <si>
    <t>ZYVOXID 2 MG/ML INFUZNÍ ROZTOK</t>
  </si>
  <si>
    <t>0003952</t>
  </si>
  <si>
    <t>0004234</t>
  </si>
  <si>
    <t>DALACIN C</t>
  </si>
  <si>
    <t>0005113</t>
  </si>
  <si>
    <t>TARGOCID 400 MG</t>
  </si>
  <si>
    <t>0006480</t>
  </si>
  <si>
    <t>OCPLEX</t>
  </si>
  <si>
    <t>0008807</t>
  </si>
  <si>
    <t>0008808</t>
  </si>
  <si>
    <t>0011592</t>
  </si>
  <si>
    <t>METRONIDAZOL B. BRAUN 5 MG/ML</t>
  </si>
  <si>
    <t>0011785</t>
  </si>
  <si>
    <t>AMIKIN 1 G</t>
  </si>
  <si>
    <t>0016547</t>
  </si>
  <si>
    <t>0016600</t>
  </si>
  <si>
    <t>0017041</t>
  </si>
  <si>
    <t>0020605</t>
  </si>
  <si>
    <t>0025746</t>
  </si>
  <si>
    <t>INVANZ 1 G</t>
  </si>
  <si>
    <t>0026042</t>
  </si>
  <si>
    <t>KIOVIG 100 MG/ML</t>
  </si>
  <si>
    <t>0026127</t>
  </si>
  <si>
    <t>0026902</t>
  </si>
  <si>
    <t>0029980</t>
  </si>
  <si>
    <t>FLEBOGAMMA DIF 50 MG/ML</t>
  </si>
  <si>
    <t>0045123</t>
  </si>
  <si>
    <t>VISIPAQUE 320 MG I/ML</t>
  </si>
  <si>
    <t>0053922</t>
  </si>
  <si>
    <t>CIPHIN PRO INFUSIONE 200 MG/100 ML</t>
  </si>
  <si>
    <t>0058092</t>
  </si>
  <si>
    <t>CEFAZOLIN SANDOZ 1 G</t>
  </si>
  <si>
    <t>0059830</t>
  </si>
  <si>
    <t>CIPRINOL 200 MG/100 ML</t>
  </si>
  <si>
    <t>0062465</t>
  </si>
  <si>
    <t>0065989</t>
  </si>
  <si>
    <t>MYCOMAX INF</t>
  </si>
  <si>
    <t>0066137</t>
  </si>
  <si>
    <t>OFLOXIN INF</t>
  </si>
  <si>
    <t>0072972</t>
  </si>
  <si>
    <t>0072973</t>
  </si>
  <si>
    <t>0075634</t>
  </si>
  <si>
    <t>PROTHROMPLEX TOTAL NF</t>
  </si>
  <si>
    <t>0076354</t>
  </si>
  <si>
    <t>FORTUM 2 G</t>
  </si>
  <si>
    <t>0076360</t>
  </si>
  <si>
    <t>ZINACEF 1,5 G</t>
  </si>
  <si>
    <t>0077018</t>
  </si>
  <si>
    <t>ULTRAVIST 370</t>
  </si>
  <si>
    <t>0077044</t>
  </si>
  <si>
    <t>ZINACEF 750 MG</t>
  </si>
  <si>
    <t>0083050</t>
  </si>
  <si>
    <t>0083417</t>
  </si>
  <si>
    <t>MERONEM 1 G</t>
  </si>
  <si>
    <t>0083487</t>
  </si>
  <si>
    <t>MERONEM 500 MG</t>
  </si>
  <si>
    <t>0087239</t>
  </si>
  <si>
    <t>FANHDI 50 I.U./ML</t>
  </si>
  <si>
    <t>0087240</t>
  </si>
  <si>
    <t>FANHDI 100 I.U./ML</t>
  </si>
  <si>
    <t>0089028</t>
  </si>
  <si>
    <t>IMMUNATE STIM PLUS 500</t>
  </si>
  <si>
    <t>0090099</t>
  </si>
  <si>
    <t>FACTOR VII BAXTER 600 IU</t>
  </si>
  <si>
    <t>0091148</t>
  </si>
  <si>
    <t>0091731</t>
  </si>
  <si>
    <t>0092289</t>
  </si>
  <si>
    <t>EDICIN 0,5 G</t>
  </si>
  <si>
    <t>0092290</t>
  </si>
  <si>
    <t>EDICIN 1 G</t>
  </si>
  <si>
    <t>0094155</t>
  </si>
  <si>
    <t>ABAKTAL 400 MG/5 ML</t>
  </si>
  <si>
    <t>0094176</t>
  </si>
  <si>
    <t>0096414</t>
  </si>
  <si>
    <t>0097000</t>
  </si>
  <si>
    <t>METRONIDAZOLE 0.5%-POLPHARMA</t>
  </si>
  <si>
    <t>0097910</t>
  </si>
  <si>
    <t>HUMAN ALBUMIN GRIFOLS 20%</t>
  </si>
  <si>
    <t>0112782</t>
  </si>
  <si>
    <t>0129767</t>
  </si>
  <si>
    <t>IMIPENEM/CILASTATIN KABI 500 MG/500 MG</t>
  </si>
  <si>
    <t>0131654</t>
  </si>
  <si>
    <t>0131656</t>
  </si>
  <si>
    <t>0137484</t>
  </si>
  <si>
    <t>ANBINEX</t>
  </si>
  <si>
    <t>0142077</t>
  </si>
  <si>
    <t>0144328</t>
  </si>
  <si>
    <t>GARAMYCIN SCHWAMM</t>
  </si>
  <si>
    <t>0151458</t>
  </si>
  <si>
    <t>0155939</t>
  </si>
  <si>
    <t>0162180</t>
  </si>
  <si>
    <t>0162187</t>
  </si>
  <si>
    <t>0162809</t>
  </si>
  <si>
    <t>AVELOX 400 MG/250 ML INFUZNÍ ROZTOK</t>
  </si>
  <si>
    <t>0164350</t>
  </si>
  <si>
    <t>TAZOCIN 4 G/0,5 G</t>
  </si>
  <si>
    <t>0164401</t>
  </si>
  <si>
    <t>0166269</t>
  </si>
  <si>
    <t>0500720</t>
  </si>
  <si>
    <t>ATENATIV</t>
  </si>
  <si>
    <t>0164407</t>
  </si>
  <si>
    <t>0198192</t>
  </si>
  <si>
    <t>SEFOTAK 1 G</t>
  </si>
  <si>
    <t>0129057</t>
  </si>
  <si>
    <t>0136083</t>
  </si>
  <si>
    <t>0137483</t>
  </si>
  <si>
    <t>0162496</t>
  </si>
  <si>
    <t>TAZIP 4 G/0,5 G</t>
  </si>
  <si>
    <t>0027431</t>
  </si>
  <si>
    <t>CANCIDAS 70 MG</t>
  </si>
  <si>
    <t>0134595</t>
  </si>
  <si>
    <t>MEDOCLAV 1000 MG/200 MG</t>
  </si>
  <si>
    <t>0113453</t>
  </si>
  <si>
    <t>0149384</t>
  </si>
  <si>
    <t>0156835</t>
  </si>
  <si>
    <t>MEROPENEM KABI 1 G</t>
  </si>
  <si>
    <t>0151460</t>
  </si>
  <si>
    <t>CEFUROXIM KABI 750 MG</t>
  </si>
  <si>
    <t>0129834</t>
  </si>
  <si>
    <t>0129836</t>
  </si>
  <si>
    <t>0147977</t>
  </si>
  <si>
    <t>MEROPENEM HOSPIRA 1 G</t>
  </si>
  <si>
    <t>0192353</t>
  </si>
  <si>
    <t>FLEXBUMIN 200 G/L</t>
  </si>
  <si>
    <t>0166265</t>
  </si>
  <si>
    <t>0049128</t>
  </si>
  <si>
    <t>0183926</t>
  </si>
  <si>
    <t>0202911</t>
  </si>
  <si>
    <t>0064630</t>
  </si>
  <si>
    <t>KLIMICIN</t>
  </si>
  <si>
    <t>0195147</t>
  </si>
  <si>
    <t>0183817</t>
  </si>
  <si>
    <t>0201967</t>
  </si>
  <si>
    <t>0201954</t>
  </si>
  <si>
    <t>2</t>
  </si>
  <si>
    <t>0007905</t>
  </si>
  <si>
    <t>0007917</t>
  </si>
  <si>
    <t>0007955</t>
  </si>
  <si>
    <t>0007957</t>
  </si>
  <si>
    <t>0007963</t>
  </si>
  <si>
    <t>0107931</t>
  </si>
  <si>
    <t>0107936</t>
  </si>
  <si>
    <t>0107959</t>
  </si>
  <si>
    <t>0207921</t>
  </si>
  <si>
    <t>0407942</t>
  </si>
  <si>
    <t>3</t>
  </si>
  <si>
    <t>0001018</t>
  </si>
  <si>
    <t>ŠROUB SAMOŘEZNÝ KORTIKÁLNÍ MALÝ FRAGMENTY OCEL</t>
  </si>
  <si>
    <t>0001027</t>
  </si>
  <si>
    <t>0001052</t>
  </si>
  <si>
    <t>DLAHA LC-DCP ROVNÁ MALÉ FRAGMENT OCEL</t>
  </si>
  <si>
    <t>0001054</t>
  </si>
  <si>
    <t>0001699</t>
  </si>
  <si>
    <t>DRÁT CERKLÁŽNÍ OCEL</t>
  </si>
  <si>
    <t>0001739</t>
  </si>
  <si>
    <t>DRÁT KIRSCHNERŮV OCEL</t>
  </si>
  <si>
    <t>0001740</t>
  </si>
  <si>
    <t>0002264</t>
  </si>
  <si>
    <t>0002370</t>
  </si>
  <si>
    <t>FIXÁTOR ZEVNÍ TRUBKOVÝ, SYNTHES</t>
  </si>
  <si>
    <t>0002425</t>
  </si>
  <si>
    <t>0003008</t>
  </si>
  <si>
    <t>DLAHA ROVNÁ REKONSTRUKČNÍ PÁNEV MALÝ FRAGMENT OCEL</t>
  </si>
  <si>
    <t>0004070</t>
  </si>
  <si>
    <t>ŠROUB LCP A VA-LCP SAMOŘEZNÝ MALÝ FRAGMENT OCEL</t>
  </si>
  <si>
    <t>0004073</t>
  </si>
  <si>
    <t>0004077</t>
  </si>
  <si>
    <t>0004085</t>
  </si>
  <si>
    <t>0005606</t>
  </si>
  <si>
    <t>NÁVLEK NA OPMI, TYP 71                      306071</t>
  </si>
  <si>
    <t>0006837</t>
  </si>
  <si>
    <t>ŠROUB KORTIKÁLNÍ SAMOVRTNÝ                 101XX</t>
  </si>
  <si>
    <t>0006853</t>
  </si>
  <si>
    <t xml:space="preserve">FIXÁTOR ZEVNÍ VÁLEC EXCENTRICKÝ                   </t>
  </si>
  <si>
    <t>0006854</t>
  </si>
  <si>
    <t xml:space="preserve">FIXÁTOR ZEVNÍ CYLINDR SFÉRICKÝ                    </t>
  </si>
  <si>
    <t>0010457</t>
  </si>
  <si>
    <t>ČEP SAMOŘEZNÝ JISTÍCÍ OCEL</t>
  </si>
  <si>
    <t>0010484</t>
  </si>
  <si>
    <t>0010678</t>
  </si>
  <si>
    <t>HŘEB STANDARDNÍ TIBIE OCEL TITAN</t>
  </si>
  <si>
    <t>0010767</t>
  </si>
  <si>
    <t>0010768</t>
  </si>
  <si>
    <t>0012683</t>
  </si>
  <si>
    <t>IMPLANTÁT MAXILLOFACIÁLNÍ</t>
  </si>
  <si>
    <t>0012715</t>
  </si>
  <si>
    <t>0012979</t>
  </si>
  <si>
    <t>STAPLER CIRKULÁRNÍ ZAHNUTÝ - CDH</t>
  </si>
  <si>
    <t>0012999</t>
  </si>
  <si>
    <t>STAPLER LINEÁRNÍ S NOŽEM - TCT55; TLC55</t>
  </si>
  <si>
    <t>0013002</t>
  </si>
  <si>
    <t>STAPLER LINEÁRNÍ - TL60; TLH60</t>
  </si>
  <si>
    <t>0013004</t>
  </si>
  <si>
    <t>STAPLER LINEÁRNÍ - TX60B; TX60G</t>
  </si>
  <si>
    <t>0013009</t>
  </si>
  <si>
    <t>ZÁSOBNÍK PRO STAPLER LINEÁRNÍ S NOŽEM - TCR75,TRT7</t>
  </si>
  <si>
    <t>0013010</t>
  </si>
  <si>
    <t>STAPLER LINEÁRNÍ S NOŽEM - TCT75; TLC75; TCD75</t>
  </si>
  <si>
    <t>0017333</t>
  </si>
  <si>
    <t>DLAHA MALÝ FRAGMENT OCEL</t>
  </si>
  <si>
    <t>0017413</t>
  </si>
  <si>
    <t>ŠROUB SPONGIOZNÍ MALÝ FRAGMENT OCEL</t>
  </si>
  <si>
    <t>0017422</t>
  </si>
  <si>
    <t>ŠROUB KORTIKÁLNÍ VELKÝ FRAGMENT OCEL</t>
  </si>
  <si>
    <t>0017424</t>
  </si>
  <si>
    <t>0017745</t>
  </si>
  <si>
    <t>0017751</t>
  </si>
  <si>
    <t>0024855</t>
  </si>
  <si>
    <t>ZASLEPOVACÍ HLAVA FEMUR TITAN</t>
  </si>
  <si>
    <t>0024889</t>
  </si>
  <si>
    <t>HŘEB FEMUR TITAN</t>
  </si>
  <si>
    <t>0028338</t>
  </si>
  <si>
    <t>SET RENÁLNÍ A NEFROSTOMICKÝ RE400740,400840,400940</t>
  </si>
  <si>
    <t>0028382</t>
  </si>
  <si>
    <t>SET RENÁLNÍ A NEFROSTOMICKÝ RE 440720</t>
  </si>
  <si>
    <t>0028411</t>
  </si>
  <si>
    <t>SET RENÁLNÍ A NEFROSTOMICKÝ RE 450105..106..110</t>
  </si>
  <si>
    <t>0030400</t>
  </si>
  <si>
    <t>ŠROUB LCP SAMOŘEZNÝ VELKÝ FRAGMENT OCEL</t>
  </si>
  <si>
    <t>0030409</t>
  </si>
  <si>
    <t>0030415</t>
  </si>
  <si>
    <t>0030454</t>
  </si>
  <si>
    <t>ŠROUB LCP SAMOŘEZNÝ MALÝ FRAGMENT TITAN</t>
  </si>
  <si>
    <t>0030458</t>
  </si>
  <si>
    <t>0030494</t>
  </si>
  <si>
    <t>ŠROUB LCP SAMOŘEZNÝ VELKÝ FRAGMENT TITAN</t>
  </si>
  <si>
    <t>0030501</t>
  </si>
  <si>
    <t>0030509</t>
  </si>
  <si>
    <t>0030515</t>
  </si>
  <si>
    <t xml:space="preserve">ZÁSOBNÍK PRO LINEÁRNÍ STAPLER - TA PREMIUM 55-4.8 </t>
  </si>
  <si>
    <t>0030518</t>
  </si>
  <si>
    <t xml:space="preserve">ZÁSOBNÍK PRO LINEÁRNÍ STAPLER - TA PREMIUM 90-4.8 </t>
  </si>
  <si>
    <t>0030617</t>
  </si>
  <si>
    <t>STAPLER KOŽNÍ ROYAL - 35W</t>
  </si>
  <si>
    <t>0030705</t>
  </si>
  <si>
    <t>0030724</t>
  </si>
  <si>
    <t>DLAHA LCP PATNÍ OCEL MALÝ FRAGMENT TITAN</t>
  </si>
  <si>
    <t>0031469</t>
  </si>
  <si>
    <t>DLAHA LCP TIBIE PROXIMÁLNÍ OCEL MALÝ FRAGMENT TITA</t>
  </si>
  <si>
    <t>0031495</t>
  </si>
  <si>
    <t>DLAHA LCP FEMUR DISTÁLNÍ VELKÝ FRAGMENT OCEL TITAN</t>
  </si>
  <si>
    <t>0031933</t>
  </si>
  <si>
    <t>ZASLEPOVACÍ HLAVA TIBIE ÚHLOVĚ STABILNÍ TITAN</t>
  </si>
  <si>
    <t>0031983</t>
  </si>
  <si>
    <t>ŠROUB STARDRIVE ZAJIŠŤOVACÍ TITAN</t>
  </si>
  <si>
    <t>0034884</t>
  </si>
  <si>
    <t>0035016</t>
  </si>
  <si>
    <t>HŘEB TIBIE UHLOVĚ STABILNÍ TITAN</t>
  </si>
  <si>
    <t>0037145</t>
  </si>
  <si>
    <t>PROTÉZA GORE-TEX CÉVNÍ - PRUŽNÁ TENKOSTĚNNÁ</t>
  </si>
  <si>
    <t>0037174</t>
  </si>
  <si>
    <t>PROTÉZA GORE-TEX CÉVNÍ - PRUŽNÁ TENK.S ODSTR.KROUŽ</t>
  </si>
  <si>
    <t>0037180</t>
  </si>
  <si>
    <t>0046612</t>
  </si>
  <si>
    <t>DRÁT VODÍCÍ LUNDERQUIST RE-420780..180..380</t>
  </si>
  <si>
    <t>0046892</t>
  </si>
  <si>
    <t>PROTÉZA CÉVNÍ GELSOFT PLUS DÉLKA 40 CM</t>
  </si>
  <si>
    <t>0046898</t>
  </si>
  <si>
    <t>PROTÉZA CÉVNÍ BIF.GELSOFT PLUS DÉLKA 45CM</t>
  </si>
  <si>
    <t>0048989</t>
  </si>
  <si>
    <t>ELEKTRODA KOAGULAČNÍ JEDNORÁZOVÁ GN211</t>
  </si>
  <si>
    <t>0049489</t>
  </si>
  <si>
    <t>ZÁSOBNÍK PRO ENDOSTAPLER - ECHELON ENDOPATH 45/60;</t>
  </si>
  <si>
    <t>0051334</t>
  </si>
  <si>
    <t>KATETR URETERÁLNÍ,POLLACK,FLEXI-TIP U-021305</t>
  </si>
  <si>
    <t>0051607</t>
  </si>
  <si>
    <t>SADA GASTROSTOMICKÁ - PEG</t>
  </si>
  <si>
    <t>0052832</t>
  </si>
  <si>
    <t>STENT PERIFERNÍ URETERÁLNÍ OPTIPUR,POLYURETAN</t>
  </si>
  <si>
    <t>0053772</t>
  </si>
  <si>
    <t>STAPLER LINEÁRNÍ S NOŽEM - TCT10; TLC10</t>
  </si>
  <si>
    <t>0053774</t>
  </si>
  <si>
    <t>ZÁSOBNÍK PRO STAPLER LINEÁRNÍ S NOŽEM - TRT10,TCR1</t>
  </si>
  <si>
    <t>0054512</t>
  </si>
  <si>
    <t>SYSTÉM ZEVNÍ DRENÁŽNÍ A MONITOROVACÍ LIKVOROVÝ DOČ</t>
  </si>
  <si>
    <t>0054518</t>
  </si>
  <si>
    <t>SYSTÉM ZEVNÍ DRENÁŽNÍ A MONITOROVACÍ LIKVOROVÝ</t>
  </si>
  <si>
    <t>0054525</t>
  </si>
  <si>
    <t>DRÁT VODÍCÍ</t>
  </si>
  <si>
    <t>0056288</t>
  </si>
  <si>
    <t>KATETR BALONKOVÝ FOGARTY 120403F</t>
  </si>
  <si>
    <t>0056289</t>
  </si>
  <si>
    <t>KATETR BALONKOVÝ FOGARTY 120803F</t>
  </si>
  <si>
    <t>0056291</t>
  </si>
  <si>
    <t>KATETR BALONKOVÝ FOGARTY 120804F</t>
  </si>
  <si>
    <t>0056292</t>
  </si>
  <si>
    <t>KATETR BALONKOVÝ FOGARTY 120805F</t>
  </si>
  <si>
    <t>0056301</t>
  </si>
  <si>
    <t>KATETR BALONKOVÝ FOGARTY TRU-LUMEN 12TLW805F</t>
  </si>
  <si>
    <t>0057937</t>
  </si>
  <si>
    <t>ZÁPLATA KARDIOVASKULÁRNÍ GORE-TEX 0,5MM</t>
  </si>
  <si>
    <t>0058756</t>
  </si>
  <si>
    <t>VODIČ DRÁTĚNÝ ROADRUNNER</t>
  </si>
  <si>
    <t>0067020</t>
  </si>
  <si>
    <t xml:space="preserve">IMPLANTÁT SPINÁLNÍ SYSTÉM CERVIFIX                </t>
  </si>
  <si>
    <t>0067160</t>
  </si>
  <si>
    <t>IMPLANTÁT ORBITÁLNÍ PDS ZX3,ZX4,ZX7 VSTŘEBATELNÝ</t>
  </si>
  <si>
    <t>0067415</t>
  </si>
  <si>
    <t xml:space="preserve">IMPLANTÁT SPINÁLNÍ SYSTÉM CASPAR                  </t>
  </si>
  <si>
    <t>0067537</t>
  </si>
  <si>
    <t>IMPLANTÁT SPINÁLNÍ SYSTÉM CASPAR,KRČNÍ,PŘEDNÍ PŘÍS</t>
  </si>
  <si>
    <t>0069500</t>
  </si>
  <si>
    <t>KANYLA TRACHEOSTOMICKÁ  S NÍZKOTLAKOU  MANŽETOU</t>
  </si>
  <si>
    <t>0070875</t>
  </si>
  <si>
    <t>ČEP SAMOŘEZNÝ JISTÍCÍ TITAN</t>
  </si>
  <si>
    <t>0070958</t>
  </si>
  <si>
    <t>ŠROUB NOSNÝ FEMUR PROXIMÁLNÍ OCEL</t>
  </si>
  <si>
    <t>0070959</t>
  </si>
  <si>
    <t>HŘEB FEMUR PROXIMÁLNÍ DLOUHÝ OCEL</t>
  </si>
  <si>
    <t>0070964</t>
  </si>
  <si>
    <t>ŠROUB SAMOŘEZNÝ ANTIROTAČNÍ FEMUR PROXIMÁLNÍ OCEL</t>
  </si>
  <si>
    <t>0071596</t>
  </si>
  <si>
    <t>FIXÁTOR HYBRIDNÍ KRUHOVÝ</t>
  </si>
  <si>
    <t>0071602</t>
  </si>
  <si>
    <t>0073660</t>
  </si>
  <si>
    <t>0073679</t>
  </si>
  <si>
    <t>0074314</t>
  </si>
  <si>
    <t>ŠROUB ZAJIŠŤOVACÍ  TITANOVÝ TARGON</t>
  </si>
  <si>
    <t>0074722</t>
  </si>
  <si>
    <t>HŘEB FEMORÁLNÍ PROXIMÁLNÍ TITANOVÝ KRÁTKÝ TARGON P</t>
  </si>
  <si>
    <t>0074723</t>
  </si>
  <si>
    <t>ŠROUB ZAJIŠŤOVACÍ, SAMOŘEZNÝ, UZAMYKATELNÝ TI TARG</t>
  </si>
  <si>
    <t>0082000</t>
  </si>
  <si>
    <t>NPWT-V.A.C. GRANUFOAM (PU PĚNA) VELIKOST M</t>
  </si>
  <si>
    <t>0082001</t>
  </si>
  <si>
    <t>NPWT-V.A.C. GRANUFOAM (PU PĚNA) VELIKOST L</t>
  </si>
  <si>
    <t>0082079</t>
  </si>
  <si>
    <t>KRYTÍ COM 30 OBVAZOVÁ TEXTÍLIE KOMBINOVANÁ</t>
  </si>
  <si>
    <t>0083205</t>
  </si>
  <si>
    <t>DLAHA LCP PÁNEV SYMFÝZA OCEL</t>
  </si>
  <si>
    <t>0083212</t>
  </si>
  <si>
    <t>DLAHA LCP NIZKOPROFILOVÁ  REKONSTRUKČNÍ PÁNEV OCEL</t>
  </si>
  <si>
    <t>0083217</t>
  </si>
  <si>
    <t>0083241</t>
  </si>
  <si>
    <t>DLAHA LCP A VA-LCP OLEKRANON MALÝ FRAGMENT OCEL TI</t>
  </si>
  <si>
    <t>0092078</t>
  </si>
  <si>
    <t>STAPLER LINEÁRNÍ S NOŽEM - CONTOUR; ZAHNUTÝ, NÍZKÁ</t>
  </si>
  <si>
    <t>0092079</t>
  </si>
  <si>
    <t>ZÁSOBNÍK PRO LINEÁRNÍ STAPLER - CR40B,CR40G (PRO P</t>
  </si>
  <si>
    <t>0098656</t>
  </si>
  <si>
    <t>ŠROUB KANYLOVANÝ TI T-DRIVE</t>
  </si>
  <si>
    <t>0098685</t>
  </si>
  <si>
    <t>PODLOŽKA TI</t>
  </si>
  <si>
    <t>0099076</t>
  </si>
  <si>
    <t>HŘEB FEMORÁLNÍ PROXIMÁLNÍ, TI</t>
  </si>
  <si>
    <t>0099080</t>
  </si>
  <si>
    <t>ZÁSLEPKA, TI</t>
  </si>
  <si>
    <t>0099081</t>
  </si>
  <si>
    <t>ŠROUB KOTVÍCÍ, TI</t>
  </si>
  <si>
    <t>0099484</t>
  </si>
  <si>
    <t>ŠROUB ZAJIŠŤ.,PLNÝ ZÁVIT,PR. 5MM, TI</t>
  </si>
  <si>
    <t>0099754</t>
  </si>
  <si>
    <t>0099756</t>
  </si>
  <si>
    <t>HŘEB KANYLOVANÝ FEMUR LATERÁLNÍ TITAN</t>
  </si>
  <si>
    <t>0099934</t>
  </si>
  <si>
    <t>ŠROUB SAMOVRTNÝ KANYLOVANÝ VELKÝ FRAGMENT TITAN</t>
  </si>
  <si>
    <t>0105745</t>
  </si>
  <si>
    <t xml:space="preserve">DLAHA RADIÁLNÍ VOLÁRNÍ PRO FIXACI FRAK.V DISTÁLNÍ </t>
  </si>
  <si>
    <t>0105747</t>
  </si>
  <si>
    <t>0105749</t>
  </si>
  <si>
    <t>ŠROUB KORTIKÁLNÍ/HLADKÝ PRO FIXACI FRAK.V DIST.ČÁS</t>
  </si>
  <si>
    <t>0105752</t>
  </si>
  <si>
    <t>ŠROUB HLADKÝ ALPS PRO FIXACI FRAKTURY V DISTÁLNÍ Č</t>
  </si>
  <si>
    <t>0111881</t>
  </si>
  <si>
    <t>CEMENT KOSTNÍ CEMEX GENTA HIGH VISKOSITY S GENTAMI</t>
  </si>
  <si>
    <t>0111983</t>
  </si>
  <si>
    <t>ŠROUB KOMPRESNÍ HBS2 TI T-DRIVE</t>
  </si>
  <si>
    <t>0112074</t>
  </si>
  <si>
    <t>CEMENT KOSTNÍ VANCOGENX VANCOMYCIN+GENTAMICIN 1X40</t>
  </si>
  <si>
    <t>0112607</t>
  </si>
  <si>
    <t>SPACER K;TEMPORERNÍ REVIZNÍ NÁHRADA KOLENNÍHO KLOU</t>
  </si>
  <si>
    <t>0163241</t>
  </si>
  <si>
    <t xml:space="preserve">IMPLANTÁT MAXILLOFACIÁLNÍ STŘEDNÍ OBLIČEJOVÁ ETÁŽ </t>
  </si>
  <si>
    <t>0163243</t>
  </si>
  <si>
    <t>0163244</t>
  </si>
  <si>
    <t>0163248</t>
  </si>
  <si>
    <t>0163249</t>
  </si>
  <si>
    <t>0163251</t>
  </si>
  <si>
    <t>0163258</t>
  </si>
  <si>
    <t>0163261</t>
  </si>
  <si>
    <t>0163266</t>
  </si>
  <si>
    <t>0013054</t>
  </si>
  <si>
    <t>STAPLER KOŽNÍ, 35 NEREZ.OCEL. NÁPLNÍ PMW35,PMR35</t>
  </si>
  <si>
    <t>0048555</t>
  </si>
  <si>
    <t>SÍŤKA BIODEGRADABILNÍ ČTYŘVRSTEVNÁ SURGISIS</t>
  </si>
  <si>
    <t>0008239</t>
  </si>
  <si>
    <t>FIXÁTOR ZEVNÍ ZÁPĚSTÍ TYP PENNIG    35001</t>
  </si>
  <si>
    <t>0031490</t>
  </si>
  <si>
    <t>DLAHA LCP TIBIE PROXIMÁLNÍ VELKÝ FRAGMENT OCEL TIT</t>
  </si>
  <si>
    <t>0097835</t>
  </si>
  <si>
    <t>0099483</t>
  </si>
  <si>
    <t>ŠROUB KONDYLÁRNÍ PR. 5MM, TI</t>
  </si>
  <si>
    <t>0081995</t>
  </si>
  <si>
    <t>NPWT-RENASYS EZ SBĚRNÁ NÁDOBA VELKÁ</t>
  </si>
  <si>
    <t>0046895</t>
  </si>
  <si>
    <t>PROTÉZA CÉVNÍ GELSOFT PLUS DÉLKA 25 CM</t>
  </si>
  <si>
    <t>0083886</t>
  </si>
  <si>
    <t>PROXIMÁLNÍ KOMPRESNÍ ŠROUB, PRO RADIUS / ULNU</t>
  </si>
  <si>
    <t>0083885</t>
  </si>
  <si>
    <t>ŠROUB ZAJIŠŤOVACÍ DISTÁLNÍ, PRO RADIUS / ULNU, MON</t>
  </si>
  <si>
    <t>0083884</t>
  </si>
  <si>
    <t>ŠROUB ZAJIŠŤOVACÍ PROXIMÁLNÍ, PRO RADIUS / ULNU</t>
  </si>
  <si>
    <t>0056296</t>
  </si>
  <si>
    <t>KATETR BALONKOVÝ FOGARTY TRU-LUMEN 12TLW404F</t>
  </si>
  <si>
    <t>0083883</t>
  </si>
  <si>
    <t>HŘEB PRO RADIUS / ULNU, TITANOVÝ</t>
  </si>
  <si>
    <t>0082142</t>
  </si>
  <si>
    <t>NPWT-RENASYS F PŘEVAZOVÝ SET STŘEDNÍ M</t>
  </si>
  <si>
    <t>0099077</t>
  </si>
  <si>
    <t>HŘEB FEMORÁLNÍ PROXIMÁLNÍ DLOUHÝ L/R, TI</t>
  </si>
  <si>
    <t>0083256</t>
  </si>
  <si>
    <t>DLAHA LCP TIBIE PROXIMÁLNÍ MALÝ FRAGMENT OCEL TITA</t>
  </si>
  <si>
    <t>0082141</t>
  </si>
  <si>
    <t>NPWT-RENASYS F PŘEVAZOVÝ SET MALÝ S</t>
  </si>
  <si>
    <t>0026142</t>
  </si>
  <si>
    <t>KANYLA TRACHEOSTOMICKÁ S NASTAVITELNÝM ÚCHYTEM</t>
  </si>
  <si>
    <t>0082143</t>
  </si>
  <si>
    <t>NPWT-RENASYS F PŘEVAZOVÝ SET VELKÝ L</t>
  </si>
  <si>
    <t>0049999</t>
  </si>
  <si>
    <t>EXTRAKTOR SVOREK PROXIMATE</t>
  </si>
  <si>
    <t>0019159</t>
  </si>
  <si>
    <t>DLAHA PRO ŽEBRA</t>
  </si>
  <si>
    <t>0073264</t>
  </si>
  <si>
    <t>K-DRÁT MEDIN</t>
  </si>
  <si>
    <t>0056393</t>
  </si>
  <si>
    <t>ZAVADĚČ CHECK-FLO III MIKROPUNKČNÍ BEZ VODIČE</t>
  </si>
  <si>
    <t>0114292</t>
  </si>
  <si>
    <t>IMPLANTÁT SPINÁL.NÁHRADA MEZIOBRATL. FUSION CAGE K</t>
  </si>
  <si>
    <t>0002263</t>
  </si>
  <si>
    <t>FIXÁTOR ZEVNÍ TUBULÁRNÍ,SYNTHES</t>
  </si>
  <si>
    <t>0152127</t>
  </si>
  <si>
    <t>STAPLER LINEÁRNÍ S NOŽEM - LC6045 (PRO PZT 0152133</t>
  </si>
  <si>
    <t>0049483</t>
  </si>
  <si>
    <t>SPO2 SENSOR PRO NEDONOŠENÉ NOVOROZENCE&lt;1KG</t>
  </si>
  <si>
    <t>00651</t>
  </si>
  <si>
    <t>OD TYPU 51 - PRO NEMOCNICE TYPU 3, (KATEGORIE 6) -</t>
  </si>
  <si>
    <t>00655</t>
  </si>
  <si>
    <t>OD TYPU 55 - PRO NEMOCNICE TYPU 3, (KATEGORIE 6) -</t>
  </si>
  <si>
    <t>09227</t>
  </si>
  <si>
    <t>I. V. APLIKACE KRVE NEBO KREVNÍCH DERIVÁTŮ</t>
  </si>
  <si>
    <t>11505</t>
  </si>
  <si>
    <t>SPECIÁLNÍ PARENTERÁLNÍ VÝŽIVA</t>
  </si>
  <si>
    <t>11506</t>
  </si>
  <si>
    <t>PLNOHODNOTNÁ PARENTERÁLNÍ VÝŽIVA</t>
  </si>
  <si>
    <t>51022</t>
  </si>
  <si>
    <t>CÍLENÉ VYŠETŘENÍ CHIRURGEM</t>
  </si>
  <si>
    <t>78022</t>
  </si>
  <si>
    <t>CÍLENÉ VYŠETŘENÍ ANESTEZIOLOGEM</t>
  </si>
  <si>
    <t>00880</t>
  </si>
  <si>
    <t>ROZLIŠENÍ VYKÁZANÉ HOSPITALIZACE JAKO: = NOVÁ HOSP</t>
  </si>
  <si>
    <t>00881</t>
  </si>
  <si>
    <t>ROZLIŠENÍ VYKÁZANÉ HOSPITALIZACE JAKO: = POKRAČOVÁ</t>
  </si>
  <si>
    <t>90901</t>
  </si>
  <si>
    <t>(DRG) DOBA TRVÁNÍ UMĚLÉ PLICNÍ VENTILACE DO 24 HOD</t>
  </si>
  <si>
    <t>90902</t>
  </si>
  <si>
    <t xml:space="preserve">(DRG) DOBA TRVÁNÍ UMĚLÉ PLICNÍ VENTILACE VÍCE NEŽ </t>
  </si>
  <si>
    <t>99981</t>
  </si>
  <si>
    <t xml:space="preserve">(VZP) PACIENT HOSPITALIZOVANÝ V LŮŽKOVÉM ZAŘÍZENÍ </t>
  </si>
  <si>
    <t>90906</t>
  </si>
  <si>
    <t>09225</t>
  </si>
  <si>
    <t>KANYLACE CENTRÁLNÍ ŽÍLY ZA KONTROLY CELKOVÉHO STAV</t>
  </si>
  <si>
    <t>90903</t>
  </si>
  <si>
    <t>00658</t>
  </si>
  <si>
    <t>OD TYPU 58 - PRO NEMOCNICE TYPU 3, (KATEGORIE 6) -</t>
  </si>
  <si>
    <t>99999</t>
  </si>
  <si>
    <t>Nespecifikovany vykon</t>
  </si>
  <si>
    <t>00653</t>
  </si>
  <si>
    <t>OD TYPU 53 - PRO NEMOCNICE TYPU 3, (KATEGORIE 6) -</t>
  </si>
  <si>
    <t>00657</t>
  </si>
  <si>
    <t>OD TYPU 57 - PRO NEMOCNICE TYPU 3, (KATEGORIE 6) -</t>
  </si>
  <si>
    <t>90904</t>
  </si>
  <si>
    <t>00652</t>
  </si>
  <si>
    <t>OD TYPU 52 - PRO NEMOCNICE TYPU 3, (KATEGORIE 6) -</t>
  </si>
  <si>
    <t>78880</t>
  </si>
  <si>
    <t xml:space="preserve">PÉČE O DÁRCE ORGÁNU, SPOLUPRÁCE S TRANSPLANTAČNÍM </t>
  </si>
  <si>
    <t>99980</t>
  </si>
  <si>
    <t>(VZP) PACIENT S DIAGNOSTIKOVANÝM POLYTRAUMATEM S I</t>
  </si>
  <si>
    <t>78310</t>
  </si>
  <si>
    <t xml:space="preserve">NEODKLADNÁ KARDIOPULMONÁLNÍ RESUSCITACE ROZŠÍŘENÁ </t>
  </si>
  <si>
    <t>90905</t>
  </si>
  <si>
    <t>6F1</t>
  </si>
  <si>
    <t>56413</t>
  </si>
  <si>
    <t>MIKROCHIRURGICKÁ SUTURA NERVU PŘÍMÁ BEZ AUTOTRANSP</t>
  </si>
  <si>
    <t>61143</t>
  </si>
  <si>
    <t>ODBĚR CÉVNÍHO ŠTĚPU MALÉHO KALIBRU (PRO MIKROCHIRU</t>
  </si>
  <si>
    <t>61147</t>
  </si>
  <si>
    <t>UZAVŘENÍ DEFEKTU KOŽNÍM LALOKEM MÍSTNÍM DO 10 CM^2</t>
  </si>
  <si>
    <t>61247</t>
  </si>
  <si>
    <t>OPERACE KARPÁLNÍHO TUNELU</t>
  </si>
  <si>
    <t>71823</t>
  </si>
  <si>
    <t>POUŽITÍ MIKROSKOPU PŘI OPERAČNÍM VÝKONU Á 10 MINUT</t>
  </si>
  <si>
    <t>61115</t>
  </si>
  <si>
    <t xml:space="preserve">REVIZE, EXCIZE A SUTURA PORANĚNÍ KŮŽE A PODKOŽÍ A </t>
  </si>
  <si>
    <t>61151</t>
  </si>
  <si>
    <t>UZAVŘENÍ DEFEKTU KOŽNÍM LALOKEM MÍSTNÍM NAD 20 CM^</t>
  </si>
  <si>
    <t>61165</t>
  </si>
  <si>
    <t>ROZPROSTŘENÍ NEBO MODELACE LALOKU</t>
  </si>
  <si>
    <t>53517</t>
  </si>
  <si>
    <t>SUTURA NEBO REINSERCE ŠLACHY FLEXORU RUKY A ZÁPĚST</t>
  </si>
  <si>
    <t>61121</t>
  </si>
  <si>
    <t>CÉVNÍ ANASTOMOSA MIKROCHIRURGICKOU TECHNIKOU</t>
  </si>
  <si>
    <t>53515</t>
  </si>
  <si>
    <t>SUTURA ŠLACHY EXTENSORU RUKY A ZÁPĚSTÍ</t>
  </si>
  <si>
    <t>66411</t>
  </si>
  <si>
    <t>AMPUTACE PRSTU RUKY NEBO ČLÁNKU PRSTU - ZA PRVNÍ P</t>
  </si>
  <si>
    <t>61169</t>
  </si>
  <si>
    <t>TRANSPOZICE MUSKULÁRNÍHO LALOKU</t>
  </si>
  <si>
    <t>6F3</t>
  </si>
  <si>
    <t>63573</t>
  </si>
  <si>
    <t>HYSTEREKTOMIE ABDOMINÁLNÍ NEBO VAGINÁLNÍ S NEBO BE</t>
  </si>
  <si>
    <t>6F5</t>
  </si>
  <si>
    <t>04700</t>
  </si>
  <si>
    <t>KONZERVATIVNÍ OŠETŘENÍ V DENTOALVEOLÁRNÍ CHIRURGII</t>
  </si>
  <si>
    <t>04825</t>
  </si>
  <si>
    <t>REPOZICE SUBLUX. ZUBU ČI FRAKTURY ALVEOLU, SEXT.</t>
  </si>
  <si>
    <t>04830</t>
  </si>
  <si>
    <t>SUTURA RÁNY SLIZNICE DO 5 CM, 1 VRSTVA</t>
  </si>
  <si>
    <t>04831</t>
  </si>
  <si>
    <t>SUTURA RÁNY SLIZNICE NAD 5 CM NEBO VÍCE VRSTEV</t>
  </si>
  <si>
    <t>04860</t>
  </si>
  <si>
    <t>IMOBILIZACE ČELISTÍ</t>
  </si>
  <si>
    <t>65949</t>
  </si>
  <si>
    <t>OŠETŘENÍ KOLEMČELISTNÍHO ZÁNĚTU A DRENÁŽ</t>
  </si>
  <si>
    <t>71653</t>
  </si>
  <si>
    <t>ZAVŘENÁ REPOZICE FRAKTURY KŮSTEK NOSNÍCH</t>
  </si>
  <si>
    <t>71747</t>
  </si>
  <si>
    <t>ČÁSTEČNÁ EXSTIRPACE KRČNÍCH UZLIN</t>
  </si>
  <si>
    <t>65211</t>
  </si>
  <si>
    <t>OŠETŘENÍ ZLOMENINY ČELISTI DESTIČKOVOU ŠROUBOVANOU</t>
  </si>
  <si>
    <t>65215</t>
  </si>
  <si>
    <t>DENTÁLNÍ DRÁTĚNÁ DLAHA Z VOLNÉ RUKY - JEDNA ČELIST</t>
  </si>
  <si>
    <t>65936</t>
  </si>
  <si>
    <t xml:space="preserve">REPOZICE ZLOMENINY ZYGOMATIKOMAXILÁRNÍHO KOMPLEXU </t>
  </si>
  <si>
    <t>75381</t>
  </si>
  <si>
    <t>REKOSTRUKCE SPODINY OČNICE</t>
  </si>
  <si>
    <t>6F6</t>
  </si>
  <si>
    <t>66039</t>
  </si>
  <si>
    <t>SLOŽITÁ OPERAČNÍ ARTROSKOPIE</t>
  </si>
  <si>
    <t>66623</t>
  </si>
  <si>
    <t>PROSTÁ EXTRAKCE ENDOPROTÉZY - CEMENTOVANÉ</t>
  </si>
  <si>
    <t>66919</t>
  </si>
  <si>
    <t>SEKVESTROTOMIE</t>
  </si>
  <si>
    <t>66817</t>
  </si>
  <si>
    <t>VÝPLŇ DUTINY</t>
  </si>
  <si>
    <t>66877</t>
  </si>
  <si>
    <t>TREPANACE A DRENÁŽ KOSTI</t>
  </si>
  <si>
    <t>7F1</t>
  </si>
  <si>
    <t>71311</t>
  </si>
  <si>
    <t>LARYNGOSKOPIE PŘÍMÁ</t>
  </si>
  <si>
    <t>71517</t>
  </si>
  <si>
    <t>ODSTRANĚNÍ CIZÍHO TĚLESA ZE STŘEDOUŠÍ</t>
  </si>
  <si>
    <t>71537</t>
  </si>
  <si>
    <t>MASTOIDEKTOMIE</t>
  </si>
  <si>
    <t>71751</t>
  </si>
  <si>
    <t>EXENTERACE KRČNÍCH UZLIN JEDNOSTRANNÁ</t>
  </si>
  <si>
    <t>71811</t>
  </si>
  <si>
    <t>LIGATURA A. CAROTIS EXT.</t>
  </si>
  <si>
    <t>71315</t>
  </si>
  <si>
    <t>LARYNGOSKOPIE NEBO EPIFARYNGOSKOPIE FLEXIBILNÍ OPT</t>
  </si>
  <si>
    <t>71559</t>
  </si>
  <si>
    <t>DEKOMPRESE LÍCNÍHO NERVU</t>
  </si>
  <si>
    <t>7F6</t>
  </si>
  <si>
    <t>76439</t>
  </si>
  <si>
    <t>ORCHIECTOMIE JEDNOSTRANNÁ</t>
  </si>
  <si>
    <t>76459</t>
  </si>
  <si>
    <t>LIGATURA VAS DEFERENS (VAZEKTOMIE) JEDNOSTRANNÁ</t>
  </si>
  <si>
    <t>76483</t>
  </si>
  <si>
    <t>RESEKCE LEDVINY NEBO HEMINEFREKTOMIE JEDNOSTRANNÁ</t>
  </si>
  <si>
    <t>76527</t>
  </si>
  <si>
    <t>URETERORENOSKOPIE</t>
  </si>
  <si>
    <t>76529</t>
  </si>
  <si>
    <t>URETEROSKOPIE S TRIPSÍ KONKREMENTU NEBO EXTRAKCÍ V</t>
  </si>
  <si>
    <t>76121</t>
  </si>
  <si>
    <t>NEFROSTOMOGRAM (JEN KLINICKÝ VÝKON)</t>
  </si>
  <si>
    <t>76531</t>
  </si>
  <si>
    <t>CYSTOURETROSKOPIE</t>
  </si>
  <si>
    <t>76215</t>
  </si>
  <si>
    <t>KATETRIZACE URETERU, NEBO EXTRAKCE KONKREMENTU Z M</t>
  </si>
  <si>
    <t>76565</t>
  </si>
  <si>
    <t>BIOPSIE EV. EXTRAKCE Z MĚCHÝŘE - CIZÍ TĚLESO, KONK</t>
  </si>
  <si>
    <t>76481</t>
  </si>
  <si>
    <t>NEFREKTOMIE TORAKOABDOMINÁLNÍ RADIKÁLNÍ NEBO NEFRO</t>
  </si>
  <si>
    <t>76335</t>
  </si>
  <si>
    <t>OPERAČNÍ REVIZE PERIRENÁLNÍCH NEBO PERIURETERÁLNÍC</t>
  </si>
  <si>
    <t>809</t>
  </si>
  <si>
    <t>89198</t>
  </si>
  <si>
    <t>SKIASKOPIE</t>
  </si>
  <si>
    <t>89313</t>
  </si>
  <si>
    <t xml:space="preserve">PERKUTÁNNÍ PUNKCE NEBO BIOPSIE ŘÍZENÁ RDG METODOU </t>
  </si>
  <si>
    <t>89327</t>
  </si>
  <si>
    <t>KONTROLNÍ NÁSTŘIK DRENÁŽNÍHO KATÉTRU</t>
  </si>
  <si>
    <t>89455</t>
  </si>
  <si>
    <t>PERKUTÁNNÍ NEFROSTOMIE JEDNOSTRANNÁ</t>
  </si>
  <si>
    <t>Zdravotní výkony vykázané na pracovišti pro pacienty hospitalizované ve FNOL - orientační přehled</t>
  </si>
  <si>
    <t>00043</t>
  </si>
  <si>
    <t>A</t>
  </si>
  <si>
    <t xml:space="preserve">DLOUHODOBÁ MECHANICKÁ VENTILACE &gt; 240 HODIN (11-21 DNÍ)                                             </t>
  </si>
  <si>
    <t>00053</t>
  </si>
  <si>
    <t xml:space="preserve">DLOUHODOBÁ MECHANICKÁ VENTILACE &gt; 96 HODIN (5-10 DNÍ) S                                             </t>
  </si>
  <si>
    <t>00080</t>
  </si>
  <si>
    <t xml:space="preserve">DLOUHODOBÁ MECHANICKÁ VENTILACE &gt; 1008 HODIN (43-75 DNÍ                                             </t>
  </si>
  <si>
    <t>00100</t>
  </si>
  <si>
    <t xml:space="preserve">DLOUHODOBÁ MECHANICKÁ VENTILACE &gt; 504 HODIN (22-42 DNÍ)                                             </t>
  </si>
  <si>
    <t>00110</t>
  </si>
  <si>
    <t>00123</t>
  </si>
  <si>
    <t>00133</t>
  </si>
  <si>
    <t>01012</t>
  </si>
  <si>
    <t xml:space="preserve">KRANIOTOMIE S CC                                                                                    </t>
  </si>
  <si>
    <t>01333</t>
  </si>
  <si>
    <t xml:space="preserve">NETRAUMATICKÉ INTRAKRANIÁLNÍ KRVÁCENÍ S MCC                                                         </t>
  </si>
  <si>
    <t>01353</t>
  </si>
  <si>
    <t xml:space="preserve">NESPECIFICKÁ CÉVNÍ MOZKOVÁ PŘÍHODA A PRECEREBRÁLNÍ OKLU                                             </t>
  </si>
  <si>
    <t>01443</t>
  </si>
  <si>
    <t xml:space="preserve">KRANIÁLNÍ A INTRAKRANIÁLNÍ PORANĚNÍ S MCC                                                           </t>
  </si>
  <si>
    <t>03302</t>
  </si>
  <si>
    <t xml:space="preserve">MALIGNÍ ONEMOCNĚNÍ UCHA, NOSU, ÚST A HRDLA S CC                                                     </t>
  </si>
  <si>
    <t>04310</t>
  </si>
  <si>
    <t xml:space="preserve">RESPIRAČNÍ SELHÁNÍ                                                                                  </t>
  </si>
  <si>
    <t>04343</t>
  </si>
  <si>
    <t xml:space="preserve">MALIGNÍ ONEMOCNĚNÍ DÝCHACÍHO SYSTÉMU S MCC                                                          </t>
  </si>
  <si>
    <t>05000</t>
  </si>
  <si>
    <t xml:space="preserve">ÚMRTÍ DO 5 DNÍ OD PŘÍJMU PŘI HLAVNÍ DIAGNÓZE OBĚHOVÉHO                                              </t>
  </si>
  <si>
    <t>05091</t>
  </si>
  <si>
    <t xml:space="preserve">VELKÉ ABDOMINÁLNÍ VASKULÁRNÍ VÝKONY BEZ CC                                                          </t>
  </si>
  <si>
    <t>05092</t>
  </si>
  <si>
    <t xml:space="preserve">VELKÉ ABDOMINÁLNÍ VASKULÁRNÍ VÝKONY S CC                                                            </t>
  </si>
  <si>
    <t>05093</t>
  </si>
  <si>
    <t xml:space="preserve">VELKÉ ABDOMINÁLNÍ VASKULÁRNÍ VÝKONY S MCC                                                           </t>
  </si>
  <si>
    <t>05103</t>
  </si>
  <si>
    <t xml:space="preserve">JINÉ PERKUTÁNNÍ KARDIOVASKULÁRNÍ VÝKONY PŘI AKUTNÍM INF                                             </t>
  </si>
  <si>
    <t>05141</t>
  </si>
  <si>
    <t xml:space="preserve">JINÉ VASKULÁRNÍ VÝKONY BEZ CC                                                                       </t>
  </si>
  <si>
    <t>05142</t>
  </si>
  <si>
    <t xml:space="preserve">JINÉ VASKULÁRNÍ VÝKONY S CC                                                                         </t>
  </si>
  <si>
    <t>05143</t>
  </si>
  <si>
    <t xml:space="preserve">JINÉ VASKULÁRNÍ VÝKONY S MCC                                                                        </t>
  </si>
  <si>
    <t>05371</t>
  </si>
  <si>
    <t xml:space="preserve">NEOBJASNĚNÁ SRDEČNÍ ZÁSTAVA BEZ CC                                                                  </t>
  </si>
  <si>
    <t>05382</t>
  </si>
  <si>
    <t xml:space="preserve">PERIFERNÍ A JINÉ VASKULÁRNÍ PORUCHY S CC                                                            </t>
  </si>
  <si>
    <t>05473</t>
  </si>
  <si>
    <t xml:space="preserve">JINÉ PORUCHY OBĚHOVÉHO SYSTÉMU S MCC                                                                </t>
  </si>
  <si>
    <t>05481</t>
  </si>
  <si>
    <t xml:space="preserve">ENDOVASKULÁRNÍ VÝKONY PRO AKUTNÍ ISCHÉMII V OBLASTI PER                                             </t>
  </si>
  <si>
    <t>05501</t>
  </si>
  <si>
    <t xml:space="preserve">ANGIOPLASTIKA NEBO ZAVEDENÍ STENTU DO PERIFERNÍ CÉVY BE                                             </t>
  </si>
  <si>
    <t>05502</t>
  </si>
  <si>
    <t xml:space="preserve">ANGIOPLASTIKA NEBO ZAVEDENÍ STENTU DO PERIFERNÍ CÉVY S                                              </t>
  </si>
  <si>
    <t>06012</t>
  </si>
  <si>
    <t xml:space="preserve">VELKÉ VÝKONY NA TLUSTÉM A TENKÉM STŘEVU S CC                                                        </t>
  </si>
  <si>
    <t>06013</t>
  </si>
  <si>
    <t xml:space="preserve">VELKÉ VÝKONY NA TLUSTÉM A TENKÉM STŘEVU S MCC                                                       </t>
  </si>
  <si>
    <t>06022</t>
  </si>
  <si>
    <t xml:space="preserve">VELKÉ VÝKONY NA ŽALUDKU, JÍCNU A DVANÁCTNÍKU S CC                                                   </t>
  </si>
  <si>
    <t>06023</t>
  </si>
  <si>
    <t xml:space="preserve">VELKÉ VÝKONY NA ŽALUDKU, JÍCNU A DVANÁCTNÍKU S MCC                                                  </t>
  </si>
  <si>
    <t>06031</t>
  </si>
  <si>
    <t xml:space="preserve">MENŠÍ VÝKONY NA TLUSTÉM A TENKÉM STŘEVU BEZ CC                                                      </t>
  </si>
  <si>
    <t>06032</t>
  </si>
  <si>
    <t xml:space="preserve">MENŠÍ VÝKONY NA TLUSTÉM A TENKÉM STŘEVU S CC                                                        </t>
  </si>
  <si>
    <t>06083</t>
  </si>
  <si>
    <t xml:space="preserve">LAPAROTOMICKÉ VÝKONY PŘI TŘÍSELNÉ, STEHENNÍ, UMBILIKÁLN                                             </t>
  </si>
  <si>
    <t>06102</t>
  </si>
  <si>
    <t xml:space="preserve">JINÉ VÝKONY PŘI PORUCHÁCH A ONEMOCNĚNÍCH TRÁVICÍHO SYST                                             </t>
  </si>
  <si>
    <t>06103</t>
  </si>
  <si>
    <t>06322</t>
  </si>
  <si>
    <t xml:space="preserve">PORUCHY JÍCNU S CC                                                                                  </t>
  </si>
  <si>
    <t>06332</t>
  </si>
  <si>
    <t xml:space="preserve">DIVERTIKULITIDA, DIVERTIKULÓZA A ZÁNĚTLIVÉ ONEMOCNĚNÍ S                                             </t>
  </si>
  <si>
    <t>06382</t>
  </si>
  <si>
    <t xml:space="preserve">JINÉ PORUCHY TRÁVICÍHO SYSTÉMU S CC                                                                 </t>
  </si>
  <si>
    <t>07052</t>
  </si>
  <si>
    <t xml:space="preserve">JINÉ VÝKONY PŘI PORUCHÁCH A ONEMOCNĚNÍCH HEPATOBILIÁRNÍ                                             </t>
  </si>
  <si>
    <t>07303</t>
  </si>
  <si>
    <t xml:space="preserve">CIRHÓZA A ALKOHOLICKÁ HEPATITIDA S MCC                                                              </t>
  </si>
  <si>
    <t>07333</t>
  </si>
  <si>
    <t xml:space="preserve">PORUCHY JATER, KROMĚ MALIGNÍ CIRHÓZY A ALKOHOLICKÉ HEPA                                             </t>
  </si>
  <si>
    <t>07343</t>
  </si>
  <si>
    <t xml:space="preserve">JINÉ PORUCHY ŽLUČOVÝCH CEST S MCC                                                                   </t>
  </si>
  <si>
    <t>08043</t>
  </si>
  <si>
    <t xml:space="preserve">TOTÁLNÍ ENDOPROTÉZU KYČLE, LOKTE, ZÁPĚSTÍ, TOTÁLNÍ A RE                                             </t>
  </si>
  <si>
    <t>08073</t>
  </si>
  <si>
    <t xml:space="preserve">AMPUTACE PŘI PORUCHÁCH MUSKULOSKELETÁLNÍHO SYSTÉMU A PO                                             </t>
  </si>
  <si>
    <t>08081</t>
  </si>
  <si>
    <t xml:space="preserve">VÝKONY NA KYČLÍCH A STEHENNÍ KOSTI, KROMĚ REPLANTACE VE                                             </t>
  </si>
  <si>
    <t>08152</t>
  </si>
  <si>
    <t xml:space="preserve">VÝKONY NA HORNÍCH KONČETINÁCH S CC                                                                  </t>
  </si>
  <si>
    <t>08302</t>
  </si>
  <si>
    <t xml:space="preserve">ZLOMENINY KOSTI STEHENNÍ S CC                                                                       </t>
  </si>
  <si>
    <t>10023</t>
  </si>
  <si>
    <t xml:space="preserve">KOŽNÍ ŠTĚP A DEBRIDEMENT RÁNY PŘI ENDOKRINNÍCH, NUTRIČN                                             </t>
  </si>
  <si>
    <t>10052</t>
  </si>
  <si>
    <t xml:space="preserve">VÝKONY NA ŠTÍTNÉ A PŘÍŠTITNÉ ŽLÁZE, THYROGLOSSÁLNÍ VÝKO                                             </t>
  </si>
  <si>
    <t>10053</t>
  </si>
  <si>
    <t>10303</t>
  </si>
  <si>
    <t xml:space="preserve">DIABETES, NUTRIČNÍ A JINÉ METABOLICKÉ PORUCHY S MCC                                                 </t>
  </si>
  <si>
    <t>10333</t>
  </si>
  <si>
    <t xml:space="preserve">JINÉ ENDOKRINNÍ PORUCHY S MCC                                                                       </t>
  </si>
  <si>
    <t>11042</t>
  </si>
  <si>
    <t xml:space="preserve">DIALÝZA A ELIMINAČNÍ METODY S CC                                                                    </t>
  </si>
  <si>
    <t>11082</t>
  </si>
  <si>
    <t xml:space="preserve">JINÉ VÝKONY PŘI PORUCHÁCH A ONEMOCNĚNÍCH LEDVIN A MOČOV                                             </t>
  </si>
  <si>
    <t>11083</t>
  </si>
  <si>
    <t>11303</t>
  </si>
  <si>
    <t xml:space="preserve">MALIGNÍ ONEMOCNĚNÍ LEDVIN A MOČOVÝCH CEST A LEDVINOVÉ S                                             </t>
  </si>
  <si>
    <t>16023</t>
  </si>
  <si>
    <t xml:space="preserve">JINÉ VÝKONY PRO KREVNÍ ONEMOCNĚNÍ A NA KRVETVORNÝCH ORG                                             </t>
  </si>
  <si>
    <t>18012</t>
  </si>
  <si>
    <t xml:space="preserve">VÝKONY PRO INFEKČNÍ A PARAZITÁRNÍ NEMOCI S CC                                                       </t>
  </si>
  <si>
    <t>18013</t>
  </si>
  <si>
    <t xml:space="preserve">VÝKONY PRO INFEKČNÍ A PARAZITÁRNÍ NEMOCI S MCC                                                      </t>
  </si>
  <si>
    <t>18301</t>
  </si>
  <si>
    <t xml:space="preserve">SEPTIKÉMIE BEZ CC                                                                                   </t>
  </si>
  <si>
    <t>18302</t>
  </si>
  <si>
    <t xml:space="preserve">SEPTIKÉMIE S CC                                                                                     </t>
  </si>
  <si>
    <t>18303</t>
  </si>
  <si>
    <t xml:space="preserve">SEPTIKÉMIE S MCC                                                                                    </t>
  </si>
  <si>
    <t>18341</t>
  </si>
  <si>
    <t xml:space="preserve">JINÉ INFEKČNÍ A PARAZITÁRNÍ NEMOCI BEZ CC                                                           </t>
  </si>
  <si>
    <t>20333</t>
  </si>
  <si>
    <t xml:space="preserve">ŠKODLIVÉ UŽÍVÁNÍ A ZÁVISLOST NA ALKOHOLU S MCC                                                      </t>
  </si>
  <si>
    <t>21301</t>
  </si>
  <si>
    <t xml:space="preserve">PORANĚNÍ NA NESPECIFIKOVANÉM MÍSTĚ NEBO NA VÍCE MÍSTECH                                             </t>
  </si>
  <si>
    <t>21303</t>
  </si>
  <si>
    <t>21352</t>
  </si>
  <si>
    <t xml:space="preserve">JINÉ DIAGNÓZY ZRANĚNÍ, OTRAVY A TOXICKÝCH ÚČINKŮ S CC                                               </t>
  </si>
  <si>
    <t>23013</t>
  </si>
  <si>
    <t xml:space="preserve">OPERAČNÍ VÝKON S DIAGNÓZOU JINÉHO KONTAKTU SE ZDRAVOTNI                                             </t>
  </si>
  <si>
    <t>23323</t>
  </si>
  <si>
    <t xml:space="preserve">JINÉ FAKTORY OVLIVŇUJÍCÍ ZDRAVOTNÍ STAV S MCC                                                       </t>
  </si>
  <si>
    <t>25051</t>
  </si>
  <si>
    <t xml:space="preserve">DLOUHODOBÁ MECHANICKÁ VENTILACE PŘI POLYTRAUMATU &gt; 240                                              </t>
  </si>
  <si>
    <t>25073</t>
  </si>
  <si>
    <t xml:space="preserve">DLOUHODOBÁ MECHANICKÁ VENTILACE PŘI POLYTRAUMATU &gt; 96 H                                             </t>
  </si>
  <si>
    <t>25302</t>
  </si>
  <si>
    <t xml:space="preserve">DIAGNÓZY TÝKAJÍCÍ SE HLAVY, HRUDNÍKU A DOLNÍCH KONČETIN                                             </t>
  </si>
  <si>
    <t>25303</t>
  </si>
  <si>
    <t>25370</t>
  </si>
  <si>
    <t xml:space="preserve">ÚMRTÍ DO 5 DNÍ OD PŘÍJMU PŘI POLYTRAUMATU                                                           </t>
  </si>
  <si>
    <t>88873</t>
  </si>
  <si>
    <t xml:space="preserve">ROZSÁHLÉ VÝKONY, KTERÉ SE NETÝKAJÍ HLAVNÍ DIAGNÓZY S MC                                             </t>
  </si>
  <si>
    <t>99990</t>
  </si>
  <si>
    <t xml:space="preserve">NEZAŘADITELNÉ                                                                                       </t>
  </si>
  <si>
    <t>Porovnání jednotlivých IR DRG skupin</t>
  </si>
  <si>
    <t>12 - Urologická klinika</t>
  </si>
  <si>
    <t>22 - Klinika nukleární medicíny</t>
  </si>
  <si>
    <t>32 - Hemato-onkologická klinika</t>
  </si>
  <si>
    <t>33 - Oddělení klinické biochemie</t>
  </si>
  <si>
    <t>34 - Radiologická klinika</t>
  </si>
  <si>
    <t>35 - Transfuzní oddělení</t>
  </si>
  <si>
    <t>37 - Ústav klinické a molekulární patologie</t>
  </si>
  <si>
    <t>40 - Ústav mikrobiologie</t>
  </si>
  <si>
    <t>41 - Ústav imunologie</t>
  </si>
  <si>
    <t>44 - LEM</t>
  </si>
  <si>
    <t>12</t>
  </si>
  <si>
    <t>89173</t>
  </si>
  <si>
    <t>ANTEGRÁDNÍ PYELOGRAFIE JEDNOSTRANNÁ</t>
  </si>
  <si>
    <t>89165</t>
  </si>
  <si>
    <t>RETROGRÁDNÍ PYELOGRAFIE JEDNOSTRANNÁ</t>
  </si>
  <si>
    <t>22</t>
  </si>
  <si>
    <t>0002095</t>
  </si>
  <si>
    <t>47275</t>
  </si>
  <si>
    <t>SCINTIGRAFIE SENTINELOVÉ UZLINY</t>
  </si>
  <si>
    <t>32</t>
  </si>
  <si>
    <t>818</t>
  </si>
  <si>
    <t>96157</t>
  </si>
  <si>
    <t>STANOVENÍ HEPARINOVÝCH JEDNOTEK ANTI XA</t>
  </si>
  <si>
    <t>96167</t>
  </si>
  <si>
    <t>KREVNÍ OBRAZ S PĚTI POPULAČNÍM DIFERENCIÁLNÍM POČT</t>
  </si>
  <si>
    <t>96191</t>
  </si>
  <si>
    <t>FAKTOR VIII - STANOVENÍ AKTIVITY</t>
  </si>
  <si>
    <t>96247</t>
  </si>
  <si>
    <t>AGREGACE TROMBOCYTŮ INDUKOVANÁ BĚŽNÝMI INDUKTORY -</t>
  </si>
  <si>
    <t>96321</t>
  </si>
  <si>
    <t>POČET TROMBOCYTŮ MIKROSKOPICKY</t>
  </si>
  <si>
    <t>96617</t>
  </si>
  <si>
    <t>TROMBINOVÝ ČAS</t>
  </si>
  <si>
    <t>96621</t>
  </si>
  <si>
    <t>AKTIVOVANÝ PARTIALNÍ TROMBOPLASTINOVÝ TEST (APTT)</t>
  </si>
  <si>
    <t>96627</t>
  </si>
  <si>
    <t>INHIBITOR KOAGULAČNÍHO FAKTORU</t>
  </si>
  <si>
    <t>96711</t>
  </si>
  <si>
    <t>PANOPTICKÉ OBARVENÍ NÁTĚRU PERIFERNÍ KRVE NEBO ASP</t>
  </si>
  <si>
    <t>96857</t>
  </si>
  <si>
    <t>STANOVENÍ POČTU RETIKULOCYTŮ NA AUTOMATICKÉM ANALY</t>
  </si>
  <si>
    <t>96315</t>
  </si>
  <si>
    <t>ANALÝZA KREVNÍHO NÁTĚRU PANOPTICKY OBARVENÉHO. IND</t>
  </si>
  <si>
    <t>96813</t>
  </si>
  <si>
    <t>ANTITROMBIN III, CHROMOGENNÍ METODOU (SÉRIE)</t>
  </si>
  <si>
    <t>96515</t>
  </si>
  <si>
    <t>FIBRIN DEGRADAČNÍ PRODUKTY KVANTITATIVNĚ</t>
  </si>
  <si>
    <t>96325</t>
  </si>
  <si>
    <t>FIBRINOGEN (SÉRIE)</t>
  </si>
  <si>
    <t>96613</t>
  </si>
  <si>
    <t>VYŠETŘENÍ NÁTĚRU NA SCHIZOCYTY</t>
  </si>
  <si>
    <t>94199</t>
  </si>
  <si>
    <t>AMPLIFIKACE METODOU PCR</t>
  </si>
  <si>
    <t>94195</t>
  </si>
  <si>
    <t>SYNTÉZA cDNA REVERZNÍ TRANSKRIPCÍ</t>
  </si>
  <si>
    <t>96863</t>
  </si>
  <si>
    <t>STANOVENÍ POČTU ERYTROBLASTŮ NA AUTOMATICKÉM ANALY</t>
  </si>
  <si>
    <t>96249</t>
  </si>
  <si>
    <t>AGREGACE TROMBOCYTŮ INDUKOVANÁ OSTATNÍMI INDUKTORY</t>
  </si>
  <si>
    <t>96891</t>
  </si>
  <si>
    <t>TROMBELASTOGRAM</t>
  </si>
  <si>
    <t>33</t>
  </si>
  <si>
    <t>801</t>
  </si>
  <si>
    <t>81111</t>
  </si>
  <si>
    <t>A L T  STATIM</t>
  </si>
  <si>
    <t>81117</t>
  </si>
  <si>
    <t>AMYLASA (SÉRUM, MOČ) STATIM</t>
  </si>
  <si>
    <t>81121</t>
  </si>
  <si>
    <t>BILIRUBIN CELKOVÝ STATIM</t>
  </si>
  <si>
    <t>81137</t>
  </si>
  <si>
    <t>UREA STATIM</t>
  </si>
  <si>
    <t>81141</t>
  </si>
  <si>
    <t>VÁPNÍK IONIZOVANÝ STATIM</t>
  </si>
  <si>
    <t>81147</t>
  </si>
  <si>
    <t>FOSFATÁZA ALKALICKÁ STATIM</t>
  </si>
  <si>
    <t>81157</t>
  </si>
  <si>
    <t>CHLORIDY STATIM</t>
  </si>
  <si>
    <t>81161</t>
  </si>
  <si>
    <t>AMYLÁZA PANKREATICKÁ STATIM</t>
  </si>
  <si>
    <t>81167</t>
  </si>
  <si>
    <t>KREATINKINÁZA IZOENZYMY (CK-MB) STATIM</t>
  </si>
  <si>
    <t>81171</t>
  </si>
  <si>
    <t>KYSELINA MLÉČNÁ (LAKTÁT) STATIM</t>
  </si>
  <si>
    <t>81231</t>
  </si>
  <si>
    <t>METHEMOGLOBIN - KVANTITATIVNÍ STANOVENÍ</t>
  </si>
  <si>
    <t>81237</t>
  </si>
  <si>
    <t>TROPONIN - T NEBO I ELISA</t>
  </si>
  <si>
    <t>81331</t>
  </si>
  <si>
    <t>ALBUMIN V MOZKOMÍŠNÍM MOKU</t>
  </si>
  <si>
    <t>81341</t>
  </si>
  <si>
    <t>AMONIAK</t>
  </si>
  <si>
    <t>81397</t>
  </si>
  <si>
    <t>ELEKTROFORÉZA PROTEINŮ (SÉRUM)</t>
  </si>
  <si>
    <t>81427</t>
  </si>
  <si>
    <t>FOSFOR ANORGANICKÝ</t>
  </si>
  <si>
    <t>81451</t>
  </si>
  <si>
    <t>HEMOGLOBIN VOLNÝ V PLAZMĚ</t>
  </si>
  <si>
    <t>81481</t>
  </si>
  <si>
    <t>AMYLÁZA PANKREATICKÁ</t>
  </si>
  <si>
    <t>81527</t>
  </si>
  <si>
    <t>CHOLESTEROL LDL</t>
  </si>
  <si>
    <t>81537</t>
  </si>
  <si>
    <t>LIPOPROTEINY - ELEKTROFORÉZA</t>
  </si>
  <si>
    <t>81541</t>
  </si>
  <si>
    <t>LIPOPROTEIN - Lp (a)</t>
  </si>
  <si>
    <t>81641</t>
  </si>
  <si>
    <t>ŽELEZO CELKOVÉ</t>
  </si>
  <si>
    <t>81717</t>
  </si>
  <si>
    <t>STANOVENÍ KONCENTRACE PROTEINU S-100B (S-100BB, S-</t>
  </si>
  <si>
    <t>81721</t>
  </si>
  <si>
    <t>IMUNOTURBIDIMETRICKÉ A/NEBO IMUNONEFELOMETRICKÉ ST</t>
  </si>
  <si>
    <t>81731</t>
  </si>
  <si>
    <t>STANOVENÍ NATRIURETICKÝCH PEPTIDŮ V SÉRU A V PLAZM</t>
  </si>
  <si>
    <t>81747</t>
  </si>
  <si>
    <t xml:space="preserve">VYŠETŘENÍ TANDEMOVOU HMOTNOSTNÍ SPEKTROMETRIÍ PRO </t>
  </si>
  <si>
    <t>91131</t>
  </si>
  <si>
    <t>STANOVENÍ IgA</t>
  </si>
  <si>
    <t>91137</t>
  </si>
  <si>
    <t>STANOVENÍ TRANSFERINU</t>
  </si>
  <si>
    <t>91167</t>
  </si>
  <si>
    <t>STANOVENÍ LEHKÝCH ŘETĚZCU KAPPA</t>
  </si>
  <si>
    <t>91171</t>
  </si>
  <si>
    <t>STANOVENÍ IgG ELISA</t>
  </si>
  <si>
    <t>91175</t>
  </si>
  <si>
    <t>STANOVENÍ IgM ELISA</t>
  </si>
  <si>
    <t>91397</t>
  </si>
  <si>
    <t>ELEKTROFORESA S NÁSLEDNOU IMUNOFIXACÍ (KOMPLEX - I</t>
  </si>
  <si>
    <t>91481</t>
  </si>
  <si>
    <t>STANOVENÍ KONCENTRACE PROCALCITONINU</t>
  </si>
  <si>
    <t>93141</t>
  </si>
  <si>
    <t>KALCITONIN</t>
  </si>
  <si>
    <t>93151</t>
  </si>
  <si>
    <t>FERRITIN</t>
  </si>
  <si>
    <t>93187</t>
  </si>
  <si>
    <t>TYROXIN CELKOVÝ (TT4)</t>
  </si>
  <si>
    <t>81119</t>
  </si>
  <si>
    <t>AMONIAK STATIM</t>
  </si>
  <si>
    <t>81135</t>
  </si>
  <si>
    <t>SODÍK STATIM</t>
  </si>
  <si>
    <t>81473</t>
  </si>
  <si>
    <t>CHOLESTEROL HDL</t>
  </si>
  <si>
    <t>81563</t>
  </si>
  <si>
    <t>OSMOLALITA (SÉRUM, MOČ)</t>
  </si>
  <si>
    <t>93189</t>
  </si>
  <si>
    <t>TYROXIN VOLNÝ (FT4)</t>
  </si>
  <si>
    <t>81585</t>
  </si>
  <si>
    <t>ACIDOBAZICKÁ ROVNOVÁHA</t>
  </si>
  <si>
    <t>93245</t>
  </si>
  <si>
    <t>TRIJODTYRONIN VOLNÝ (FT3)</t>
  </si>
  <si>
    <t>94119</t>
  </si>
  <si>
    <t>IZOLACE A UCHOVÁNÍ LIDSKÉ DNA (RNA)</t>
  </si>
  <si>
    <t>91153</t>
  </si>
  <si>
    <t>STANOVENÍ  C - REAKTIVNÍHO PROTEINU</t>
  </si>
  <si>
    <t>81145</t>
  </si>
  <si>
    <t>DRASLÍK STATIM</t>
  </si>
  <si>
    <t>81153</t>
  </si>
  <si>
    <t>GAMA-GLUTAMYLTRANSFERÁZA (GMT) STATIM</t>
  </si>
  <si>
    <t>81113</t>
  </si>
  <si>
    <t>A S T  STATIM</t>
  </si>
  <si>
    <t>93225</t>
  </si>
  <si>
    <t>PROSTATICKÝ SPECIFICKÝ ANTIGEN (PSA)</t>
  </si>
  <si>
    <t>81383</t>
  </si>
  <si>
    <t>LAKTÁTDEHYDROGENÁZA (L D)</t>
  </si>
  <si>
    <t>81699</t>
  </si>
  <si>
    <t>STANOVENÍ IGF - I (INSULIN - LIKE GROWTH FACTOR)</t>
  </si>
  <si>
    <t>81169</t>
  </si>
  <si>
    <t>KREATININ STATIM</t>
  </si>
  <si>
    <t>81143</t>
  </si>
  <si>
    <t>LAKTÁTDEHYDROGENÁZA STATIM</t>
  </si>
  <si>
    <t>81495</t>
  </si>
  <si>
    <t>KREATINKINÁZA (CK)</t>
  </si>
  <si>
    <t>81315</t>
  </si>
  <si>
    <t>REGISTRAČNÍ SPEKTROFOTOMETRIE NATIVNÍHO MOZKOMÍŠNÍ</t>
  </si>
  <si>
    <t>81149</t>
  </si>
  <si>
    <t>FOSFOR ANORGANICKÝ STATIM</t>
  </si>
  <si>
    <t>81173</t>
  </si>
  <si>
    <t>LIPÁZA STATIM</t>
  </si>
  <si>
    <t>93195</t>
  </si>
  <si>
    <t>TYREOTROPIN (TSH)</t>
  </si>
  <si>
    <t>93213</t>
  </si>
  <si>
    <t>VITAMIN B12</t>
  </si>
  <si>
    <t>81329</t>
  </si>
  <si>
    <t>ALBUMIN (SÉRUM)</t>
  </si>
  <si>
    <t>81115</t>
  </si>
  <si>
    <t>ALBUMIN SÉRUM (STATIM)</t>
  </si>
  <si>
    <t>93115</t>
  </si>
  <si>
    <t>FOLÁTY</t>
  </si>
  <si>
    <t>81345</t>
  </si>
  <si>
    <t>AMYLÁZA</t>
  </si>
  <si>
    <t>81155</t>
  </si>
  <si>
    <t>GLUKÓZA KVANTITATIVNÍ STANOVENÍ STATIM</t>
  </si>
  <si>
    <t>91129</t>
  </si>
  <si>
    <t>STANOVENÍ IgG</t>
  </si>
  <si>
    <t>81249</t>
  </si>
  <si>
    <t>CEA (MEIA)</t>
  </si>
  <si>
    <t>81139</t>
  </si>
  <si>
    <t>VÁPNÍK CELKOVÝ STATIM</t>
  </si>
  <si>
    <t>91143</t>
  </si>
  <si>
    <t>STANOVENÍ PREALBUMINU</t>
  </si>
  <si>
    <t>81363</t>
  </si>
  <si>
    <t>BILIRUBIN KONJUGOVANÝ</t>
  </si>
  <si>
    <t>81625</t>
  </si>
  <si>
    <t>VÁPNÍK CELKOVÝ</t>
  </si>
  <si>
    <t>81465</t>
  </si>
  <si>
    <t>HOŘČÍK</t>
  </si>
  <si>
    <t>93215</t>
  </si>
  <si>
    <t>ALFA - 1 - FETOPROTEIN (AFP)</t>
  </si>
  <si>
    <t>93159</t>
  </si>
  <si>
    <t>CHORIOGONADOTROPIN (HCG)</t>
  </si>
  <si>
    <t>91133</t>
  </si>
  <si>
    <t>STANOVENÍ IgM</t>
  </si>
  <si>
    <t>81533</t>
  </si>
  <si>
    <t>LIPÁZA</t>
  </si>
  <si>
    <t>81339</t>
  </si>
  <si>
    <t>AMINOKYSELINY STANOVENÍ CELKOVÉHO SPEKTRA V BIOLOG</t>
  </si>
  <si>
    <t>81629</t>
  </si>
  <si>
    <t>VAZEBNÁ KAPACITA ŽELEZA</t>
  </si>
  <si>
    <t>93263</t>
  </si>
  <si>
    <t>KARBOHYDRÁT-DEFICIENTNÍ TRANSFERIN (CDT)</t>
  </si>
  <si>
    <t>81369</t>
  </si>
  <si>
    <t>BÍLKOVINA KVANTITATIVNĚ (MOČ, MOZKOM. MOK, VÝPOTEK</t>
  </si>
  <si>
    <t>81125</t>
  </si>
  <si>
    <t>BÍLKOVINY CELKOVÉ (SÉRUM) STATIM</t>
  </si>
  <si>
    <t>81655</t>
  </si>
  <si>
    <t>VYŠETŘENÍ DP - FOTOMETRICKÉ ČI FLUORIMETRICKÉ VYŠ.</t>
  </si>
  <si>
    <t>81235</t>
  </si>
  <si>
    <t>TUMORMARKERY CA 19-9, CA 15-3, CA 72-4, CA 125</t>
  </si>
  <si>
    <t>94189</t>
  </si>
  <si>
    <t>HYBRIDIZACE DNA SE ZNAČENOU SONDOU</t>
  </si>
  <si>
    <t>91145</t>
  </si>
  <si>
    <t>STANOVENÍ HAPTOGLOBINU</t>
  </si>
  <si>
    <t>81675</t>
  </si>
  <si>
    <t>MIKROALBUMINURIE</t>
  </si>
  <si>
    <t>81423</t>
  </si>
  <si>
    <t>FOSFATÁZA ALKALICKÁ IZOENZYMY</t>
  </si>
  <si>
    <t>81123</t>
  </si>
  <si>
    <t>BILIRUBIN KONJUGOVANÝ STATIM</t>
  </si>
  <si>
    <t>81475</t>
  </si>
  <si>
    <t>CHOLINESTERÁZA</t>
  </si>
  <si>
    <t>93185</t>
  </si>
  <si>
    <t>TRIJODTYRONIN CELKOVÝ (TT3)</t>
  </si>
  <si>
    <t>93135</t>
  </si>
  <si>
    <t>MYOGLOBIN V SÉRII</t>
  </si>
  <si>
    <t>81165</t>
  </si>
  <si>
    <t>KREATINKINÁZA (CK) STATIM</t>
  </si>
  <si>
    <t>81233</t>
  </si>
  <si>
    <t>KARBONYLHEMOGLOBIN KVANTITATIVNĚ</t>
  </si>
  <si>
    <t>91169</t>
  </si>
  <si>
    <t>STANOVENÍ LEHKÝCH ŘETĚZCŮ LAMBDA</t>
  </si>
  <si>
    <t>81129</t>
  </si>
  <si>
    <t>BÍLKOVINA KVANTITATIVNĚ (MOČ, VÝPOTEK, CSF) STATIM</t>
  </si>
  <si>
    <t>81159</t>
  </si>
  <si>
    <t>CHOLINESTERÁZA STATIM</t>
  </si>
  <si>
    <t>91195</t>
  </si>
  <si>
    <t>STANOVENÍ C - REAKTIVNÍHO PROTEINU ELISA</t>
  </si>
  <si>
    <t>81773</t>
  </si>
  <si>
    <t>KREATINKINÁZA IZOENZYMY CK-MB MASS</t>
  </si>
  <si>
    <t>81775</t>
  </si>
  <si>
    <t>KVANTITATIVNÍ ANALÝZA MOCE</t>
  </si>
  <si>
    <t>81753</t>
  </si>
  <si>
    <t>VYŠETŘENÍ AKTIVITY BIOTINIDÁZY V RÁMCI NOVOROZENEC</t>
  </si>
  <si>
    <t>81763</t>
  </si>
  <si>
    <t>STANOVENÍ NGAL V MOČI</t>
  </si>
  <si>
    <t>813</t>
  </si>
  <si>
    <t>91197</t>
  </si>
  <si>
    <t>STANOVENÍ CYTOKINU ELISA</t>
  </si>
  <si>
    <t>34</t>
  </si>
  <si>
    <t>0003132</t>
  </si>
  <si>
    <t>GADOVIST 1,0 MMOL/ML</t>
  </si>
  <si>
    <t>0017039</t>
  </si>
  <si>
    <t>0022075</t>
  </si>
  <si>
    <t>IOMERON 400</t>
  </si>
  <si>
    <t>0042433</t>
  </si>
  <si>
    <t>0059494</t>
  </si>
  <si>
    <t>LIPIODOL ULTRA-FLUIDE</t>
  </si>
  <si>
    <t>0077019</t>
  </si>
  <si>
    <t>0077024</t>
  </si>
  <si>
    <t>ULTRAVIST 300</t>
  </si>
  <si>
    <t>0093626</t>
  </si>
  <si>
    <t>0095607</t>
  </si>
  <si>
    <t>MICROPAQUE</t>
  </si>
  <si>
    <t>0095609</t>
  </si>
  <si>
    <t>MICROPAQUE CT</t>
  </si>
  <si>
    <t>0151208</t>
  </si>
  <si>
    <t>0034038</t>
  </si>
  <si>
    <t>JEHLA BIOPTICKÁ ASPIRAČNÍ, CHIBA,ECHOTIP</t>
  </si>
  <si>
    <t>0034283</t>
  </si>
  <si>
    <t>JEHLA K LOKALIZACI PRSNÍCH LÉZÍ, X-REIDY</t>
  </si>
  <si>
    <t>0037821</t>
  </si>
  <si>
    <t>VODIČ ANGIOGRAFICKÝ</t>
  </si>
  <si>
    <t>0038462</t>
  </si>
  <si>
    <t>DRÁT VODÍCÍ GUIDE WIRE M</t>
  </si>
  <si>
    <t>0038471</t>
  </si>
  <si>
    <t>0038482</t>
  </si>
  <si>
    <t>0038483</t>
  </si>
  <si>
    <t>0038498</t>
  </si>
  <si>
    <t>KATETR ANGIOGRAFICKÝ GLIDECATH</t>
  </si>
  <si>
    <t>0038503</t>
  </si>
  <si>
    <t>SOUPRAVA ZAVÁDĚCÍ INTRODUCER</t>
  </si>
  <si>
    <t>0038505</t>
  </si>
  <si>
    <t>0046507</t>
  </si>
  <si>
    <t>SOUPRAVA K INVAZIVNÍMU MĚŘENÍ 1 TLAKU</t>
  </si>
  <si>
    <t>0047480</t>
  </si>
  <si>
    <t>KATETR BALÓNKOVÝ PTCA</t>
  </si>
  <si>
    <t>0048307</t>
  </si>
  <si>
    <t>STENTGRAFT VASKULÁRNÍ FLUENCY,SAMOEXPANDIBILNÍ,NIT</t>
  </si>
  <si>
    <t>0048347</t>
  </si>
  <si>
    <t>KATETR INFUZNÍ CRAGG MAC NAMMARA</t>
  </si>
  <si>
    <t>0048523</t>
  </si>
  <si>
    <t>VODIČ INTERVENČNÍ SELECTIVA DO 145CM</t>
  </si>
  <si>
    <t>0048668</t>
  </si>
  <si>
    <t>DRÁT VODÍCÍ NITINOL</t>
  </si>
  <si>
    <t>0052140</t>
  </si>
  <si>
    <t>KATETR BALÓNKOVÝ PTA - WANDA; SMASH</t>
  </si>
  <si>
    <t>0052143</t>
  </si>
  <si>
    <t>EXTRAKTOR - AMPLATZ GOOSE NECK GNXXXX - PERIFERNÍ,</t>
  </si>
  <si>
    <t>0052704</t>
  </si>
  <si>
    <t>KATETR DRENÁŽNÍ</t>
  </si>
  <si>
    <t>0053358</t>
  </si>
  <si>
    <t>KATETR ANGIOGRAFICKÝ SLIP-CATH HYDROFILNÍ</t>
  </si>
  <si>
    <t>0053374</t>
  </si>
  <si>
    <t xml:space="preserve">KATETR ANGIOPLASTICKÝ LARGE OMEGA, PRŮMĚR 7 - 8.5 </t>
  </si>
  <si>
    <t>0053563</t>
  </si>
  <si>
    <t>KATETR DIAGNOSTICKÝ TEMPO4F,5F</t>
  </si>
  <si>
    <t>0053643</t>
  </si>
  <si>
    <t>KATETR BALÓNKOVÝ PTA - QUADRIMATRIX/MARS</t>
  </si>
  <si>
    <t>0053925</t>
  </si>
  <si>
    <t>KATETR BALÓNKOVÝ PTA - SYMMETRY; MUSTANG</t>
  </si>
  <si>
    <t>0053936</t>
  </si>
  <si>
    <t>SYSTÉM ZAVÁDĚCÍ ACCUSTICK II 20-705</t>
  </si>
  <si>
    <t>0054358</t>
  </si>
  <si>
    <t>KATETR DIAGNOSTICKÝ SUPER TORQUE 5F,6F 533525-686</t>
  </si>
  <si>
    <t>0054472</t>
  </si>
  <si>
    <t>KATETR BALÓNKOVÝ OKLUZNÍ PRO ZENITH</t>
  </si>
  <si>
    <t>0056125</t>
  </si>
  <si>
    <t>KATETR ASPIRAČNÍ, KATETR MĚŘÍCÍ</t>
  </si>
  <si>
    <t>0056361</t>
  </si>
  <si>
    <t>ZAVADĚČ FLEXOR BALKIN RADIOOPÁKNÍ ZNAČKA</t>
  </si>
  <si>
    <t>0056365</t>
  </si>
  <si>
    <t>ZAVADĚČ MIKROPUNKČNÍ, NITINOLOVÝ VODIČ</t>
  </si>
  <si>
    <t>0057769</t>
  </si>
  <si>
    <t>DILATÁTOR COPE-SADDEKNI SFA ACCESS</t>
  </si>
  <si>
    <t>0057792</t>
  </si>
  <si>
    <t>SHUNT TRANSJUGULÁRNÍ RING-CS</t>
  </si>
  <si>
    <t>0057823</t>
  </si>
  <si>
    <t>KATETR ANGIOGRAFICKÝ TORCON,PRŮMĚR 4.1 AŽ 7 FRENCH</t>
  </si>
  <si>
    <t>0057824</t>
  </si>
  <si>
    <t>0057827</t>
  </si>
  <si>
    <t>KATETR ANGIOGRAFICKÝ VYSOKOTLAKÝ, PRŮMĚR 4 A 5 FR</t>
  </si>
  <si>
    <t>0057832</t>
  </si>
  <si>
    <t>KATETR ANGIOGRAFICKÝ TFE,PRŮMĚR 3 AŽ 7 FRENCH</t>
  </si>
  <si>
    <t>0057840</t>
  </si>
  <si>
    <t>TĚLÍSKO EMBOLIZAČNÍ IMWCE</t>
  </si>
  <si>
    <t>0057844</t>
  </si>
  <si>
    <t>TĚLÍSKO EMBOLIZAČNÍ TORNADO</t>
  </si>
  <si>
    <t>0058462</t>
  </si>
  <si>
    <t>VODIČ DRÁTĚNÝ LUNDERQUIST EXTRA STIFF, ZAHNUTÝ</t>
  </si>
  <si>
    <t>0058463</t>
  </si>
  <si>
    <t>VODIČ DRÁTĚNÝ LUNDERQUIST EXTRA STIFF</t>
  </si>
  <si>
    <t>0058736</t>
  </si>
  <si>
    <t>TĚLÍSKO EMBOLIZAČNÍ NESTER</t>
  </si>
  <si>
    <t>0059025</t>
  </si>
  <si>
    <t>STENTGRAFT BŘIŠNÍ - ELLA; BIFURKAČNÍ</t>
  </si>
  <si>
    <t>0059345</t>
  </si>
  <si>
    <t>INDEFLÁTOR - ZAŘÍZENÍ INSUFLAČNÍ - INFLATION DEVIC</t>
  </si>
  <si>
    <t>0059579</t>
  </si>
  <si>
    <t>STENT PERIFERNÍ HEPATICKÝ GORE VIATORR TIPS,SAMOEX</t>
  </si>
  <si>
    <t>0059795</t>
  </si>
  <si>
    <t>DRÁT VODÍCÍ ANGIODYN J3 FC-FS 150-0,35</t>
  </si>
  <si>
    <t>0092125</t>
  </si>
  <si>
    <t>MIKROKATETR PROGREAT PC2411-2813, PP27111-27131</t>
  </si>
  <si>
    <t>0092127</t>
  </si>
  <si>
    <t>ČÁSTICE EMBOLIZAČNÍ - EMBOSFÉRY EB2S103-912</t>
  </si>
  <si>
    <t>0092284</t>
  </si>
  <si>
    <t>STENT PERIFERNÍ VASKULÁRNÍ - ASTRON; SAMOEXPAND; N</t>
  </si>
  <si>
    <t>0092559</t>
  </si>
  <si>
    <t>SADA AG - SYSTÉM PRO UZAVÍRÁNÍ CÉV - FEMORÁLNÍ - S</t>
  </si>
  <si>
    <t>0092932</t>
  </si>
  <si>
    <t>SADA DRENÁŽNÍ</t>
  </si>
  <si>
    <t>0094736</t>
  </si>
  <si>
    <t>STENT PERIFERNÍ VASKULÁRNÍ - EPIC; SAMOEXPANDIBILN</t>
  </si>
  <si>
    <t>0141695</t>
  </si>
  <si>
    <t>STENT JÍCNOVÝ FERX-ELLA-BOUBELLA</t>
  </si>
  <si>
    <t>0141907</t>
  </si>
  <si>
    <t>STENT JÍC.BILIÁRNÍ,KOLOREK.DUODEN.TRACH.BRONCH.SX-</t>
  </si>
  <si>
    <t>0193339</t>
  </si>
  <si>
    <t>STENTGRAFT AORTÁLNÍ ZENITH-NOHA SPIRÁLNÍ</t>
  </si>
  <si>
    <t>0051244</t>
  </si>
  <si>
    <t>KATETR VODÍCÍ GUIDER</t>
  </si>
  <si>
    <t>0111638</t>
  </si>
  <si>
    <t>STENT PERIFERNÍ VASKUL. - ISTHMUS LOGIC CARBOSTENT</t>
  </si>
  <si>
    <t>0059796</t>
  </si>
  <si>
    <t>DRÁT VODÍCÍ ANGIODYN J3 SFC-FS 150-0,35</t>
  </si>
  <si>
    <t>0046127</t>
  </si>
  <si>
    <t>KATETR BALONKOVÝ PTA - ŘEZACÍ - CUTTING</t>
  </si>
  <si>
    <t>0057846</t>
  </si>
  <si>
    <t>TĚLÍSKO EMBOLIZAČNÍ HILAL</t>
  </si>
  <si>
    <t>0092131</t>
  </si>
  <si>
    <t>KATETR BALÓNKOVÝ PTA - RX MUSO</t>
  </si>
  <si>
    <t>0047805</t>
  </si>
  <si>
    <t>SADA AG-JEHLA ANGIOGRAFICKÁ</t>
  </si>
  <si>
    <t>0059986</t>
  </si>
  <si>
    <t>SYSTÉM BALÓN UZÁVĚROVÝ EQUINOX 104-4011..104-4470</t>
  </si>
  <si>
    <t>0049005</t>
  </si>
  <si>
    <t>KATETR TROMBEKTOMICKÝ - ROTAREX-ANTEGRADNÍ(KATETR,</t>
  </si>
  <si>
    <t>0051173</t>
  </si>
  <si>
    <t>VODIČ - PTA-SPECIÁLNÍ(DILATAČNÍ,REKANALIZAČNÍ)-OUT</t>
  </si>
  <si>
    <t>0034083</t>
  </si>
  <si>
    <t>JEHLA BIOPTICKÁ ASPIRAČNÍ PLICNÍ, FRANSEENOVA,ECHO</t>
  </si>
  <si>
    <t>89113</t>
  </si>
  <si>
    <t>RTG LEBKY, CÍLENÉ SNÍMKY</t>
  </si>
  <si>
    <t>89117</t>
  </si>
  <si>
    <t>RTG KRKU A KRČNÍ PÁTEŘE</t>
  </si>
  <si>
    <t>89119</t>
  </si>
  <si>
    <t>RTG HRUDNÍ NEBO BEDERNÍ PÁTEŘE</t>
  </si>
  <si>
    <t>89123</t>
  </si>
  <si>
    <t>RTG PÁNVE NEBO KYČELNÍHO KLOUBU</t>
  </si>
  <si>
    <t>89127</t>
  </si>
  <si>
    <t>RTG KOSTÍ A KLOUBŮ KONČETIN</t>
  </si>
  <si>
    <t>89143</t>
  </si>
  <si>
    <t>RTG BŘICHA</t>
  </si>
  <si>
    <t>89147</t>
  </si>
  <si>
    <t>RTG ŽALUDKU A DUODENA</t>
  </si>
  <si>
    <t>89317</t>
  </si>
  <si>
    <t>SELEKTIVNÍ TROMBOLÝZA</t>
  </si>
  <si>
    <t>89323</t>
  </si>
  <si>
    <t>TERAPEUTICKÁ EMBOLIZACE V CÉVNÍM ŘEČIŠTI</t>
  </si>
  <si>
    <t>89333</t>
  </si>
  <si>
    <t>PERKUTÁNNÍ DRENÁŽ ŽLUČOVÝCH CEST (EV. ZAVEDENÍ STE</t>
  </si>
  <si>
    <t>89337</t>
  </si>
  <si>
    <t xml:space="preserve">DILATACE STENÓZ JÍCNU, GASTROINTESTINÁLNÍ TRUBICE </t>
  </si>
  <si>
    <t>89409</t>
  </si>
  <si>
    <t>ZAVEDENÍ STENTGRAFTU DO NEKORONÁRNÍHO TEPENNÉHO NE</t>
  </si>
  <si>
    <t>89417</t>
  </si>
  <si>
    <t xml:space="preserve">PŘEHLEDNÁ ČI SELEKTIVNÍ ANGIOGRAFIE NAVAZUJÍCÍ NA </t>
  </si>
  <si>
    <t>89419</t>
  </si>
  <si>
    <t>PUNKČNÍ ANGIOGRAFIE</t>
  </si>
  <si>
    <t>89423</t>
  </si>
  <si>
    <t>PERKUTÁNNÍ TRANSLUMINÁLNÍ ANGIOPLASTIKA</t>
  </si>
  <si>
    <t>89443</t>
  </si>
  <si>
    <t>ŽÍLY DOLNÍ KONČETINY - FLEBOGRAFIE PERIFERNÍ (ASCE</t>
  </si>
  <si>
    <t>89453</t>
  </si>
  <si>
    <t>PERKUTÁNNÍ TRANSHEPATÁLNÍ CHOLANGIOGRAFIE</t>
  </si>
  <si>
    <t>89613</t>
  </si>
  <si>
    <t>CT VYŠETŘENÍ BEZ POUŽITÍ KONTRASTNÍ LÁTKY DO 30 SK</t>
  </si>
  <si>
    <t>89617</t>
  </si>
  <si>
    <t>CT VYŠETŘENÍ KTERÉHOKOLIV ORGÁNU NEBO OBLASTI S AP</t>
  </si>
  <si>
    <t>89619</t>
  </si>
  <si>
    <t>CT VYŠETŘENÍ TĚLA S PODÁNÍM K. L. PER OS, EVENT. P</t>
  </si>
  <si>
    <t>89713</t>
  </si>
  <si>
    <t>MR ZOBRAZENÍ HLAVY, KONČETIN, KLOUBU, JEDNOHO ÚSEK</t>
  </si>
  <si>
    <t>89723</t>
  </si>
  <si>
    <t>MR ANGIOGRAFIE</t>
  </si>
  <si>
    <t>89311</t>
  </si>
  <si>
    <t xml:space="preserve">INTERVENČNÍ VÝKON ŘÍZENÝ RDG METODOU (SKIASKOPIE, </t>
  </si>
  <si>
    <t>89131</t>
  </si>
  <si>
    <t>RTG HRUDNÍKU</t>
  </si>
  <si>
    <t>89615</t>
  </si>
  <si>
    <t>CT VYŠETŘENÍ S VĚTŠÍM POČTEM SKENŮ (NAD 30), BEZ P</t>
  </si>
  <si>
    <t>89725</t>
  </si>
  <si>
    <t>OPAKOVANÉ ČI DOPLŇUJÍCÍ VYŠETŘENÍ MR</t>
  </si>
  <si>
    <t>89715</t>
  </si>
  <si>
    <t>MR ZOBRAZENÍ KRKU, HRUDNÍKU, BŘICHA, PÁNVE (VČETNĚ</t>
  </si>
  <si>
    <t>89151</t>
  </si>
  <si>
    <t>PASÁŽ TRÁVICÍ TRUBICÍ</t>
  </si>
  <si>
    <t>89331</t>
  </si>
  <si>
    <t>ZAVEDENÍ STENTU DO TEPENNÉHO ČI ŽILNÍHO ŘEČIŠTĚ</t>
  </si>
  <si>
    <t>89111</t>
  </si>
  <si>
    <t>RTG PRSTŮ A ZÁPRSTNÍCH KŮSTEK RUKY NEBO NOHY</t>
  </si>
  <si>
    <t>89125</t>
  </si>
  <si>
    <t>RTG RAMENNÍHO KLOUBU</t>
  </si>
  <si>
    <t>89201</t>
  </si>
  <si>
    <t>SKIASKOPIE NA OPERAČNÍM ČI ZÁKROKOVÉM SÁLE MOBILNÍ</t>
  </si>
  <si>
    <t>89145</t>
  </si>
  <si>
    <t>RTG JÍCNU</t>
  </si>
  <si>
    <t>89161</t>
  </si>
  <si>
    <t>CHOLANGIOGRAFIE PEROPERAČNÍ NEBO T-DRÉNEM</t>
  </si>
  <si>
    <t>89611</t>
  </si>
  <si>
    <t>CT VYŠETŘENÍ HLAVY NEBO TĚLA NATIVNÍ A KONTRASTNÍ</t>
  </si>
  <si>
    <t>89415</t>
  </si>
  <si>
    <t>89155</t>
  </si>
  <si>
    <t>RTG VYŠETŘENÍ TLUSTÉHO STŘEVA</t>
  </si>
  <si>
    <t>89411</t>
  </si>
  <si>
    <t>PŘEHLEDNÁ  ČI SELEKTIVNÍ ANGIOGRAFIE</t>
  </si>
  <si>
    <t>89325</t>
  </si>
  <si>
    <t>PERKUTÁNNÍ DRENÁŽ ABSCESU, CYSTY EV. JINÉ DUTINY R</t>
  </si>
  <si>
    <t>89441</t>
  </si>
  <si>
    <t>KATETRIZACE JATERNÍCH ŽIL</t>
  </si>
  <si>
    <t>89421</t>
  </si>
  <si>
    <t>MĚŘENÍ TLAKU PŘI ANGIOGRAFII</t>
  </si>
  <si>
    <t>35</t>
  </si>
  <si>
    <t>222</t>
  </si>
  <si>
    <t>22119</t>
  </si>
  <si>
    <t>VYŠETŘENÍ KOMPATIBILITY TRANSFÚZNÍHO PŘÍPRAVKU OBS</t>
  </si>
  <si>
    <t>22120</t>
  </si>
  <si>
    <t>22129</t>
  </si>
  <si>
    <t xml:space="preserve">VYŠETŘENÍ JEDNOHO ERYTROCYTÁRNÍHO ANTIGENU (KROMĚ </t>
  </si>
  <si>
    <t>22134</t>
  </si>
  <si>
    <t>UPŘESNĚNÍ TYPU SENZIBILIZACE ERYTROCYTŮ</t>
  </si>
  <si>
    <t>22214</t>
  </si>
  <si>
    <t>SCREENING ANTIERYTROCYTÁRNÍCH PROTILÁTEK - V SÉRII</t>
  </si>
  <si>
    <t>22219</t>
  </si>
  <si>
    <t>22325</t>
  </si>
  <si>
    <t>ABSORPCE PROTILÁTEK PROTI ERYTROCYTUM PŘI URČOVÁNÍ</t>
  </si>
  <si>
    <t>22339</t>
  </si>
  <si>
    <t>TITRACE ANTIERYTROCYTÁRNÍCH PROTILÁTEK</t>
  </si>
  <si>
    <t>22355</t>
  </si>
  <si>
    <t>KONZULTACE ODBORNÉHO TRANSFÚZIOLOGA - IMUNOHEMATOL</t>
  </si>
  <si>
    <t>82077</t>
  </si>
  <si>
    <t>STANOVENÍ PROTILÁTEK PROTI ANTIGENŮM VIRŮ HEPATITI</t>
  </si>
  <si>
    <t>22111</t>
  </si>
  <si>
    <t>VYŠETŘENÍ KREVNÍ SKUPINY ABO RH (D) - STATIM</t>
  </si>
  <si>
    <t>22221</t>
  </si>
  <si>
    <t>DOPLNĚNÍ SCREENINGU ANTIERYTROCYTÁRNÍCH PROTILÁTEK</t>
  </si>
  <si>
    <t>22223</t>
  </si>
  <si>
    <t>22212</t>
  </si>
  <si>
    <t>SCREENING ANTIERYTROCYTÁRNÍCH PROTILÁTEK - STATIM,</t>
  </si>
  <si>
    <t>82079</t>
  </si>
  <si>
    <t>STANOVENÍ PROTILÁTEK PROTI ANTIGENŮM VIRŮ (MIMO VI</t>
  </si>
  <si>
    <t>22112</t>
  </si>
  <si>
    <t>VYŠETŘENÍ KREVNÍ SKUPINY ABO, RH (D) V SÉRII</t>
  </si>
  <si>
    <t>22117</t>
  </si>
  <si>
    <t>22131</t>
  </si>
  <si>
    <t>VYŠETŘENÍ CHLADOVÝCH AGLUTININŮ</t>
  </si>
  <si>
    <t>22347</t>
  </si>
  <si>
    <t>IDENTIFIKACE ANTIERYTROCYTÁRNÍCH PROTILÁTEK - SLOU</t>
  </si>
  <si>
    <t>22133</t>
  </si>
  <si>
    <t>PŘÍMÝ ANTIGLOBULINOVÝ TEST</t>
  </si>
  <si>
    <t>22357</t>
  </si>
  <si>
    <t>KONZULTACE DISKREPANTNÍHO A DIAGNOSTICKY OBTÍŽNÉHO</t>
  </si>
  <si>
    <t>22113</t>
  </si>
  <si>
    <t>VYŠETŘENÍ KREVNÍ SKUPINY ABO RH (D) U NOVOROZENCE</t>
  </si>
  <si>
    <t>22341</t>
  </si>
  <si>
    <t>IDENTIFIKACE ANTIERYTROCYTÁRNÍCH PROTILÁTEK - ZKUM</t>
  </si>
  <si>
    <t>22317</t>
  </si>
  <si>
    <t>ELUCE ANTIERYTROCYTÁRNÍCH PROTILÁTEK - POUŽITÍ KOM</t>
  </si>
  <si>
    <t>37</t>
  </si>
  <si>
    <t>807</t>
  </si>
  <si>
    <t>87127</t>
  </si>
  <si>
    <t>JEDNODUCHÝ BIOPTICKÝ VZOREK: MAKROSKOPICKÉ POSOUZE</t>
  </si>
  <si>
    <t>87131</t>
  </si>
  <si>
    <t>BIOPTICKÝ MATERIÁL S ČÁSTEČNÉ NEBO RADIKÁLNÍ EKTOM</t>
  </si>
  <si>
    <t>87133</t>
  </si>
  <si>
    <t>BIOPTICKÝ MATERIÁL ZÍSKANÝ KOMPLEXNÍ EKTOMIÍ: MAKR</t>
  </si>
  <si>
    <t>87213</t>
  </si>
  <si>
    <t>PEROPERAČNÍ BIOPSIE (TECHNICKÁ KOMPONENTA ZA KAŽDÝ</t>
  </si>
  <si>
    <t>87217</t>
  </si>
  <si>
    <t>PROKRAJOVÁNÍ BLOKU (POLOSÉRIOVÉ ŘEZY) S 1-3 PREPAR</t>
  </si>
  <si>
    <t>87223</t>
  </si>
  <si>
    <t>SPECIELNÍ BARVENÍ JEDNODUCHÉ (KAŽDÝ PREPARÁT Z PAR</t>
  </si>
  <si>
    <t>87227</t>
  </si>
  <si>
    <t>ENZYMOVÁ HISTOCHEMIE I. (ZA KAŽDÝ MARKER Z 1 BLOKU</t>
  </si>
  <si>
    <t>87231</t>
  </si>
  <si>
    <t>IMUNOHISTOCHEMIE (ZA KAŽDÝ MARKER Z 1 BLOKU)</t>
  </si>
  <si>
    <t>87233</t>
  </si>
  <si>
    <t>METODA POLOTENKÝCH ŘEZŮ Z UMĚL. PRYSKYŘIC</t>
  </si>
  <si>
    <t>87413</t>
  </si>
  <si>
    <t>CYTOLOGICKÉ OTISKY A STĚRY -  ZA 1-3 PREPARÁTY</t>
  </si>
  <si>
    <t>87431</t>
  </si>
  <si>
    <t>PREPARÁTY METODOU CYTOBLOKU - ZA KAŽDÝ PREPARÁT</t>
  </si>
  <si>
    <t>87433</t>
  </si>
  <si>
    <t>STANDARDNÍ CYTOLOGICKÉ BARVENÍ,  ZA 1-3 PREPARÁTY</t>
  </si>
  <si>
    <t>87447</t>
  </si>
  <si>
    <t>CYTOLOGICKÉ PREPARÁTY ZHOTOVENÉ CYTOCENTRIFUGOU</t>
  </si>
  <si>
    <t>87513</t>
  </si>
  <si>
    <t>STANOVENÍ CYTOLOGICKÉ DIAGNÓZY I. STUPNĚ OBTÍŽNOST</t>
  </si>
  <si>
    <t>87517</t>
  </si>
  <si>
    <t>STANOVENÍ BIOPTICKÉ DIAGNÓZY II. STUPNĚ OBTÍŽNOSTI</t>
  </si>
  <si>
    <t>87523</t>
  </si>
  <si>
    <t>STANOVENÍ BIOPTICKÉ DIAGNÓZY III. STUPNĚ OBTÍŽNOST</t>
  </si>
  <si>
    <t>87613</t>
  </si>
  <si>
    <t>TECHNICKO ADMINISTRATIVNÍ KOMPONENTA BIOPSIE (STAN</t>
  </si>
  <si>
    <t>87617</t>
  </si>
  <si>
    <t xml:space="preserve">STANOVENÍ DIAGNÓZY IV. STUPNĚ OBTÍŽNOSTI Z JINÉHO </t>
  </si>
  <si>
    <t>94201</t>
  </si>
  <si>
    <t>(VZP) FLUORESCENČNÍ IN SITU HYBRIDIZACE LIDSKÉ DNA</t>
  </si>
  <si>
    <t>87235</t>
  </si>
  <si>
    <t>VYŠETŘENÍ PREPARÁTU SPECIELNĚ BARVENÉHO NA MIKROOR</t>
  </si>
  <si>
    <t>87511</t>
  </si>
  <si>
    <t>STANOVENÍ BIOPTICKÉ DIAGNÓZY I. STUPNĚ OBTÍŽNOSTI</t>
  </si>
  <si>
    <t>87525</t>
  </si>
  <si>
    <t>STANOVENÍ CYTOLOGICKÉ DIAGNÓZY III. STUPNĚ OBTÍŽNO</t>
  </si>
  <si>
    <t>87225</t>
  </si>
  <si>
    <t>SPECIELNI BARVENÍ SLOŽITÉ (ZA KAŽDÝ PREPARÁT ZE ZM</t>
  </si>
  <si>
    <t>87129</t>
  </si>
  <si>
    <t>VÍCEČETNÉ MALÉ BIOPTICKÉ VZORKY: MAKROSKOPICKÉ POS</t>
  </si>
  <si>
    <t>87696</t>
  </si>
  <si>
    <t xml:space="preserve">(VZP) IMUNOHISTOCHEMICKÉ VYŠETŘENÍ CERTIFIKOVANÝM </t>
  </si>
  <si>
    <t>87215</t>
  </si>
  <si>
    <t>DALŠÍ BLOK SE STANDARTNÍM PREPARÁTEM (OD 3. BIOPTI</t>
  </si>
  <si>
    <t>87449</t>
  </si>
  <si>
    <t xml:space="preserve">SCREENINGOVÉ ODEČÍTÁNÍ CYTOLOGICKÝCH NÁLEZŮ (ZA 1 </t>
  </si>
  <si>
    <t>87415</t>
  </si>
  <si>
    <t>CYTOLOGICKÉ OTISKY A STĚRY -  ZA 4-10 PREPARÁTŮ</t>
  </si>
  <si>
    <t>87219</t>
  </si>
  <si>
    <t>ODVÁPNĚNÍ, ZMĚKČOVÁNÍ MATERIÁLU (ZA KAŽDÉ ZAPOČATÉ</t>
  </si>
  <si>
    <t>87435</t>
  </si>
  <si>
    <t>STANDARDNÍ CYTOLOGICKÉ BARVENÍ,  ZA 4-10  PREPARÁT</t>
  </si>
  <si>
    <t>94123</t>
  </si>
  <si>
    <t>PCR ANALÝZA LIDSKÉ DNA</t>
  </si>
  <si>
    <t>87519</t>
  </si>
  <si>
    <t>STANOVENÍ CYTOLOGICKÉ DIAGNÓZY II. STUPNĚ OBTÍŽNOS</t>
  </si>
  <si>
    <t>87135</t>
  </si>
  <si>
    <t>VYŠETŘENÍ MORFOMETRICKÉ - ZA KAŽDÝ PARAMETR</t>
  </si>
  <si>
    <t>87411</t>
  </si>
  <si>
    <t>PEROPERAČNÍ CYTOLOGIE (TECHNICKÁ KOMPONENTA ZA KAŽ</t>
  </si>
  <si>
    <t>87611</t>
  </si>
  <si>
    <t>TECHNICKÁ KOMPONENTA MIKROSKOPICKÉHO VYŠETŘENÍ PIT</t>
  </si>
  <si>
    <t>87209</t>
  </si>
  <si>
    <t>HISTOTOPOGRAM (5 X 5 CM A VĚTŠÍ)</t>
  </si>
  <si>
    <t>87011</t>
  </si>
  <si>
    <t>KONZULTACE NÁLEZU PATOLOGEM CÍLENÁ NA ŽÁDOST OŠETŘ</t>
  </si>
  <si>
    <t>40</t>
  </si>
  <si>
    <t>802</t>
  </si>
  <si>
    <t>82001</t>
  </si>
  <si>
    <t>KONSULTACE K MIKROBIOLOGICKÉMU, PARAZITOLOGICKÉMU,</t>
  </si>
  <si>
    <t>82041</t>
  </si>
  <si>
    <t>PRŮKAZ DNA MIKROORGANISMU V KLINICKÉM MATERIÁLU HY</t>
  </si>
  <si>
    <t>82057</t>
  </si>
  <si>
    <t>IDENTIFIKACE KMENE ORIENTAČNÍ JEDNODUCHÝM TESTEM</t>
  </si>
  <si>
    <t>82087</t>
  </si>
  <si>
    <t>STANOVENÍ PROTILÁTEK AGLUTINACÍ</t>
  </si>
  <si>
    <t>82097</t>
  </si>
  <si>
    <t>STANOVENÍ PROTILÁTEK PROTI EBV (ELISA)</t>
  </si>
  <si>
    <t>82111</t>
  </si>
  <si>
    <t>PRŮKAZ PROTILÁTEK NEPŘÍMOU HEMAGLUTINACÍ NA NOSIČÍ</t>
  </si>
  <si>
    <t>82117</t>
  </si>
  <si>
    <t>PRŮKAZ ANTIGENU VIRU (MIMO VIRY HEPATITID), BAKTER</t>
  </si>
  <si>
    <t>82131</t>
  </si>
  <si>
    <t>IDENTIFIKACE BAKTERIÁLNÍHO KMENE V KULTUŘE (POMNOŽ</t>
  </si>
  <si>
    <t>82211</t>
  </si>
  <si>
    <t>KULTIVAČNÍ VYŠETŘENÍ NA MYKOBAKTERIA</t>
  </si>
  <si>
    <t>82221</t>
  </si>
  <si>
    <t>PRIMÁRNÍ ISOLACE MYKOBAKTERIÍ RYCHLOU KULTIVAČNÍ M</t>
  </si>
  <si>
    <t>82231</t>
  </si>
  <si>
    <t>KULTIVAČNÍ VYŠETŘENÍ MYKOPLASMAT A L-FOREM BAKTÉRI</t>
  </si>
  <si>
    <t>82065</t>
  </si>
  <si>
    <t>STANOVENÍ CITLIVOSTI NA ATB KVANTITATIVNÍ METODOU</t>
  </si>
  <si>
    <t>82003</t>
  </si>
  <si>
    <t>TELEFONICKÁ KONZULTACE K MIKROBIOLOGICKÉMU, PARAZI</t>
  </si>
  <si>
    <t>82025</t>
  </si>
  <si>
    <t>KULTIVAČNÍ VYŠETŘENÍ NA GO</t>
  </si>
  <si>
    <t>82069</t>
  </si>
  <si>
    <t>STANOVENÍ PRODUKCE BETA-LAKTAMÁZY</t>
  </si>
  <si>
    <t>82063</t>
  </si>
  <si>
    <t>STANOVENÍ CITLIVOSTI NA ATB KVALITATIVNÍ METODOU</t>
  </si>
  <si>
    <t>91399</t>
  </si>
  <si>
    <t>CHARAKTERISTIKA ANTIGENŮ A PROTILÁTEK ELEKTROFORÉZ</t>
  </si>
  <si>
    <t>82083</t>
  </si>
  <si>
    <t>PRŮKAZ BAKTERIÁLNÍHO TOXINU BIOLOGICKÝM POKUSEM NA</t>
  </si>
  <si>
    <t>82135</t>
  </si>
  <si>
    <t>KONFIRMAČNÍ TEST PRŮKAZU ANTIGENŮ</t>
  </si>
  <si>
    <t>82233</t>
  </si>
  <si>
    <t>IDENTIFIKACE MYKOPLASMAT</t>
  </si>
  <si>
    <t>82123</t>
  </si>
  <si>
    <t>PRŮKAZ  BAKTERIÁLNÍHO, VIROVÉHO, PARAZITÁRNÍHO EV.</t>
  </si>
  <si>
    <t>41</t>
  </si>
  <si>
    <t>82241</t>
  </si>
  <si>
    <t>IN VITRO STIMULACE T LYMFOCYTŮ SPECIFICKÝMI ANTIGE</t>
  </si>
  <si>
    <t>86413</t>
  </si>
  <si>
    <t>SCREENING PROTILÁTEK NA PANELU 30TI DÁRCŮ</t>
  </si>
  <si>
    <t>91161</t>
  </si>
  <si>
    <t>STANOVENÍ C4 SLOŽKY KOMPLEMENTU</t>
  </si>
  <si>
    <t>91285</t>
  </si>
  <si>
    <t>STANOVENÍ REVMATOIDNÍHO FAKTORU IgM ELISA</t>
  </si>
  <si>
    <t>91287</t>
  </si>
  <si>
    <t>STANOVENÍ REVMATOIDNÍHO FAKTORU IgG ELISA</t>
  </si>
  <si>
    <t>91431</t>
  </si>
  <si>
    <t>ZVLÁŠTĚ NÁROČNÉ IZOLACE BUNĚK GRADIENTOVOU CENTRIF</t>
  </si>
  <si>
    <t>91439</t>
  </si>
  <si>
    <t>IMUNOFENOTYPIZACE BUNĚČNÝCH SUBPOPULACÍ DLE POVRCH</t>
  </si>
  <si>
    <t>91355</t>
  </si>
  <si>
    <t>STANOVENÍ CIK METODOU PEG-IKEM</t>
  </si>
  <si>
    <t>91189</t>
  </si>
  <si>
    <t>STANOVENÍ IgE</t>
  </si>
  <si>
    <t>91289</t>
  </si>
  <si>
    <t>STANOVENÍ REVMATOIDNÍHO FAKTORU IgA ELISA</t>
  </si>
  <si>
    <t>91159</t>
  </si>
  <si>
    <t>STANOVENÍ C3 SLOŽKY KOMPLEMENTU</t>
  </si>
  <si>
    <t>22217</t>
  </si>
  <si>
    <t xml:space="preserve">SCREENINGOVÉ VYŠETŘENÍ TROMBOCYTÁRNÍCH PROTILÁTEK </t>
  </si>
  <si>
    <t>44</t>
  </si>
  <si>
    <t>816</t>
  </si>
  <si>
    <t>94211</t>
  </si>
  <si>
    <t>DLOUHODOBÁ KULTIVACE BUNĚK RŮZNÝCH TKÁNÍ Z PRENATÁ</t>
  </si>
  <si>
    <t>Zdravotní výkony (vybraných odborností) vyžádané pro pacienty hospitalizované na vlastním pracovišti - orientační přehled</t>
  </si>
  <si>
    <t>TISS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</si>
</sst>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67" formatCode="0.0%"/>
    <numFmt numFmtId="168" formatCode="0.0"/>
    <numFmt numFmtId="169" formatCode="#,##0,"/>
    <numFmt numFmtId="170" formatCode="#\ ##0"/>
    <numFmt numFmtId="171" formatCode="0.000"/>
    <numFmt numFmtId="172" formatCode="#.##0"/>
    <numFmt numFmtId="173" formatCode="#,##0;\-#,##0;"/>
    <numFmt numFmtId="174" formatCode="General;\-General;"/>
    <numFmt numFmtId="175" formatCode="0%;\-0%;"/>
    <numFmt numFmtId="176" formatCode="#,##0%"/>
    <numFmt numFmtId="177" formatCode="#,##0.000"/>
  </numFmts>
  <fonts count="66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b/>
      <sz val="10"/>
      <color indexed="10"/>
      <name val="Calibri"/>
      <family val="2"/>
      <charset val="238"/>
    </font>
    <font>
      <sz val="10"/>
      <color indexed="12"/>
      <name val="Calibri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u/>
      <sz val="10"/>
      <color rgb="FFFF0000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sz val="14"/>
      <name val="Arial"/>
      <family val="2"/>
      <charset val="238"/>
    </font>
    <font>
      <sz val="10"/>
      <name val="Arial CE"/>
      <family val="2"/>
      <charset val="238"/>
    </font>
    <font>
      <sz val="14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9"/>
      <name val="Arial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42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auto="1"/>
      </right>
      <top style="medium">
        <color theme="1"/>
      </top>
      <bottom style="medium">
        <color indexed="64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indexed="64"/>
      </left>
      <right style="medium">
        <color theme="1"/>
      </right>
      <top/>
      <bottom style="thin">
        <color indexed="64"/>
      </bottom>
      <diagonal/>
    </border>
    <border>
      <left/>
      <right/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theme="1"/>
      </right>
      <top style="thin">
        <color indexed="64"/>
      </top>
      <bottom/>
      <diagonal/>
    </border>
  </borders>
  <cellStyleXfs count="99">
    <xf numFmtId="0" fontId="0" fillId="0" borderId="0"/>
    <xf numFmtId="0" fontId="28" fillId="0" borderId="0" applyNumberForma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7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23" fillId="0" borderId="0"/>
    <xf numFmtId="0" fontId="24" fillId="0" borderId="0"/>
    <xf numFmtId="0" fontId="13" fillId="0" borderId="0"/>
    <xf numFmtId="0" fontId="14" fillId="0" borderId="0"/>
    <xf numFmtId="0" fontId="4" fillId="0" borderId="0"/>
    <xf numFmtId="0" fontId="13" fillId="0" borderId="0"/>
    <xf numFmtId="0" fontId="13" fillId="0" borderId="0"/>
    <xf numFmtId="0" fontId="4" fillId="0" borderId="0"/>
    <xf numFmtId="0" fontId="15" fillId="0" borderId="0"/>
    <xf numFmtId="0" fontId="13" fillId="0" borderId="0"/>
    <xf numFmtId="0" fontId="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3" fillId="0" borderId="0"/>
    <xf numFmtId="0" fontId="25" fillId="0" borderId="0"/>
    <xf numFmtId="0" fontId="26" fillId="0" borderId="0"/>
    <xf numFmtId="0" fontId="29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7" fillId="0" borderId="0"/>
    <xf numFmtId="0" fontId="27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7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7" fillId="0" borderId="0"/>
  </cellStyleXfs>
  <cellXfs count="830">
    <xf numFmtId="0" fontId="0" fillId="0" borderId="0" xfId="0"/>
    <xf numFmtId="0" fontId="30" fillId="2" borderId="19" xfId="81" applyFont="1" applyFill="1" applyBorder="1"/>
    <xf numFmtId="0" fontId="31" fillId="2" borderId="20" xfId="81" applyFont="1" applyFill="1" applyBorder="1"/>
    <xf numFmtId="3" fontId="31" fillId="2" borderId="21" xfId="81" applyNumberFormat="1" applyFont="1" applyFill="1" applyBorder="1"/>
    <xf numFmtId="0" fontId="31" fillId="4" borderId="20" xfId="81" applyFont="1" applyFill="1" applyBorder="1"/>
    <xf numFmtId="3" fontId="32" fillId="0" borderId="10" xfId="26" applyNumberFormat="1" applyFont="1" applyFill="1" applyBorder="1" applyAlignment="1">
      <alignment horizontal="center"/>
    </xf>
    <xf numFmtId="3" fontId="32" fillId="0" borderId="12" xfId="26" applyNumberFormat="1" applyFont="1" applyFill="1" applyBorder="1" applyAlignment="1">
      <alignment horizontal="center"/>
    </xf>
    <xf numFmtId="3" fontId="32" fillId="0" borderId="26" xfId="26" applyNumberFormat="1" applyFont="1" applyFill="1" applyBorder="1" applyAlignment="1">
      <alignment horizontal="center"/>
    </xf>
    <xf numFmtId="3" fontId="32" fillId="0" borderId="27" xfId="26" applyNumberFormat="1" applyFont="1" applyFill="1" applyBorder="1" applyAlignment="1">
      <alignment horizontal="center"/>
    </xf>
    <xf numFmtId="3" fontId="31" fillId="4" borderId="21" xfId="81" applyNumberFormat="1" applyFont="1" applyFill="1" applyBorder="1"/>
    <xf numFmtId="171" fontId="31" fillId="3" borderId="21" xfId="81" applyNumberFormat="1" applyFont="1" applyFill="1" applyBorder="1"/>
    <xf numFmtId="0" fontId="32" fillId="5" borderId="0" xfId="74" applyFont="1" applyFill="1"/>
    <xf numFmtId="0" fontId="35" fillId="5" borderId="0" xfId="74" applyFont="1" applyFill="1"/>
    <xf numFmtId="3" fontId="30" fillId="5" borderId="26" xfId="81" applyNumberFormat="1" applyFont="1" applyFill="1" applyBorder="1"/>
    <xf numFmtId="3" fontId="30" fillId="5" borderId="10" xfId="81" applyNumberFormat="1" applyFont="1" applyFill="1" applyBorder="1"/>
    <xf numFmtId="3" fontId="30" fillId="5" borderId="14" xfId="81" applyNumberFormat="1" applyFont="1" applyFill="1" applyBorder="1"/>
    <xf numFmtId="0" fontId="30" fillId="5" borderId="0" xfId="81" applyFont="1" applyFill="1"/>
    <xf numFmtId="10" fontId="30" fillId="5" borderId="0" xfId="81" applyNumberFormat="1" applyFont="1" applyFill="1"/>
    <xf numFmtId="0" fontId="40" fillId="2" borderId="35" xfId="0" applyFont="1" applyFill="1" applyBorder="1" applyAlignment="1">
      <alignment vertical="top"/>
    </xf>
    <xf numFmtId="0" fontId="40" fillId="2" borderId="36" xfId="0" applyFont="1" applyFill="1" applyBorder="1" applyAlignment="1">
      <alignment vertical="top"/>
    </xf>
    <xf numFmtId="0" fontId="37" fillId="2" borderId="36" xfId="0" applyFont="1" applyFill="1" applyBorder="1" applyAlignment="1">
      <alignment vertical="top"/>
    </xf>
    <xf numFmtId="0" fontId="41" fillId="2" borderId="36" xfId="0" applyFont="1" applyFill="1" applyBorder="1" applyAlignment="1">
      <alignment vertical="top"/>
    </xf>
    <xf numFmtId="0" fontId="39" fillId="2" borderId="36" xfId="0" applyFont="1" applyFill="1" applyBorder="1" applyAlignment="1">
      <alignment vertical="top"/>
    </xf>
    <xf numFmtId="0" fontId="37" fillId="2" borderId="37" xfId="0" applyFont="1" applyFill="1" applyBorder="1" applyAlignment="1">
      <alignment vertical="top"/>
    </xf>
    <xf numFmtId="0" fontId="40" fillId="2" borderId="10" xfId="0" applyFont="1" applyFill="1" applyBorder="1" applyAlignment="1">
      <alignment horizontal="center" vertical="center"/>
    </xf>
    <xf numFmtId="0" fontId="40" fillId="2" borderId="23" xfId="0" applyFont="1" applyFill="1" applyBorder="1" applyAlignment="1">
      <alignment horizontal="center" vertical="center"/>
    </xf>
    <xf numFmtId="0" fontId="40" fillId="2" borderId="25" xfId="0" applyFont="1" applyFill="1" applyBorder="1" applyAlignment="1">
      <alignment horizontal="center" vertical="center"/>
    </xf>
    <xf numFmtId="0" fontId="40" fillId="2" borderId="24" xfId="0" applyFont="1" applyFill="1" applyBorder="1" applyAlignment="1">
      <alignment horizontal="center" vertical="center"/>
    </xf>
    <xf numFmtId="0" fontId="41" fillId="2" borderId="23" xfId="0" applyFont="1" applyFill="1" applyBorder="1" applyAlignment="1">
      <alignment horizontal="center" vertical="center" wrapText="1"/>
    </xf>
    <xf numFmtId="0" fontId="41" fillId="2" borderId="25" xfId="0" applyFont="1" applyFill="1" applyBorder="1" applyAlignment="1">
      <alignment horizontal="center" vertical="center" wrapText="1"/>
    </xf>
    <xf numFmtId="0" fontId="39" fillId="2" borderId="25" xfId="0" applyFont="1" applyFill="1" applyBorder="1" applyAlignment="1">
      <alignment horizontal="center" vertical="center" wrapText="1"/>
    </xf>
    <xf numFmtId="3" fontId="30" fillId="5" borderId="5" xfId="81" applyNumberFormat="1" applyFont="1" applyFill="1" applyBorder="1"/>
    <xf numFmtId="3" fontId="30" fillId="5" borderId="31" xfId="81" applyNumberFormat="1" applyFont="1" applyFill="1" applyBorder="1"/>
    <xf numFmtId="3" fontId="30" fillId="5" borderId="27" xfId="81" applyNumberFormat="1" applyFont="1" applyFill="1" applyBorder="1"/>
    <xf numFmtId="3" fontId="30" fillId="5" borderId="11" xfId="81" applyNumberFormat="1" applyFont="1" applyFill="1" applyBorder="1"/>
    <xf numFmtId="3" fontId="30" fillId="5" borderId="12" xfId="81" applyNumberFormat="1" applyFont="1" applyFill="1" applyBorder="1"/>
    <xf numFmtId="3" fontId="30" fillId="5" borderId="15" xfId="81" applyNumberFormat="1" applyFont="1" applyFill="1" applyBorder="1"/>
    <xf numFmtId="3" fontId="30" fillId="5" borderId="16" xfId="81" applyNumberFormat="1" applyFont="1" applyFill="1" applyBorder="1"/>
    <xf numFmtId="3" fontId="31" fillId="2" borderId="29" xfId="81" applyNumberFormat="1" applyFont="1" applyFill="1" applyBorder="1"/>
    <xf numFmtId="3" fontId="31" fillId="2" borderId="22" xfId="81" applyNumberFormat="1" applyFont="1" applyFill="1" applyBorder="1"/>
    <xf numFmtId="3" fontId="31" fillId="4" borderId="29" xfId="81" applyNumberFormat="1" applyFont="1" applyFill="1" applyBorder="1"/>
    <xf numFmtId="3" fontId="31" fillId="4" borderId="22" xfId="81" applyNumberFormat="1" applyFont="1" applyFill="1" applyBorder="1"/>
    <xf numFmtId="171" fontId="31" fillId="3" borderId="29" xfId="81" applyNumberFormat="1" applyFont="1" applyFill="1" applyBorder="1"/>
    <xf numFmtId="171" fontId="31" fillId="3" borderId="22" xfId="81" applyNumberFormat="1" applyFont="1" applyFill="1" applyBorder="1"/>
    <xf numFmtId="0" fontId="34" fillId="2" borderId="27" xfId="81" applyFont="1" applyFill="1" applyBorder="1" applyAlignment="1">
      <alignment horizontal="center"/>
    </xf>
    <xf numFmtId="0" fontId="42" fillId="0" borderId="2" xfId="0" applyFont="1" applyFill="1" applyBorder="1"/>
    <xf numFmtId="0" fontId="42" fillId="0" borderId="3" xfId="0" applyFont="1" applyFill="1" applyBorder="1"/>
    <xf numFmtId="3" fontId="31" fillId="0" borderId="29" xfId="78" applyNumberFormat="1" applyFont="1" applyFill="1" applyBorder="1" applyAlignment="1">
      <alignment horizontal="right"/>
    </xf>
    <xf numFmtId="9" fontId="31" fillId="0" borderId="29" xfId="78" applyNumberFormat="1" applyFont="1" applyFill="1" applyBorder="1" applyAlignment="1">
      <alignment horizontal="right"/>
    </xf>
    <xf numFmtId="3" fontId="31" fillId="0" borderId="22" xfId="78" applyNumberFormat="1" applyFont="1" applyFill="1" applyBorder="1" applyAlignment="1">
      <alignment horizontal="right"/>
    </xf>
    <xf numFmtId="0" fontId="35" fillId="0" borderId="39" xfId="0" applyFont="1" applyFill="1" applyBorder="1" applyAlignment="1"/>
    <xf numFmtId="0" fontId="43" fillId="0" borderId="0" xfId="0" applyFont="1" applyFill="1" applyBorder="1" applyAlignment="1"/>
    <xf numFmtId="3" fontId="36" fillId="0" borderId="8" xfId="0" applyNumberFormat="1" applyFont="1" applyFill="1" applyBorder="1" applyAlignment="1">
      <alignment horizontal="right" vertical="top"/>
    </xf>
    <xf numFmtId="3" fontId="36" fillId="0" borderId="6" xfId="0" applyNumberFormat="1" applyFont="1" applyFill="1" applyBorder="1" applyAlignment="1">
      <alignment horizontal="right" vertical="top"/>
    </xf>
    <xf numFmtId="3" fontId="37" fillId="0" borderId="6" xfId="0" applyNumberFormat="1" applyFont="1" applyFill="1" applyBorder="1" applyAlignment="1">
      <alignment horizontal="right" vertical="top"/>
    </xf>
    <xf numFmtId="3" fontId="36" fillId="0" borderId="13" xfId="0" applyNumberFormat="1" applyFont="1" applyFill="1" applyBorder="1" applyAlignment="1">
      <alignment horizontal="right" vertical="top"/>
    </xf>
    <xf numFmtId="3" fontId="36" fillId="0" borderId="11" xfId="0" applyNumberFormat="1" applyFont="1" applyFill="1" applyBorder="1" applyAlignment="1">
      <alignment horizontal="right" vertical="top"/>
    </xf>
    <xf numFmtId="3" fontId="37" fillId="0" borderId="11" xfId="0" applyNumberFormat="1" applyFont="1" applyFill="1" applyBorder="1" applyAlignment="1">
      <alignment horizontal="right" vertical="top"/>
    </xf>
    <xf numFmtId="3" fontId="38" fillId="0" borderId="13" xfId="0" applyNumberFormat="1" applyFont="1" applyFill="1" applyBorder="1" applyAlignment="1">
      <alignment horizontal="right" vertical="top"/>
    </xf>
    <xf numFmtId="3" fontId="38" fillId="0" borderId="11" xfId="0" applyNumberFormat="1" applyFont="1" applyFill="1" applyBorder="1" applyAlignment="1">
      <alignment horizontal="right" vertical="top"/>
    </xf>
    <xf numFmtId="3" fontId="39" fillId="0" borderId="11" xfId="0" applyNumberFormat="1" applyFont="1" applyFill="1" applyBorder="1" applyAlignment="1">
      <alignment horizontal="right" vertical="top"/>
    </xf>
    <xf numFmtId="3" fontId="36" fillId="0" borderId="34" xfId="0" applyNumberFormat="1" applyFont="1" applyFill="1" applyBorder="1" applyAlignment="1">
      <alignment horizontal="right" vertical="top"/>
    </xf>
    <xf numFmtId="3" fontId="36" fillId="0" borderId="25" xfId="0" applyNumberFormat="1" applyFont="1" applyFill="1" applyBorder="1" applyAlignment="1">
      <alignment horizontal="right" vertical="top"/>
    </xf>
    <xf numFmtId="3" fontId="37" fillId="0" borderId="25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39" xfId="82" applyFont="1" applyFill="1" applyBorder="1" applyAlignment="1"/>
    <xf numFmtId="0" fontId="32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9" fontId="3" fillId="0" borderId="61" xfId="53" applyNumberFormat="1" applyFont="1" applyFill="1" applyBorder="1"/>
    <xf numFmtId="3" fontId="32" fillId="0" borderId="0" xfId="26" applyNumberFormat="1" applyFont="1" applyFill="1" applyBorder="1"/>
    <xf numFmtId="0" fontId="32" fillId="0" borderId="0" xfId="26" applyFont="1" applyFill="1"/>
    <xf numFmtId="0" fontId="32" fillId="0" borderId="45" xfId="26" applyFont="1" applyFill="1" applyBorder="1" applyAlignment="1"/>
    <xf numFmtId="3" fontId="33" fillId="0" borderId="0" xfId="26" applyNumberFormat="1" applyFont="1" applyFill="1" applyBorder="1" applyAlignment="1">
      <alignment horizontal="center" vertical="center"/>
    </xf>
    <xf numFmtId="170" fontId="32" fillId="0" borderId="26" xfId="26" applyNumberFormat="1" applyFont="1" applyFill="1" applyBorder="1"/>
    <xf numFmtId="9" fontId="32" fillId="0" borderId="27" xfId="26" applyNumberFormat="1" applyFont="1" applyFill="1" applyBorder="1"/>
    <xf numFmtId="170" fontId="32" fillId="0" borderId="42" xfId="26" applyNumberFormat="1" applyFont="1" applyFill="1" applyBorder="1"/>
    <xf numFmtId="170" fontId="32" fillId="0" borderId="10" xfId="26" applyNumberFormat="1" applyFont="1" applyFill="1" applyBorder="1"/>
    <xf numFmtId="9" fontId="32" fillId="0" borderId="12" xfId="26" applyNumberFormat="1" applyFont="1" applyFill="1" applyBorder="1"/>
    <xf numFmtId="170" fontId="32" fillId="0" borderId="38" xfId="26" applyNumberFormat="1" applyFont="1" applyFill="1" applyBorder="1"/>
    <xf numFmtId="170" fontId="32" fillId="0" borderId="23" xfId="26" applyNumberFormat="1" applyFont="1" applyFill="1" applyBorder="1"/>
    <xf numFmtId="9" fontId="32" fillId="0" borderId="24" xfId="26" applyNumberFormat="1" applyFont="1" applyFill="1" applyBorder="1"/>
    <xf numFmtId="170" fontId="32" fillId="0" borderId="44" xfId="26" applyNumberFormat="1" applyFont="1" applyFill="1" applyBorder="1"/>
    <xf numFmtId="0" fontId="5" fillId="0" borderId="0" xfId="26" applyFont="1" applyFill="1"/>
    <xf numFmtId="0" fontId="3" fillId="0" borderId="0" xfId="26" applyFont="1" applyFill="1" applyAlignment="1">
      <alignment horizontal="left" vertical="top"/>
    </xf>
    <xf numFmtId="0" fontId="5" fillId="0" borderId="0" xfId="26" applyFont="1" applyFill="1" applyAlignment="1">
      <alignment horizontal="left" vertical="top"/>
    </xf>
    <xf numFmtId="49" fontId="3" fillId="0" borderId="0" xfId="26" applyNumberFormat="1" applyFont="1" applyFill="1" applyAlignment="1">
      <alignment horizontal="center"/>
    </xf>
    <xf numFmtId="3" fontId="5" fillId="0" borderId="0" xfId="26" applyNumberFormat="1" applyFont="1" applyFill="1"/>
    <xf numFmtId="166" fontId="5" fillId="0" borderId="0" xfId="26" applyNumberFormat="1" applyFont="1" applyFill="1"/>
    <xf numFmtId="168" fontId="5" fillId="0" borderId="0" xfId="26" applyNumberFormat="1" applyFont="1" applyFill="1" applyAlignment="1">
      <alignment horizontal="right"/>
    </xf>
    <xf numFmtId="9" fontId="5" fillId="0" borderId="0" xfId="26" applyNumberFormat="1" applyFont="1" applyFill="1"/>
    <xf numFmtId="0" fontId="35" fillId="0" borderId="32" xfId="0" applyFont="1" applyFill="1" applyBorder="1" applyAlignment="1"/>
    <xf numFmtId="0" fontId="35" fillId="0" borderId="33" xfId="0" applyFont="1" applyFill="1" applyBorder="1" applyAlignment="1"/>
    <xf numFmtId="0" fontId="35" fillId="0" borderId="56" xfId="0" applyFont="1" applyFill="1" applyBorder="1" applyAlignment="1"/>
    <xf numFmtId="0" fontId="31" fillId="2" borderId="28" xfId="78" applyFont="1" applyFill="1" applyBorder="1" applyAlignment="1">
      <alignment horizontal="right"/>
    </xf>
    <xf numFmtId="3" fontId="31" fillId="2" borderId="55" xfId="78" applyNumberFormat="1" applyFont="1" applyFill="1" applyBorder="1"/>
    <xf numFmtId="0" fontId="3" fillId="2" borderId="59" xfId="53" applyFont="1" applyFill="1" applyBorder="1" applyAlignment="1">
      <alignment horizontal="right"/>
    </xf>
    <xf numFmtId="3" fontId="32" fillId="7" borderId="11" xfId="26" applyNumberFormat="1" applyFont="1" applyFill="1" applyBorder="1"/>
    <xf numFmtId="3" fontId="32" fillId="7" borderId="6" xfId="26" applyNumberFormat="1" applyFont="1" applyFill="1" applyBorder="1"/>
    <xf numFmtId="3" fontId="34" fillId="2" borderId="21" xfId="26" applyNumberFormat="1" applyFont="1" applyFill="1" applyBorder="1"/>
    <xf numFmtId="3" fontId="34" fillId="2" borderId="29" xfId="26" applyNumberFormat="1" applyFont="1" applyFill="1" applyBorder="1"/>
    <xf numFmtId="3" fontId="34" fillId="4" borderId="21" xfId="26" applyNumberFormat="1" applyFont="1" applyFill="1" applyBorder="1"/>
    <xf numFmtId="3" fontId="34" fillId="7" borderId="4" xfId="26" applyNumberFormat="1" applyFont="1" applyFill="1" applyBorder="1"/>
    <xf numFmtId="3" fontId="34" fillId="7" borderId="9" xfId="26" applyNumberFormat="1" applyFont="1" applyFill="1" applyBorder="1"/>
    <xf numFmtId="3" fontId="34" fillId="2" borderId="28" xfId="26" applyNumberFormat="1" applyFont="1" applyFill="1" applyBorder="1"/>
    <xf numFmtId="3" fontId="32" fillId="7" borderId="5" xfId="26" applyNumberFormat="1" applyFont="1" applyFill="1" applyBorder="1"/>
    <xf numFmtId="3" fontId="32" fillId="7" borderId="10" xfId="26" applyNumberFormat="1" applyFont="1" applyFill="1" applyBorder="1"/>
    <xf numFmtId="3" fontId="32" fillId="5" borderId="0" xfId="26" applyNumberFormat="1" applyFont="1" applyFill="1" applyBorder="1"/>
    <xf numFmtId="3" fontId="48" fillId="5" borderId="0" xfId="26" applyNumberFormat="1" applyFont="1" applyFill="1" applyBorder="1"/>
    <xf numFmtId="167" fontId="32" fillId="5" borderId="0" xfId="26" applyNumberFormat="1" applyFont="1" applyFill="1" applyBorder="1"/>
    <xf numFmtId="0" fontId="34" fillId="2" borderId="1" xfId="26" applyNumberFormat="1" applyFont="1" applyFill="1" applyBorder="1" applyAlignment="1">
      <alignment horizontal="center"/>
    </xf>
    <xf numFmtId="0" fontId="34" fillId="2" borderId="2" xfId="26" applyNumberFormat="1" applyFont="1" applyFill="1" applyBorder="1" applyAlignment="1">
      <alignment horizontal="center"/>
    </xf>
    <xf numFmtId="167" fontId="34" fillId="2" borderId="3" xfId="26" applyNumberFormat="1" applyFont="1" applyFill="1" applyBorder="1" applyAlignment="1">
      <alignment horizontal="center"/>
    </xf>
    <xf numFmtId="3" fontId="34" fillId="2" borderId="21" xfId="26" applyNumberFormat="1" applyFont="1" applyFill="1" applyBorder="1" applyAlignment="1">
      <alignment horizontal="center"/>
    </xf>
    <xf numFmtId="167" fontId="34" fillId="2" borderId="22" xfId="26" applyNumberFormat="1" applyFont="1" applyFill="1" applyBorder="1" applyAlignment="1">
      <alignment horizontal="center"/>
    </xf>
    <xf numFmtId="167" fontId="34" fillId="7" borderId="7" xfId="86" applyNumberFormat="1" applyFont="1" applyFill="1" applyBorder="1" applyAlignment="1">
      <alignment horizontal="right"/>
    </xf>
    <xf numFmtId="3" fontId="32" fillId="7" borderId="8" xfId="26" applyNumberFormat="1" applyFont="1" applyFill="1" applyBorder="1"/>
    <xf numFmtId="167" fontId="34" fillId="7" borderId="7" xfId="86" applyNumberFormat="1" applyFont="1" applyFill="1" applyBorder="1"/>
    <xf numFmtId="167" fontId="34" fillId="7" borderId="12" xfId="86" applyNumberFormat="1" applyFont="1" applyFill="1" applyBorder="1" applyAlignment="1">
      <alignment horizontal="right"/>
    </xf>
    <xf numFmtId="3" fontId="32" fillId="7" borderId="13" xfId="26" applyNumberFormat="1" applyFont="1" applyFill="1" applyBorder="1"/>
    <xf numFmtId="167" fontId="34" fillId="7" borderId="12" xfId="86" applyNumberFormat="1" applyFont="1" applyFill="1" applyBorder="1"/>
    <xf numFmtId="167" fontId="34" fillId="2" borderId="22" xfId="86" applyNumberFormat="1" applyFont="1" applyFill="1" applyBorder="1" applyAlignment="1">
      <alignment horizontal="right"/>
    </xf>
    <xf numFmtId="3" fontId="34" fillId="2" borderId="30" xfId="26" applyNumberFormat="1" applyFont="1" applyFill="1" applyBorder="1"/>
    <xf numFmtId="167" fontId="34" fillId="2" borderId="22" xfId="86" applyNumberFormat="1" applyFont="1" applyFill="1" applyBorder="1"/>
    <xf numFmtId="3" fontId="34" fillId="2" borderId="22" xfId="26" applyNumberFormat="1" applyFont="1" applyFill="1" applyBorder="1" applyAlignment="1">
      <alignment horizontal="center"/>
    </xf>
    <xf numFmtId="3" fontId="34" fillId="7" borderId="0" xfId="26" applyNumberFormat="1" applyFont="1" applyFill="1" applyBorder="1" applyAlignment="1">
      <alignment horizontal="left"/>
    </xf>
    <xf numFmtId="0" fontId="34" fillId="3" borderId="1" xfId="26" applyNumberFormat="1" applyFont="1" applyFill="1" applyBorder="1" applyAlignment="1">
      <alignment horizontal="center"/>
    </xf>
    <xf numFmtId="0" fontId="34" fillId="3" borderId="2" xfId="26" applyNumberFormat="1" applyFont="1" applyFill="1" applyBorder="1" applyAlignment="1">
      <alignment horizontal="center"/>
    </xf>
    <xf numFmtId="167" fontId="34" fillId="3" borderId="3" xfId="26" applyNumberFormat="1" applyFont="1" applyFill="1" applyBorder="1" applyAlignment="1">
      <alignment horizontal="center"/>
    </xf>
    <xf numFmtId="3" fontId="34" fillId="3" borderId="21" xfId="26" applyNumberFormat="1" applyFont="1" applyFill="1" applyBorder="1" applyAlignment="1">
      <alignment horizontal="center"/>
    </xf>
    <xf numFmtId="167" fontId="34" fillId="3" borderId="22" xfId="26" applyNumberFormat="1" applyFont="1" applyFill="1" applyBorder="1" applyAlignment="1">
      <alignment horizontal="center"/>
    </xf>
    <xf numFmtId="3" fontId="32" fillId="7" borderId="26" xfId="26" applyNumberFormat="1" applyFont="1" applyFill="1" applyBorder="1" applyAlignment="1">
      <alignment horizontal="center"/>
    </xf>
    <xf numFmtId="3" fontId="32" fillId="7" borderId="27" xfId="26" applyNumberFormat="1" applyFont="1" applyFill="1" applyBorder="1" applyAlignment="1">
      <alignment horizontal="center"/>
    </xf>
    <xf numFmtId="3" fontId="32" fillId="7" borderId="10" xfId="26" applyNumberFormat="1" applyFont="1" applyFill="1" applyBorder="1" applyAlignment="1">
      <alignment horizontal="center"/>
    </xf>
    <xf numFmtId="3" fontId="32" fillId="7" borderId="12" xfId="26" applyNumberFormat="1" applyFont="1" applyFill="1" applyBorder="1" applyAlignment="1">
      <alignment horizontal="center"/>
    </xf>
    <xf numFmtId="3" fontId="34" fillId="3" borderId="28" xfId="26" applyNumberFormat="1" applyFont="1" applyFill="1" applyBorder="1"/>
    <xf numFmtId="3" fontId="34" fillId="3" borderId="21" xfId="26" applyNumberFormat="1" applyFont="1" applyFill="1" applyBorder="1"/>
    <xf numFmtId="3" fontId="34" fillId="3" borderId="29" xfId="26" applyNumberFormat="1" applyFont="1" applyFill="1" applyBorder="1"/>
    <xf numFmtId="167" fontId="34" fillId="3" borderId="22" xfId="86" applyNumberFormat="1" applyFont="1" applyFill="1" applyBorder="1" applyAlignment="1">
      <alignment horizontal="right"/>
    </xf>
    <xf numFmtId="167" fontId="34" fillId="3" borderId="22" xfId="86" applyNumberFormat="1" applyFont="1" applyFill="1" applyBorder="1"/>
    <xf numFmtId="3" fontId="34" fillId="3" borderId="22" xfId="26" applyNumberFormat="1" applyFont="1" applyFill="1" applyBorder="1" applyAlignment="1">
      <alignment horizontal="center"/>
    </xf>
    <xf numFmtId="3" fontId="34" fillId="7" borderId="0" xfId="26" applyNumberFormat="1" applyFont="1" applyFill="1" applyBorder="1"/>
    <xf numFmtId="3" fontId="32" fillId="7" borderId="0" xfId="26" applyNumberFormat="1" applyFont="1" applyFill="1" applyBorder="1"/>
    <xf numFmtId="167" fontId="32" fillId="7" borderId="0" xfId="26" applyNumberFormat="1" applyFont="1" applyFill="1" applyBorder="1"/>
    <xf numFmtId="0" fontId="34" fillId="4" borderId="1" xfId="26" applyNumberFormat="1" applyFont="1" applyFill="1" applyBorder="1" applyAlignment="1">
      <alignment horizontal="center"/>
    </xf>
    <xf numFmtId="0" fontId="34" fillId="4" borderId="2" xfId="26" applyNumberFormat="1" applyFont="1" applyFill="1" applyBorder="1" applyAlignment="1">
      <alignment horizontal="center"/>
    </xf>
    <xf numFmtId="167" fontId="34" fillId="4" borderId="3" xfId="26" applyNumberFormat="1" applyFont="1" applyFill="1" applyBorder="1" applyAlignment="1">
      <alignment horizontal="center"/>
    </xf>
    <xf numFmtId="3" fontId="34" fillId="4" borderId="21" xfId="26" applyNumberFormat="1" applyFont="1" applyFill="1" applyBorder="1" applyAlignment="1">
      <alignment horizontal="center"/>
    </xf>
    <xf numFmtId="167" fontId="34" fillId="4" borderId="22" xfId="26" applyNumberFormat="1" applyFont="1" applyFill="1" applyBorder="1" applyAlignment="1">
      <alignment horizontal="center"/>
    </xf>
    <xf numFmtId="3" fontId="34" fillId="4" borderId="28" xfId="26" applyNumberFormat="1" applyFont="1" applyFill="1" applyBorder="1"/>
    <xf numFmtId="3" fontId="34" fillId="4" borderId="29" xfId="26" applyNumberFormat="1" applyFont="1" applyFill="1" applyBorder="1"/>
    <xf numFmtId="167" fontId="34" fillId="4" borderId="22" xfId="86" applyNumberFormat="1" applyFont="1" applyFill="1" applyBorder="1" applyAlignment="1">
      <alignment horizontal="right"/>
    </xf>
    <xf numFmtId="3" fontId="34" fillId="4" borderId="30" xfId="26" applyNumberFormat="1" applyFont="1" applyFill="1" applyBorder="1"/>
    <xf numFmtId="167" fontId="34" fillId="4" borderId="22" xfId="86" applyNumberFormat="1" applyFont="1" applyFill="1" applyBorder="1"/>
    <xf numFmtId="3" fontId="34" fillId="4" borderId="22" xfId="26" applyNumberFormat="1" applyFont="1" applyFill="1" applyBorder="1" applyAlignment="1">
      <alignment horizontal="center"/>
    </xf>
    <xf numFmtId="9" fontId="3" fillId="2" borderId="32" xfId="27" applyNumberFormat="1" applyFont="1" applyFill="1" applyBorder="1" applyAlignment="1">
      <alignment horizontal="center" vertical="center" wrapText="1"/>
    </xf>
    <xf numFmtId="3" fontId="3" fillId="2" borderId="1" xfId="27" applyNumberFormat="1" applyFont="1" applyFill="1" applyBorder="1" applyAlignment="1">
      <alignment horizontal="center" vertical="center" wrapText="1"/>
    </xf>
    <xf numFmtId="3" fontId="3" fillId="2" borderId="2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/>
    </xf>
    <xf numFmtId="170" fontId="34" fillId="2" borderId="41" xfId="26" quotePrefix="1" applyNumberFormat="1" applyFont="1" applyFill="1" applyBorder="1" applyAlignment="1">
      <alignment horizontal="center"/>
    </xf>
    <xf numFmtId="170" fontId="34" fillId="2" borderId="9" xfId="26" quotePrefix="1" applyNumberFormat="1" applyFont="1" applyFill="1" applyBorder="1" applyAlignment="1">
      <alignment horizontal="center"/>
    </xf>
    <xf numFmtId="170" fontId="34" fillId="2" borderId="43" xfId="26" quotePrefix="1" applyNumberFormat="1" applyFont="1" applyFill="1" applyBorder="1" applyAlignment="1">
      <alignment horizontal="center"/>
    </xf>
    <xf numFmtId="0" fontId="32" fillId="2" borderId="32" xfId="26" applyFont="1" applyFill="1" applyBorder="1"/>
    <xf numFmtId="0" fontId="3" fillId="2" borderId="56" xfId="33" applyFont="1" applyFill="1" applyBorder="1" applyAlignment="1">
      <alignment horizontal="center" vertical="center"/>
    </xf>
    <xf numFmtId="9" fontId="3" fillId="0" borderId="60" xfId="53" applyNumberFormat="1" applyFont="1" applyFill="1" applyBorder="1"/>
    <xf numFmtId="0" fontId="35" fillId="0" borderId="27" xfId="0" applyFont="1" applyBorder="1" applyAlignment="1"/>
    <xf numFmtId="0" fontId="35" fillId="5" borderId="7" xfId="0" applyFont="1" applyFill="1" applyBorder="1"/>
    <xf numFmtId="0" fontId="35" fillId="5" borderId="12" xfId="0" applyFont="1" applyFill="1" applyBorder="1"/>
    <xf numFmtId="0" fontId="35" fillId="5" borderId="24" xfId="0" applyFont="1" applyFill="1" applyBorder="1"/>
    <xf numFmtId="0" fontId="35" fillId="5" borderId="39" xfId="0" applyFont="1" applyFill="1" applyBorder="1"/>
    <xf numFmtId="0" fontId="35" fillId="5" borderId="45" xfId="0" applyFont="1" applyFill="1" applyBorder="1"/>
    <xf numFmtId="9" fontId="37" fillId="0" borderId="7" xfId="0" applyNumberFormat="1" applyFont="1" applyFill="1" applyBorder="1" applyAlignment="1">
      <alignment horizontal="right" vertical="top"/>
    </xf>
    <xf numFmtId="9" fontId="37" fillId="0" borderId="12" xfId="0" applyNumberFormat="1" applyFont="1" applyFill="1" applyBorder="1" applyAlignment="1">
      <alignment horizontal="right" vertical="top"/>
    </xf>
    <xf numFmtId="9" fontId="39" fillId="0" borderId="12" xfId="0" applyNumberFormat="1" applyFont="1" applyFill="1" applyBorder="1" applyAlignment="1">
      <alignment horizontal="right" vertical="top"/>
    </xf>
    <xf numFmtId="9" fontId="37" fillId="0" borderId="24" xfId="0" applyNumberFormat="1" applyFont="1" applyFill="1" applyBorder="1" applyAlignment="1">
      <alignment horizontal="right" vertical="top"/>
    </xf>
    <xf numFmtId="0" fontId="32" fillId="0" borderId="0" xfId="76" applyFont="1" applyFill="1"/>
    <xf numFmtId="0" fontId="32" fillId="0" borderId="0" xfId="26" applyFont="1" applyFill="1" applyBorder="1" applyAlignment="1"/>
    <xf numFmtId="0" fontId="32" fillId="0" borderId="2" xfId="76" applyFont="1" applyFill="1" applyBorder="1" applyAlignment="1"/>
    <xf numFmtId="0" fontId="34" fillId="2" borderId="59" xfId="53" applyFont="1" applyFill="1" applyBorder="1" applyAlignment="1">
      <alignment horizontal="right"/>
    </xf>
    <xf numFmtId="164" fontId="34" fillId="0" borderId="64" xfId="53" applyNumberFormat="1" applyFont="1" applyFill="1" applyBorder="1"/>
    <xf numFmtId="164" fontId="34" fillId="0" borderId="65" xfId="53" applyNumberFormat="1" applyFont="1" applyFill="1" applyBorder="1"/>
    <xf numFmtId="9" fontId="34" fillId="0" borderId="66" xfId="83" applyNumberFormat="1" applyFont="1" applyFill="1" applyBorder="1"/>
    <xf numFmtId="3" fontId="34" fillId="0" borderId="66" xfId="83" applyNumberFormat="1" applyFont="1" applyFill="1" applyBorder="1"/>
    <xf numFmtId="3" fontId="32" fillId="0" borderId="0" xfId="76" applyNumberFormat="1" applyFont="1" applyFill="1"/>
    <xf numFmtId="9" fontId="32" fillId="0" borderId="0" xfId="76" applyNumberFormat="1" applyFont="1" applyFill="1"/>
    <xf numFmtId="0" fontId="32" fillId="0" borderId="45" xfId="26" applyFont="1" applyFill="1" applyBorder="1" applyAlignment="1">
      <alignment horizontal="right"/>
    </xf>
    <xf numFmtId="170" fontId="32" fillId="0" borderId="41" xfId="26" quotePrefix="1" applyNumberFormat="1" applyFont="1" applyFill="1" applyBorder="1" applyAlignment="1">
      <alignment horizontal="right"/>
    </xf>
    <xf numFmtId="170" fontId="32" fillId="0" borderId="9" xfId="26" quotePrefix="1" applyNumberFormat="1" applyFont="1" applyFill="1" applyBorder="1" applyAlignment="1">
      <alignment horizontal="right"/>
    </xf>
    <xf numFmtId="170" fontId="32" fillId="0" borderId="43" xfId="26" quotePrefix="1" applyNumberFormat="1" applyFont="1" applyFill="1" applyBorder="1" applyAlignment="1">
      <alignment horizontal="right"/>
    </xf>
    <xf numFmtId="0" fontId="32" fillId="0" borderId="0" xfId="26" applyFont="1" applyFill="1" applyAlignment="1">
      <alignment horizontal="right"/>
    </xf>
    <xf numFmtId="3" fontId="34" fillId="0" borderId="31" xfId="53" applyNumberFormat="1" applyFont="1" applyFill="1" applyBorder="1"/>
    <xf numFmtId="3" fontId="34" fillId="0" borderId="27" xfId="53" applyNumberFormat="1" applyFont="1" applyFill="1" applyBorder="1"/>
    <xf numFmtId="0" fontId="31" fillId="0" borderId="3" xfId="78" applyFont="1" applyFill="1" applyBorder="1" applyAlignment="1">
      <alignment horizontal="left"/>
    </xf>
    <xf numFmtId="3" fontId="3" fillId="0" borderId="60" xfId="53" applyNumberFormat="1" applyFont="1" applyFill="1" applyBorder="1"/>
    <xf numFmtId="3" fontId="3" fillId="0" borderId="61" xfId="53" applyNumberFormat="1" applyFont="1" applyFill="1" applyBorder="1"/>
    <xf numFmtId="3" fontId="3" fillId="0" borderId="62" xfId="53" applyNumberFormat="1" applyFont="1" applyFill="1" applyBorder="1"/>
    <xf numFmtId="0" fontId="34" fillId="2" borderId="45" xfId="0" applyNumberFormat="1" applyFont="1" applyFill="1" applyBorder="1" applyAlignment="1">
      <alignment horizontal="center"/>
    </xf>
    <xf numFmtId="3" fontId="3" fillId="0" borderId="63" xfId="53" applyNumberFormat="1" applyFont="1" applyFill="1" applyBorder="1"/>
    <xf numFmtId="3" fontId="3" fillId="0" borderId="68" xfId="53" applyNumberFormat="1" applyFont="1" applyFill="1" applyBorder="1"/>
    <xf numFmtId="168" fontId="5" fillId="0" borderId="0" xfId="26" applyNumberFormat="1" applyFont="1" applyFill="1"/>
    <xf numFmtId="166" fontId="3" fillId="2" borderId="32" xfId="24" applyNumberFormat="1" applyFont="1" applyFill="1" applyBorder="1" applyAlignment="1">
      <alignment horizontal="center" vertical="center" wrapText="1"/>
    </xf>
    <xf numFmtId="169" fontId="35" fillId="0" borderId="0" xfId="0" applyNumberFormat="1" applyFont="1" applyFill="1"/>
    <xf numFmtId="0" fontId="34" fillId="2" borderId="41" xfId="74" applyFont="1" applyFill="1" applyBorder="1" applyAlignment="1">
      <alignment horizontal="center"/>
    </xf>
    <xf numFmtId="0" fontId="30" fillId="5" borderId="39" xfId="81" applyFont="1" applyFill="1" applyBorder="1"/>
    <xf numFmtId="0" fontId="34" fillId="2" borderId="25" xfId="81" applyFont="1" applyFill="1" applyBorder="1" applyAlignment="1">
      <alignment horizontal="center"/>
    </xf>
    <xf numFmtId="0" fontId="34" fillId="2" borderId="24" xfId="81" applyFont="1" applyFill="1" applyBorder="1" applyAlignment="1">
      <alignment horizontal="center"/>
    </xf>
    <xf numFmtId="0" fontId="35" fillId="0" borderId="0" xfId="0" applyFont="1" applyFill="1" applyBorder="1" applyAlignment="1"/>
    <xf numFmtId="0" fontId="49" fillId="2" borderId="19" xfId="1" applyFont="1" applyFill="1" applyBorder="1"/>
    <xf numFmtId="0" fontId="50" fillId="0" borderId="0" xfId="0" applyFont="1" applyFill="1"/>
    <xf numFmtId="0" fontId="51" fillId="0" borderId="0" xfId="0" applyFont="1" applyFill="1"/>
    <xf numFmtId="0" fontId="51" fillId="0" borderId="0" xfId="0" applyFont="1" applyFill="1" applyBorder="1"/>
    <xf numFmtId="3" fontId="35" fillId="0" borderId="31" xfId="0" applyNumberFormat="1" applyFont="1" applyFill="1" applyBorder="1"/>
    <xf numFmtId="3" fontId="35" fillId="0" borderId="26" xfId="0" applyNumberFormat="1" applyFont="1" applyFill="1" applyBorder="1"/>
    <xf numFmtId="3" fontId="35" fillId="0" borderId="10" xfId="0" applyNumberFormat="1" applyFont="1" applyFill="1" applyBorder="1"/>
    <xf numFmtId="3" fontId="35" fillId="0" borderId="11" xfId="0" applyNumberFormat="1" applyFont="1" applyFill="1" applyBorder="1"/>
    <xf numFmtId="3" fontId="35" fillId="0" borderId="14" xfId="0" applyNumberFormat="1" applyFont="1" applyFill="1" applyBorder="1"/>
    <xf numFmtId="3" fontId="35" fillId="0" borderId="15" xfId="0" applyNumberFormat="1" applyFont="1" applyFill="1" applyBorder="1"/>
    <xf numFmtId="9" fontId="35" fillId="0" borderId="27" xfId="0" applyNumberFormat="1" applyFont="1" applyFill="1" applyBorder="1"/>
    <xf numFmtId="9" fontId="35" fillId="0" borderId="12" xfId="0" applyNumberFormat="1" applyFont="1" applyFill="1" applyBorder="1"/>
    <xf numFmtId="9" fontId="35" fillId="0" borderId="16" xfId="0" applyNumberFormat="1" applyFont="1" applyFill="1" applyBorder="1"/>
    <xf numFmtId="9" fontId="31" fillId="2" borderId="22" xfId="81" applyNumberFormat="1" applyFont="1" applyFill="1" applyBorder="1"/>
    <xf numFmtId="9" fontId="31" fillId="4" borderId="22" xfId="81" applyNumberFormat="1" applyFont="1" applyFill="1" applyBorder="1"/>
    <xf numFmtId="9" fontId="31" fillId="3" borderId="22" xfId="81" applyNumberFormat="1" applyFont="1" applyFill="1" applyBorder="1"/>
    <xf numFmtId="0" fontId="34" fillId="2" borderId="23" xfId="81" applyFont="1" applyFill="1" applyBorder="1" applyAlignment="1">
      <alignment horizontal="center"/>
    </xf>
    <xf numFmtId="49" fontId="40" fillId="2" borderId="11" xfId="0" applyNumberFormat="1" applyFont="1" applyFill="1" applyBorder="1" applyAlignment="1">
      <alignment horizontal="center" vertical="center"/>
    </xf>
    <xf numFmtId="3" fontId="51" fillId="0" borderId="0" xfId="76" applyNumberFormat="1" applyFont="1" applyFill="1" applyBorder="1"/>
    <xf numFmtId="3" fontId="34" fillId="7" borderId="17" xfId="26" applyNumberFormat="1" applyFont="1" applyFill="1" applyBorder="1"/>
    <xf numFmtId="3" fontId="32" fillId="7" borderId="70" xfId="26" applyNumberFormat="1" applyFont="1" applyFill="1" applyBorder="1"/>
    <xf numFmtId="3" fontId="32" fillId="7" borderId="53" xfId="26" applyNumberFormat="1" applyFont="1" applyFill="1" applyBorder="1"/>
    <xf numFmtId="167" fontId="34" fillId="7" borderId="58" xfId="86" applyNumberFormat="1" applyFont="1" applyFill="1" applyBorder="1" applyAlignment="1">
      <alignment horizontal="right"/>
    </xf>
    <xf numFmtId="3" fontId="32" fillId="7" borderId="71" xfId="26" applyNumberFormat="1" applyFont="1" applyFill="1" applyBorder="1"/>
    <xf numFmtId="167" fontId="34" fillId="7" borderId="58" xfId="86" applyNumberFormat="1" applyFont="1" applyFill="1" applyBorder="1"/>
    <xf numFmtId="3" fontId="32" fillId="0" borderId="70" xfId="26" applyNumberFormat="1" applyFont="1" applyFill="1" applyBorder="1" applyAlignment="1">
      <alignment horizontal="center"/>
    </xf>
    <xf numFmtId="3" fontId="32" fillId="0" borderId="58" xfId="26" applyNumberFormat="1" applyFont="1" applyFill="1" applyBorder="1" applyAlignment="1">
      <alignment horizontal="center"/>
    </xf>
    <xf numFmtId="3" fontId="32" fillId="7" borderId="70" xfId="26" applyNumberFormat="1" applyFont="1" applyFill="1" applyBorder="1" applyAlignment="1">
      <alignment horizontal="center"/>
    </xf>
    <xf numFmtId="3" fontId="32" fillId="7" borderId="58" xfId="26" applyNumberFormat="1" applyFont="1" applyFill="1" applyBorder="1" applyAlignment="1">
      <alignment horizontal="center"/>
    </xf>
    <xf numFmtId="0" fontId="35" fillId="0" borderId="0" xfId="0" applyFont="1" applyFill="1"/>
    <xf numFmtId="0" fontId="35" fillId="0" borderId="45" xfId="0" applyFont="1" applyFill="1" applyBorder="1" applyAlignment="1"/>
    <xf numFmtId="0" fontId="35" fillId="0" borderId="0" xfId="0" applyFont="1" applyFill="1" applyAlignment="1"/>
    <xf numFmtId="0" fontId="49" fillId="4" borderId="35" xfId="1" applyFont="1" applyFill="1" applyBorder="1"/>
    <xf numFmtId="0" fontId="49" fillId="4" borderId="19" xfId="1" applyFont="1" applyFill="1" applyBorder="1"/>
    <xf numFmtId="0" fontId="49" fillId="3" borderId="20" xfId="1" applyFont="1" applyFill="1" applyBorder="1"/>
    <xf numFmtId="0" fontId="52" fillId="0" borderId="0" xfId="0" applyFont="1" applyFill="1" applyBorder="1" applyAlignment="1">
      <alignment vertical="center"/>
    </xf>
    <xf numFmtId="0" fontId="52" fillId="0" borderId="0" xfId="0" applyFont="1" applyFill="1" applyAlignment="1">
      <alignment vertical="center"/>
    </xf>
    <xf numFmtId="3" fontId="50" fillId="0" borderId="0" xfId="76" applyNumberFormat="1" applyFont="1" applyFill="1" applyBorder="1"/>
    <xf numFmtId="0" fontId="35" fillId="2" borderId="31" xfId="0" applyFont="1" applyFill="1" applyBorder="1" applyAlignment="1">
      <alignment horizontal="center" vertical="center"/>
    </xf>
    <xf numFmtId="0" fontId="40" fillId="2" borderId="11" xfId="0" applyFont="1" applyFill="1" applyBorder="1" applyAlignment="1">
      <alignment horizontal="center" vertical="center"/>
    </xf>
    <xf numFmtId="0" fontId="35" fillId="2" borderId="27" xfId="0" applyFont="1" applyFill="1" applyBorder="1" applyAlignment="1">
      <alignment horizontal="center" vertical="center"/>
    </xf>
    <xf numFmtId="0" fontId="41" fillId="2" borderId="11" xfId="0" applyFont="1" applyFill="1" applyBorder="1" applyAlignment="1">
      <alignment horizontal="center" vertical="center" wrapText="1"/>
    </xf>
    <xf numFmtId="164" fontId="34" fillId="2" borderId="26" xfId="53" applyNumberFormat="1" applyFont="1" applyFill="1" applyBorder="1" applyAlignment="1">
      <alignment horizontal="right"/>
    </xf>
    <xf numFmtId="168" fontId="3" fillId="2" borderId="32" xfId="26" applyNumberFormat="1" applyFont="1" applyFill="1" applyBorder="1" applyAlignment="1">
      <alignment horizontal="left" vertical="top"/>
    </xf>
    <xf numFmtId="0" fontId="49" fillId="3" borderId="10" xfId="1" applyFont="1" applyFill="1" applyBorder="1"/>
    <xf numFmtId="0" fontId="49" fillId="3" borderId="5" xfId="1" applyFont="1" applyFill="1" applyBorder="1"/>
    <xf numFmtId="0" fontId="49" fillId="6" borderId="5" xfId="1" applyFont="1" applyFill="1" applyBorder="1"/>
    <xf numFmtId="0" fontId="49" fillId="6" borderId="54" xfId="1" applyFont="1" applyFill="1" applyBorder="1"/>
    <xf numFmtId="0" fontId="49" fillId="2" borderId="5" xfId="1" applyFont="1" applyFill="1" applyBorder="1"/>
    <xf numFmtId="0" fontId="49" fillId="4" borderId="5" xfId="1" applyFont="1" applyFill="1" applyBorder="1"/>
    <xf numFmtId="0" fontId="35" fillId="0" borderId="0" xfId="0" applyFont="1"/>
    <xf numFmtId="0" fontId="35" fillId="0" borderId="0" xfId="0" applyFont="1" applyBorder="1" applyAlignment="1"/>
    <xf numFmtId="3" fontId="35" fillId="0" borderId="0" xfId="0" applyNumberFormat="1" applyFont="1"/>
    <xf numFmtId="9" fontId="35" fillId="0" borderId="0" xfId="0" applyNumberFormat="1" applyFont="1"/>
    <xf numFmtId="0" fontId="35" fillId="0" borderId="0" xfId="0" applyFont="1" applyBorder="1"/>
    <xf numFmtId="3" fontId="42" fillId="2" borderId="48" xfId="0" applyNumberFormat="1" applyFont="1" applyFill="1" applyBorder="1"/>
    <xf numFmtId="3" fontId="42" fillId="2" borderId="50" xfId="0" applyNumberFormat="1" applyFont="1" applyFill="1" applyBorder="1"/>
    <xf numFmtId="9" fontId="42" fillId="2" borderId="55" xfId="0" applyNumberFormat="1" applyFont="1" applyFill="1" applyBorder="1"/>
    <xf numFmtId="0" fontId="53" fillId="2" borderId="20" xfId="1" applyFont="1" applyFill="1" applyBorder="1" applyAlignment="1"/>
    <xf numFmtId="0" fontId="35" fillId="2" borderId="30" xfId="0" applyFont="1" applyFill="1" applyBorder="1" applyAlignment="1"/>
    <xf numFmtId="3" fontId="35" fillId="2" borderId="29" xfId="0" applyNumberFormat="1" applyFont="1" applyFill="1" applyBorder="1" applyAlignment="1"/>
    <xf numFmtId="9" fontId="35" fillId="2" borderId="22" xfId="0" applyNumberFormat="1" applyFont="1" applyFill="1" applyBorder="1" applyAlignment="1"/>
    <xf numFmtId="0" fontId="42" fillId="2" borderId="52" xfId="0" applyFont="1" applyFill="1" applyBorder="1" applyAlignment="1"/>
    <xf numFmtId="0" fontId="35" fillId="0" borderId="8" xfId="0" applyFont="1" applyBorder="1" applyAlignment="1"/>
    <xf numFmtId="3" fontId="35" fillId="0" borderId="6" xfId="0" applyNumberFormat="1" applyFont="1" applyBorder="1" applyAlignment="1"/>
    <xf numFmtId="9" fontId="35" fillId="0" borderId="12" xfId="0" applyNumberFormat="1" applyFont="1" applyBorder="1" applyAlignment="1"/>
    <xf numFmtId="0" fontId="32" fillId="2" borderId="36" xfId="1" applyFont="1" applyFill="1" applyBorder="1" applyAlignment="1">
      <alignment horizontal="left" indent="2"/>
    </xf>
    <xf numFmtId="0" fontId="35" fillId="0" borderId="13" xfId="0" applyFont="1" applyBorder="1" applyAlignment="1"/>
    <xf numFmtId="3" fontId="35" fillId="0" borderId="11" xfId="0" applyNumberFormat="1" applyFont="1" applyBorder="1" applyAlignment="1"/>
    <xf numFmtId="9" fontId="35" fillId="0" borderId="11" xfId="0" applyNumberFormat="1" applyFont="1" applyBorder="1" applyAlignment="1"/>
    <xf numFmtId="0" fontId="35" fillId="2" borderId="36" xfId="0" applyFont="1" applyFill="1" applyBorder="1" applyAlignment="1">
      <alignment horizontal="left" indent="2"/>
    </xf>
    <xf numFmtId="0" fontId="34" fillId="2" borderId="36" xfId="1" applyFont="1" applyFill="1" applyBorder="1" applyAlignment="1"/>
    <xf numFmtId="0" fontId="49" fillId="2" borderId="36" xfId="1" applyFont="1" applyFill="1" applyBorder="1" applyAlignment="1">
      <alignment horizontal="left" indent="2"/>
    </xf>
    <xf numFmtId="0" fontId="53" fillId="2" borderId="36" xfId="1" applyFont="1" applyFill="1" applyBorder="1" applyAlignment="1"/>
    <xf numFmtId="0" fontId="35" fillId="0" borderId="34" xfId="0" applyFont="1" applyBorder="1" applyAlignment="1"/>
    <xf numFmtId="3" fontId="35" fillId="0" borderId="25" xfId="0" applyNumberFormat="1" applyFont="1" applyBorder="1" applyAlignment="1"/>
    <xf numFmtId="9" fontId="35" fillId="0" borderId="24" xfId="0" applyNumberFormat="1" applyFont="1" applyBorder="1" applyAlignment="1"/>
    <xf numFmtId="0" fontId="42" fillId="0" borderId="39" xfId="0" applyFont="1" applyFill="1" applyBorder="1" applyAlignment="1">
      <alignment horizontal="left" indent="2"/>
    </xf>
    <xf numFmtId="0" fontId="35" fillId="0" borderId="39" xfId="0" applyFont="1" applyBorder="1" applyAlignment="1"/>
    <xf numFmtId="3" fontId="35" fillId="0" borderId="39" xfId="0" applyNumberFormat="1" applyFont="1" applyBorder="1" applyAlignment="1"/>
    <xf numFmtId="9" fontId="35" fillId="0" borderId="39" xfId="0" applyNumberFormat="1" applyFont="1" applyBorder="1" applyAlignment="1"/>
    <xf numFmtId="0" fontId="53" fillId="4" borderId="20" xfId="1" applyFont="1" applyFill="1" applyBorder="1" applyAlignment="1">
      <alignment horizontal="left"/>
    </xf>
    <xf numFmtId="0" fontId="35" fillId="4" borderId="30" xfId="0" applyFont="1" applyFill="1" applyBorder="1" applyAlignment="1"/>
    <xf numFmtId="3" fontId="35" fillId="4" borderId="29" xfId="0" applyNumberFormat="1" applyFont="1" applyFill="1" applyBorder="1" applyAlignment="1"/>
    <xf numFmtId="9" fontId="35" fillId="4" borderId="22" xfId="0" applyNumberFormat="1" applyFont="1" applyFill="1" applyBorder="1" applyAlignment="1"/>
    <xf numFmtId="0" fontId="53" fillId="4" borderId="52" xfId="1" applyFont="1" applyFill="1" applyBorder="1" applyAlignment="1">
      <alignment horizontal="left"/>
    </xf>
    <xf numFmtId="0" fontId="49" fillId="4" borderId="36" xfId="1" applyFont="1" applyFill="1" applyBorder="1" applyAlignment="1">
      <alignment horizontal="left" indent="2"/>
    </xf>
    <xf numFmtId="0" fontId="53" fillId="4" borderId="36" xfId="1" applyFont="1" applyFill="1" applyBorder="1" applyAlignment="1">
      <alignment horizontal="left"/>
    </xf>
    <xf numFmtId="0" fontId="49" fillId="4" borderId="36" xfId="1" applyFont="1" applyFill="1" applyBorder="1" applyAlignment="1">
      <alignment horizontal="left" indent="4"/>
    </xf>
    <xf numFmtId="9" fontId="35" fillId="0" borderId="11" xfId="0" applyNumberFormat="1" applyFont="1" applyBorder="1" applyAlignment="1">
      <alignment horizontal="right"/>
    </xf>
    <xf numFmtId="0" fontId="49" fillId="4" borderId="36" xfId="1" applyFont="1" applyFill="1" applyBorder="1" applyAlignment="1">
      <alignment horizontal="left" wrapText="1" indent="2"/>
    </xf>
    <xf numFmtId="0" fontId="35" fillId="4" borderId="37" xfId="0" applyFont="1" applyFill="1" applyBorder="1" applyAlignment="1">
      <alignment horizontal="left" indent="2"/>
    </xf>
    <xf numFmtId="0" fontId="42" fillId="0" borderId="0" xfId="0" applyFont="1" applyFill="1" applyBorder="1" applyAlignment="1"/>
    <xf numFmtId="0" fontId="35" fillId="0" borderId="0" xfId="0" applyFont="1" applyAlignment="1"/>
    <xf numFmtId="3" fontId="35" fillId="0" borderId="0" xfId="0" applyNumberFormat="1" applyFont="1" applyAlignment="1"/>
    <xf numFmtId="9" fontId="35" fillId="0" borderId="45" xfId="0" applyNumberFormat="1" applyFont="1" applyBorder="1" applyAlignment="1"/>
    <xf numFmtId="0" fontId="42" fillId="3" borderId="20" xfId="0" applyFont="1" applyFill="1" applyBorder="1" applyAlignment="1"/>
    <xf numFmtId="0" fontId="35" fillId="3" borderId="30" xfId="0" applyFont="1" applyFill="1" applyBorder="1" applyAlignment="1"/>
    <xf numFmtId="3" fontId="35" fillId="3" borderId="29" xfId="0" applyNumberFormat="1" applyFont="1" applyFill="1" applyBorder="1" applyAlignment="1"/>
    <xf numFmtId="9" fontId="35" fillId="3" borderId="22" xfId="0" applyNumberFormat="1" applyFont="1" applyFill="1" applyBorder="1" applyAlignment="1"/>
    <xf numFmtId="0" fontId="43" fillId="0" borderId="0" xfId="0" applyFont="1" applyFill="1"/>
    <xf numFmtId="16" fontId="43" fillId="0" borderId="0" xfId="0" quotePrefix="1" applyNumberFormat="1" applyFont="1" applyFill="1"/>
    <xf numFmtId="0" fontId="43" fillId="0" borderId="0" xfId="0" quotePrefix="1" applyFont="1" applyFill="1"/>
    <xf numFmtId="171" fontId="43" fillId="0" borderId="0" xfId="0" applyNumberFormat="1" applyFont="1" applyFill="1"/>
    <xf numFmtId="172" fontId="43" fillId="0" borderId="0" xfId="0" applyNumberFormat="1" applyFont="1" applyFill="1"/>
    <xf numFmtId="3" fontId="43" fillId="0" borderId="0" xfId="0" applyNumberFormat="1" applyFont="1" applyFill="1"/>
    <xf numFmtId="0" fontId="8" fillId="0" borderId="0" xfId="81" applyFont="1" applyFill="1"/>
    <xf numFmtId="0" fontId="54" fillId="0" borderId="39" xfId="81" applyFont="1" applyFill="1" applyBorder="1" applyAlignment="1"/>
    <xf numFmtId="0" fontId="7" fillId="0" borderId="0" xfId="78" applyFont="1" applyFill="1" applyBorder="1" applyAlignment="1"/>
    <xf numFmtId="3" fontId="35" fillId="0" borderId="0" xfId="0" applyNumberFormat="1" applyFont="1" applyFill="1"/>
    <xf numFmtId="0" fontId="35" fillId="0" borderId="0" xfId="0" applyFont="1" applyFill="1" applyAlignment="1">
      <alignment horizontal="left"/>
    </xf>
    <xf numFmtId="164" fontId="35" fillId="0" borderId="0" xfId="0" applyNumberFormat="1" applyFont="1" applyFill="1"/>
    <xf numFmtId="9" fontId="35" fillId="0" borderId="0" xfId="0" applyNumberFormat="1" applyFont="1" applyFill="1"/>
    <xf numFmtId="164" fontId="30" fillId="0" borderId="0" xfId="78" applyNumberFormat="1" applyFont="1" applyFill="1" applyBorder="1" applyAlignment="1"/>
    <xf numFmtId="3" fontId="30" fillId="0" borderId="0" xfId="78" applyNumberFormat="1" applyFont="1" applyFill="1" applyBorder="1" applyAlignment="1"/>
    <xf numFmtId="164" fontId="35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42" fillId="2" borderId="28" xfId="0" applyFont="1" applyFill="1" applyBorder="1" applyAlignment="1">
      <alignment horizontal="right"/>
    </xf>
    <xf numFmtId="169" fontId="42" fillId="0" borderId="21" xfId="0" applyNumberFormat="1" applyFont="1" applyFill="1" applyBorder="1" applyAlignment="1"/>
    <xf numFmtId="169" fontId="42" fillId="0" borderId="29" xfId="0" applyNumberFormat="1" applyFont="1" applyFill="1" applyBorder="1" applyAlignment="1"/>
    <xf numFmtId="9" fontId="42" fillId="0" borderId="22" xfId="0" applyNumberFormat="1" applyFont="1" applyFill="1" applyBorder="1" applyAlignment="1"/>
    <xf numFmtId="169" fontId="42" fillId="0" borderId="30" xfId="0" applyNumberFormat="1" applyFont="1" applyFill="1" applyBorder="1" applyAlignment="1"/>
    <xf numFmtId="9" fontId="42" fillId="0" borderId="47" xfId="0" applyNumberFormat="1" applyFont="1" applyFill="1" applyBorder="1" applyAlignment="1"/>
    <xf numFmtId="169" fontId="35" fillId="0" borderId="0" xfId="0" applyNumberFormat="1" applyFont="1" applyFill="1" applyBorder="1" applyAlignment="1"/>
    <xf numFmtId="9" fontId="35" fillId="0" borderId="0" xfId="0" applyNumberFormat="1" applyFont="1" applyFill="1" applyBorder="1" applyAlignment="1"/>
    <xf numFmtId="3" fontId="35" fillId="0" borderId="45" xfId="0" applyNumberFormat="1" applyFont="1" applyFill="1" applyBorder="1" applyAlignment="1"/>
    <xf numFmtId="9" fontId="35" fillId="0" borderId="45" xfId="0" applyNumberFormat="1" applyFont="1" applyFill="1" applyBorder="1" applyAlignment="1"/>
    <xf numFmtId="3" fontId="35" fillId="0" borderId="0" xfId="0" applyNumberFormat="1" applyFont="1" applyFill="1" applyBorder="1" applyAlignment="1"/>
    <xf numFmtId="3" fontId="4" fillId="0" borderId="0" xfId="76" applyNumberFormat="1" applyFont="1" applyFill="1"/>
    <xf numFmtId="0" fontId="7" fillId="0" borderId="45" xfId="26" applyFont="1" applyFill="1" applyBorder="1" applyAlignment="1"/>
    <xf numFmtId="3" fontId="34" fillId="0" borderId="2" xfId="26" applyNumberFormat="1" applyFont="1" applyFill="1" applyBorder="1" applyAlignment="1">
      <alignment horizontal="right" vertical="top"/>
    </xf>
    <xf numFmtId="0" fontId="35" fillId="0" borderId="2" xfId="0" applyFont="1" applyFill="1" applyBorder="1" applyAlignment="1">
      <alignment horizontal="right" vertical="top"/>
    </xf>
    <xf numFmtId="167" fontId="32" fillId="5" borderId="0" xfId="26" applyNumberFormat="1" applyFont="1" applyFill="1" applyBorder="1" applyAlignment="1">
      <alignment horizontal="center"/>
    </xf>
    <xf numFmtId="0" fontId="35" fillId="0" borderId="0" xfId="98" applyFont="1" applyBorder="1" applyAlignment="1">
      <alignment horizontal="center"/>
    </xf>
    <xf numFmtId="3" fontId="57" fillId="0" borderId="0" xfId="76" applyNumberFormat="1" applyFont="1" applyFill="1" applyBorder="1"/>
    <xf numFmtId="9" fontId="57" fillId="0" borderId="0" xfId="76" applyNumberFormat="1" applyFont="1" applyFill="1" applyBorder="1" applyAlignment="1">
      <alignment horizontal="right"/>
    </xf>
    <xf numFmtId="9" fontId="57" fillId="0" borderId="0" xfId="76" applyNumberFormat="1" applyFont="1" applyFill="1" applyBorder="1"/>
    <xf numFmtId="9" fontId="4" fillId="0" borderId="0" xfId="76" applyNumberFormat="1" applyFont="1" applyFill="1" applyAlignment="1">
      <alignment horizontal="right"/>
    </xf>
    <xf numFmtId="9" fontId="4" fillId="0" borderId="0" xfId="76" applyNumberFormat="1" applyFont="1" applyFill="1"/>
    <xf numFmtId="3" fontId="32" fillId="0" borderId="0" xfId="26" applyNumberFormat="1" applyFont="1" applyFill="1" applyBorder="1" applyAlignment="1">
      <alignment horizontal="right"/>
    </xf>
    <xf numFmtId="0" fontId="33" fillId="0" borderId="0" xfId="26" applyFont="1" applyFill="1" applyBorder="1" applyAlignment="1">
      <alignment horizontal="right"/>
    </xf>
    <xf numFmtId="9" fontId="33" fillId="0" borderId="0" xfId="26" applyNumberFormat="1" applyFont="1" applyFill="1" applyBorder="1" applyAlignment="1">
      <alignment horizontal="right"/>
    </xf>
    <xf numFmtId="3" fontId="43" fillId="0" borderId="0" xfId="26" applyNumberFormat="1" applyFont="1" applyFill="1" applyBorder="1"/>
    <xf numFmtId="0" fontId="3" fillId="0" borderId="39" xfId="26" applyFont="1" applyFill="1" applyBorder="1" applyAlignment="1">
      <alignment vertical="center"/>
    </xf>
    <xf numFmtId="168" fontId="3" fillId="0" borderId="39" xfId="26" applyNumberFormat="1" applyFont="1" applyFill="1" applyBorder="1" applyAlignment="1">
      <alignment vertical="center"/>
    </xf>
    <xf numFmtId="166" fontId="3" fillId="0" borderId="39" xfId="26" applyNumberFormat="1" applyFont="1" applyFill="1" applyBorder="1" applyAlignment="1">
      <alignment vertical="center"/>
    </xf>
    <xf numFmtId="3" fontId="0" fillId="0" borderId="0" xfId="0" applyNumberFormat="1"/>
    <xf numFmtId="3" fontId="0" fillId="8" borderId="72" xfId="0" applyNumberFormat="1" applyFont="1" applyFill="1" applyBorder="1"/>
    <xf numFmtId="3" fontId="59" fillId="9" borderId="73" xfId="0" applyNumberFormat="1" applyFont="1" applyFill="1" applyBorder="1"/>
    <xf numFmtId="3" fontId="59" fillId="9" borderId="72" xfId="0" applyNumberFormat="1" applyFont="1" applyFill="1" applyBorder="1"/>
    <xf numFmtId="0" fontId="60" fillId="0" borderId="0" xfId="1" applyFont="1" applyFill="1"/>
    <xf numFmtId="3" fontId="55" fillId="0" borderId="0" xfId="26" applyNumberFormat="1" applyFont="1" applyFill="1" applyBorder="1" applyAlignment="1"/>
    <xf numFmtId="3" fontId="42" fillId="2" borderId="76" xfId="0" applyNumberFormat="1" applyFont="1" applyFill="1" applyBorder="1" applyAlignment="1">
      <alignment horizontal="center" vertical="center"/>
    </xf>
    <xf numFmtId="0" fontId="42" fillId="2" borderId="77" xfId="0" applyFont="1" applyFill="1" applyBorder="1" applyAlignment="1">
      <alignment horizontal="center" vertical="center"/>
    </xf>
    <xf numFmtId="3" fontId="61" fillId="2" borderId="79" xfId="0" applyNumberFormat="1" applyFont="1" applyFill="1" applyBorder="1" applyAlignment="1">
      <alignment horizontal="center" vertical="center" wrapText="1"/>
    </xf>
    <xf numFmtId="0" fontId="61" fillId="2" borderId="80" xfId="0" applyFont="1" applyFill="1" applyBorder="1" applyAlignment="1">
      <alignment horizontal="center" vertical="center" wrapText="1"/>
    </xf>
    <xf numFmtId="0" fontId="42" fillId="2" borderId="82" xfId="0" applyFont="1" applyFill="1" applyBorder="1" applyAlignment="1"/>
    <xf numFmtId="0" fontId="42" fillId="2" borderId="84" xfId="0" applyFont="1" applyFill="1" applyBorder="1" applyAlignment="1">
      <alignment horizontal="left" indent="1"/>
    </xf>
    <xf numFmtId="0" fontId="42" fillId="2" borderId="90" xfId="0" applyFont="1" applyFill="1" applyBorder="1" applyAlignment="1">
      <alignment horizontal="left" indent="1"/>
    </xf>
    <xf numFmtId="0" fontId="42" fillId="4" borderId="82" xfId="0" applyFont="1" applyFill="1" applyBorder="1" applyAlignment="1"/>
    <xf numFmtId="0" fontId="42" fillId="4" borderId="84" xfId="0" applyFont="1" applyFill="1" applyBorder="1" applyAlignment="1">
      <alignment horizontal="left" indent="1"/>
    </xf>
    <xf numFmtId="0" fontId="42" fillId="4" borderId="95" xfId="0" applyFont="1" applyFill="1" applyBorder="1" applyAlignment="1">
      <alignment horizontal="left" indent="1"/>
    </xf>
    <xf numFmtId="0" fontId="35" fillId="2" borderId="84" xfId="0" quotePrefix="1" applyFont="1" applyFill="1" applyBorder="1" applyAlignment="1">
      <alignment horizontal="left" indent="2"/>
    </xf>
    <xf numFmtId="0" fontId="35" fillId="2" borderId="90" xfId="0" quotePrefix="1" applyFont="1" applyFill="1" applyBorder="1" applyAlignment="1">
      <alignment horizontal="left" indent="2"/>
    </xf>
    <xf numFmtId="0" fontId="42" fillId="2" borderId="82" xfId="0" applyFont="1" applyFill="1" applyBorder="1" applyAlignment="1">
      <alignment horizontal="left" indent="1"/>
    </xf>
    <xf numFmtId="0" fontId="42" fillId="2" borderId="95" xfId="0" applyFont="1" applyFill="1" applyBorder="1" applyAlignment="1">
      <alignment horizontal="left" indent="1"/>
    </xf>
    <xf numFmtId="0" fontId="42" fillId="4" borderId="90" xfId="0" applyFont="1" applyFill="1" applyBorder="1" applyAlignment="1">
      <alignment horizontal="left" indent="1"/>
    </xf>
    <xf numFmtId="0" fontId="35" fillId="0" borderId="100" xfId="0" applyFont="1" applyBorder="1"/>
    <xf numFmtId="3" fontId="35" fillId="0" borderId="100" xfId="0" applyNumberFormat="1" applyFont="1" applyBorder="1"/>
    <xf numFmtId="0" fontId="42" fillId="4" borderId="74" xfId="0" applyFont="1" applyFill="1" applyBorder="1" applyAlignment="1">
      <alignment horizontal="center" vertical="center"/>
    </xf>
    <xf numFmtId="0" fontId="42" fillId="4" borderId="56" xfId="0" applyFont="1" applyFill="1" applyBorder="1" applyAlignment="1">
      <alignment horizontal="center" vertical="center"/>
    </xf>
    <xf numFmtId="0" fontId="0" fillId="0" borderId="0" xfId="0" applyNumberFormat="1"/>
    <xf numFmtId="3" fontId="42" fillId="2" borderId="99" xfId="0" applyNumberFormat="1" applyFont="1" applyFill="1" applyBorder="1" applyAlignment="1">
      <alignment horizontal="center" vertical="center"/>
    </xf>
    <xf numFmtId="3" fontId="61" fillId="2" borderId="97" xfId="0" applyNumberFormat="1" applyFont="1" applyFill="1" applyBorder="1" applyAlignment="1">
      <alignment horizontal="center" vertical="center" wrapText="1"/>
    </xf>
    <xf numFmtId="173" fontId="42" fillId="4" borderId="83" xfId="0" applyNumberFormat="1" applyFont="1" applyFill="1" applyBorder="1" applyAlignment="1"/>
    <xf numFmtId="173" fontId="42" fillId="4" borderId="76" xfId="0" applyNumberFormat="1" applyFont="1" applyFill="1" applyBorder="1" applyAlignment="1"/>
    <xf numFmtId="173" fontId="42" fillId="4" borderId="77" xfId="0" applyNumberFormat="1" applyFont="1" applyFill="1" applyBorder="1" applyAlignment="1"/>
    <xf numFmtId="173" fontId="42" fillId="0" borderId="85" xfId="0" applyNumberFormat="1" applyFont="1" applyBorder="1"/>
    <xf numFmtId="173" fontId="35" fillId="0" borderId="89" xfId="0" applyNumberFormat="1" applyFont="1" applyBorder="1"/>
    <xf numFmtId="173" fontId="35" fillId="0" borderId="87" xfId="0" applyNumberFormat="1" applyFont="1" applyBorder="1"/>
    <xf numFmtId="173" fontId="35" fillId="0" borderId="88" xfId="0" applyNumberFormat="1" applyFont="1" applyBorder="1"/>
    <xf numFmtId="173" fontId="42" fillId="0" borderId="96" xfId="0" applyNumberFormat="1" applyFont="1" applyBorder="1"/>
    <xf numFmtId="173" fontId="35" fillId="0" borderId="97" xfId="0" applyNumberFormat="1" applyFont="1" applyBorder="1"/>
    <xf numFmtId="173" fontId="35" fillId="0" borderId="80" xfId="0" applyNumberFormat="1" applyFont="1" applyBorder="1"/>
    <xf numFmtId="173" fontId="35" fillId="0" borderId="81" xfId="0" applyNumberFormat="1" applyFont="1" applyBorder="1"/>
    <xf numFmtId="173" fontId="42" fillId="2" borderId="98" xfId="0" applyNumberFormat="1" applyFont="1" applyFill="1" applyBorder="1" applyAlignment="1"/>
    <xf numFmtId="173" fontId="42" fillId="2" borderId="76" xfId="0" applyNumberFormat="1" applyFont="1" applyFill="1" applyBorder="1" applyAlignment="1"/>
    <xf numFmtId="173" fontId="42" fillId="2" borderId="77" xfId="0" applyNumberFormat="1" applyFont="1" applyFill="1" applyBorder="1" applyAlignment="1"/>
    <xf numFmtId="173" fontId="42" fillId="0" borderId="91" xfId="0" applyNumberFormat="1" applyFont="1" applyBorder="1"/>
    <xf numFmtId="173" fontId="35" fillId="0" borderId="92" xfId="0" applyNumberFormat="1" applyFont="1" applyBorder="1"/>
    <xf numFmtId="173" fontId="35" fillId="0" borderId="93" xfId="0" applyNumberFormat="1" applyFont="1" applyBorder="1"/>
    <xf numFmtId="173" fontId="42" fillId="0" borderId="83" xfId="0" applyNumberFormat="1" applyFont="1" applyBorder="1"/>
    <xf numFmtId="173" fontId="35" fillId="0" borderId="99" xfId="0" applyNumberFormat="1" applyFont="1" applyBorder="1"/>
    <xf numFmtId="173" fontId="35" fillId="0" borderId="77" xfId="0" applyNumberFormat="1" applyFont="1" applyBorder="1"/>
    <xf numFmtId="174" fontId="42" fillId="2" borderId="83" xfId="0" applyNumberFormat="1" applyFont="1" applyFill="1" applyBorder="1" applyAlignment="1"/>
    <xf numFmtId="174" fontId="35" fillId="2" borderId="76" xfId="0" applyNumberFormat="1" applyFont="1" applyFill="1" applyBorder="1" applyAlignment="1"/>
    <xf numFmtId="174" fontId="35" fillId="2" borderId="77" xfId="0" applyNumberFormat="1" applyFont="1" applyFill="1" applyBorder="1" applyAlignment="1"/>
    <xf numFmtId="174" fontId="42" fillId="0" borderId="85" xfId="0" applyNumberFormat="1" applyFont="1" applyBorder="1"/>
    <xf numFmtId="174" fontId="35" fillId="0" borderId="86" xfId="0" applyNumberFormat="1" applyFont="1" applyBorder="1"/>
    <xf numFmtId="174" fontId="35" fillId="0" borderId="87" xfId="0" applyNumberFormat="1" applyFont="1" applyBorder="1"/>
    <xf numFmtId="174" fontId="35" fillId="0" borderId="89" xfId="0" applyNumberFormat="1" applyFont="1" applyBorder="1"/>
    <xf numFmtId="174" fontId="42" fillId="0" borderId="91" xfId="0" applyNumberFormat="1" applyFont="1" applyBorder="1"/>
    <xf numFmtId="174" fontId="35" fillId="0" borderId="92" xfId="0" applyNumberFormat="1" applyFont="1" applyBorder="1"/>
    <xf numFmtId="174" fontId="35" fillId="0" borderId="93" xfId="0" applyNumberFormat="1" applyFont="1" applyBorder="1"/>
    <xf numFmtId="0" fontId="63" fillId="0" borderId="0" xfId="0" applyFont="1" applyAlignment="1">
      <alignment horizontal="left" vertical="center" indent="1"/>
    </xf>
    <xf numFmtId="0" fontId="63" fillId="0" borderId="0" xfId="0" applyFont="1" applyAlignment="1">
      <alignment vertical="center"/>
    </xf>
    <xf numFmtId="0" fontId="0" fillId="0" borderId="0" xfId="0" applyAlignment="1"/>
    <xf numFmtId="0" fontId="64" fillId="0" borderId="0" xfId="0" applyFont="1"/>
    <xf numFmtId="173" fontId="42" fillId="4" borderId="83" xfId="0" applyNumberFormat="1" applyFont="1" applyFill="1" applyBorder="1" applyAlignment="1">
      <alignment horizontal="center"/>
    </xf>
    <xf numFmtId="175" fontId="42" fillId="0" borderId="91" xfId="0" applyNumberFormat="1" applyFont="1" applyBorder="1"/>
    <xf numFmtId="0" fontId="34" fillId="2" borderId="107" xfId="74" applyFont="1" applyFill="1" applyBorder="1" applyAlignment="1">
      <alignment horizontal="center"/>
    </xf>
    <xf numFmtId="0" fontId="34" fillId="2" borderId="78" xfId="81" applyFont="1" applyFill="1" applyBorder="1" applyAlignment="1">
      <alignment horizontal="center"/>
    </xf>
    <xf numFmtId="0" fontId="34" fillId="2" borderId="79" xfId="81" applyFont="1" applyFill="1" applyBorder="1" applyAlignment="1">
      <alignment horizontal="center"/>
    </xf>
    <xf numFmtId="0" fontId="34" fillId="2" borderId="80" xfId="81" applyFont="1" applyFill="1" applyBorder="1" applyAlignment="1">
      <alignment horizontal="center"/>
    </xf>
    <xf numFmtId="0" fontId="34" fillId="2" borderId="81" xfId="81" applyFont="1" applyFill="1" applyBorder="1" applyAlignment="1">
      <alignment horizontal="center"/>
    </xf>
    <xf numFmtId="0" fontId="3" fillId="2" borderId="21" xfId="79" applyFont="1" applyFill="1" applyBorder="1" applyAlignment="1"/>
    <xf numFmtId="0" fontId="3" fillId="2" borderId="29" xfId="79" applyFont="1" applyFill="1" applyBorder="1" applyAlignment="1"/>
    <xf numFmtId="0" fontId="32" fillId="5" borderId="0" xfId="74" applyFont="1" applyFill="1" applyAlignment="1">
      <alignment horizontal="center"/>
    </xf>
    <xf numFmtId="3" fontId="65" fillId="0" borderId="0" xfId="76" applyNumberFormat="1" applyFont="1" applyFill="1"/>
    <xf numFmtId="3" fontId="65" fillId="0" borderId="0" xfId="76" applyNumberFormat="1" applyFont="1" applyFill="1" applyAlignment="1">
      <alignment horizontal="left" indent="1"/>
    </xf>
    <xf numFmtId="3" fontId="32" fillId="0" borderId="0" xfId="26" applyNumberFormat="1" applyFont="1" applyFill="1" applyBorder="1" applyAlignment="1"/>
    <xf numFmtId="3" fontId="34" fillId="0" borderId="64" xfId="53" applyNumberFormat="1" applyFont="1" applyFill="1" applyBorder="1"/>
    <xf numFmtId="3" fontId="34" fillId="0" borderId="65" xfId="53" applyNumberFormat="1" applyFont="1" applyFill="1" applyBorder="1"/>
    <xf numFmtId="0" fontId="3" fillId="0" borderId="0" xfId="79" applyFont="1" applyFill="1" applyBorder="1" applyAlignment="1">
      <alignment horizontal="left"/>
    </xf>
    <xf numFmtId="0" fontId="3" fillId="2" borderId="28" xfId="79" applyFont="1" applyFill="1" applyBorder="1" applyAlignment="1">
      <alignment horizontal="right"/>
    </xf>
    <xf numFmtId="9" fontId="35" fillId="0" borderId="29" xfId="0" applyNumberFormat="1" applyFont="1" applyFill="1" applyBorder="1"/>
    <xf numFmtId="9" fontId="35" fillId="0" borderId="22" xfId="0" applyNumberFormat="1" applyFont="1" applyFill="1" applyBorder="1"/>
    <xf numFmtId="9" fontId="35" fillId="0" borderId="30" xfId="0" applyNumberFormat="1" applyFont="1" applyFill="1" applyBorder="1"/>
    <xf numFmtId="3" fontId="7" fillId="0" borderId="21" xfId="78" applyNumberFormat="1" applyFont="1" applyFill="1" applyBorder="1" applyAlignment="1"/>
    <xf numFmtId="3" fontId="7" fillId="0" borderId="29" xfId="78" applyNumberFormat="1" applyFont="1" applyFill="1" applyBorder="1" applyAlignment="1"/>
    <xf numFmtId="3" fontId="7" fillId="0" borderId="22" xfId="78" applyNumberFormat="1" applyFont="1" applyFill="1" applyBorder="1" applyAlignment="1"/>
    <xf numFmtId="0" fontId="35" fillId="5" borderId="88" xfId="0" applyFont="1" applyFill="1" applyBorder="1"/>
    <xf numFmtId="0" fontId="35" fillId="0" borderId="89" xfId="0" applyFont="1" applyBorder="1" applyAlignment="1"/>
    <xf numFmtId="9" fontId="35" fillId="0" borderId="87" xfId="0" applyNumberFormat="1" applyFont="1" applyBorder="1" applyAlignment="1"/>
    <xf numFmtId="0" fontId="28" fillId="2" borderId="36" xfId="1" applyFill="1" applyBorder="1" applyAlignment="1">
      <alignment horizontal="left" indent="4"/>
    </xf>
    <xf numFmtId="0" fontId="42" fillId="0" borderId="0" xfId="0" applyFont="1" applyFill="1" applyAlignment="1">
      <alignment horizontal="left" indent="1"/>
    </xf>
    <xf numFmtId="9" fontId="42" fillId="0" borderId="85" xfId="0" applyNumberFormat="1" applyFont="1" applyBorder="1"/>
    <xf numFmtId="9" fontId="35" fillId="0" borderId="89" xfId="0" applyNumberFormat="1" applyFont="1" applyBorder="1"/>
    <xf numFmtId="9" fontId="35" fillId="0" borderId="87" xfId="0" applyNumberFormat="1" applyFont="1" applyBorder="1"/>
    <xf numFmtId="9" fontId="35" fillId="0" borderId="88" xfId="0" applyNumberFormat="1" applyFont="1" applyBorder="1"/>
    <xf numFmtId="0" fontId="42" fillId="3" borderId="28" xfId="0" applyFont="1" applyFill="1" applyBorder="1" applyAlignment="1"/>
    <xf numFmtId="0" fontId="35" fillId="0" borderId="40" xfId="0" applyFont="1" applyBorder="1" applyAlignment="1"/>
    <xf numFmtId="0" fontId="42" fillId="2" borderId="28" xfId="0" applyFont="1" applyFill="1" applyBorder="1" applyAlignment="1"/>
    <xf numFmtId="0" fontId="42" fillId="4" borderId="28" xfId="0" applyFont="1" applyFill="1" applyBorder="1" applyAlignment="1"/>
    <xf numFmtId="0" fontId="44" fillId="0" borderId="2" xfId="0" applyFont="1" applyFill="1" applyBorder="1" applyAlignment="1"/>
    <xf numFmtId="0" fontId="44" fillId="0" borderId="2" xfId="0" applyFont="1" applyBorder="1" applyAlignment="1"/>
    <xf numFmtId="0" fontId="33" fillId="5" borderId="18" xfId="81" applyFont="1" applyFill="1" applyBorder="1" applyAlignment="1">
      <alignment horizontal="center" vertical="center"/>
    </xf>
    <xf numFmtId="0" fontId="43" fillId="0" borderId="3" xfId="0" applyFont="1" applyBorder="1" applyAlignment="1">
      <alignment horizontal="center" vertical="center"/>
    </xf>
    <xf numFmtId="0" fontId="34" fillId="2" borderId="43" xfId="81" applyFont="1" applyFill="1" applyBorder="1" applyAlignment="1">
      <alignment horizontal="center"/>
    </xf>
    <xf numFmtId="0" fontId="34" fillId="2" borderId="44" xfId="81" applyFont="1" applyFill="1" applyBorder="1" applyAlignment="1">
      <alignment horizontal="center"/>
    </xf>
    <xf numFmtId="0" fontId="34" fillId="2" borderId="41" xfId="81" applyFont="1" applyFill="1" applyBorder="1" applyAlignment="1">
      <alignment horizontal="center"/>
    </xf>
    <xf numFmtId="0" fontId="34" fillId="2" borderId="69" xfId="81" applyFont="1" applyFill="1" applyBorder="1" applyAlignment="1">
      <alignment horizontal="center"/>
    </xf>
    <xf numFmtId="0" fontId="34" fillId="2" borderId="42" xfId="81" applyFont="1" applyFill="1" applyBorder="1" applyAlignment="1">
      <alignment horizontal="center"/>
    </xf>
    <xf numFmtId="0" fontId="2" fillId="0" borderId="2" xfId="0" applyFont="1" applyFill="1" applyBorder="1" applyAlignment="1"/>
    <xf numFmtId="0" fontId="41" fillId="2" borderId="26" xfId="0" applyFont="1" applyFill="1" applyBorder="1" applyAlignment="1">
      <alignment horizontal="center" vertical="center"/>
    </xf>
    <xf numFmtId="0" fontId="35" fillId="2" borderId="31" xfId="0" applyFont="1" applyFill="1" applyBorder="1" applyAlignment="1">
      <alignment horizontal="center" vertical="center"/>
    </xf>
    <xf numFmtId="0" fontId="40" fillId="2" borderId="11" xfId="0" applyFont="1" applyFill="1" applyBorder="1" applyAlignment="1">
      <alignment horizontal="center" vertical="center"/>
    </xf>
    <xf numFmtId="0" fontId="35" fillId="2" borderId="12" xfId="0" applyFont="1" applyFill="1" applyBorder="1" applyAlignment="1">
      <alignment horizontal="center" vertical="center"/>
    </xf>
    <xf numFmtId="0" fontId="6" fillId="0" borderId="2" xfId="0" applyFont="1" applyFill="1" applyBorder="1" applyAlignment="1"/>
    <xf numFmtId="0" fontId="35" fillId="2" borderId="10" xfId="0" applyFont="1" applyFill="1" applyBorder="1" applyAlignment="1">
      <alignment horizontal="center" vertical="center"/>
    </xf>
    <xf numFmtId="0" fontId="35" fillId="2" borderId="11" xfId="0" applyFont="1" applyFill="1" applyBorder="1" applyAlignment="1">
      <alignment horizontal="center" vertical="center"/>
    </xf>
    <xf numFmtId="0" fontId="41" fillId="2" borderId="31" xfId="0" applyFont="1" applyFill="1" applyBorder="1" applyAlignment="1">
      <alignment horizontal="center" vertical="center"/>
    </xf>
    <xf numFmtId="0" fontId="35" fillId="2" borderId="27" xfId="0" applyFont="1" applyFill="1" applyBorder="1" applyAlignment="1">
      <alignment horizontal="center" vertical="center"/>
    </xf>
    <xf numFmtId="0" fontId="41" fillId="2" borderId="11" xfId="0" applyFont="1" applyFill="1" applyBorder="1" applyAlignment="1">
      <alignment horizontal="center" vertical="center" wrapText="1"/>
    </xf>
    <xf numFmtId="0" fontId="35" fillId="2" borderId="25" xfId="0" applyFont="1" applyFill="1" applyBorder="1" applyAlignment="1">
      <alignment horizontal="center" vertical="center" wrapText="1"/>
    </xf>
    <xf numFmtId="0" fontId="39" fillId="2" borderId="11" xfId="0" applyFont="1" applyFill="1" applyBorder="1" applyAlignment="1">
      <alignment horizontal="center" vertical="center" wrapText="1"/>
    </xf>
    <xf numFmtId="0" fontId="39" fillId="2" borderId="12" xfId="0" applyFont="1" applyFill="1" applyBorder="1" applyAlignment="1">
      <alignment horizontal="center" vertical="center" wrapText="1"/>
    </xf>
    <xf numFmtId="0" fontId="35" fillId="2" borderId="24" xfId="0" applyFont="1" applyFill="1" applyBorder="1" applyAlignment="1">
      <alignment horizontal="center" vertical="center" wrapText="1"/>
    </xf>
    <xf numFmtId="0" fontId="34" fillId="2" borderId="107" xfId="81" applyFont="1" applyFill="1" applyBorder="1" applyAlignment="1">
      <alignment horizontal="center"/>
    </xf>
    <xf numFmtId="0" fontId="34" fillId="2" borderId="104" xfId="81" applyFont="1" applyFill="1" applyBorder="1" applyAlignment="1">
      <alignment horizontal="center"/>
    </xf>
    <xf numFmtId="0" fontId="34" fillId="2" borderId="83" xfId="81" applyFont="1" applyFill="1" applyBorder="1" applyAlignment="1">
      <alignment horizontal="center"/>
    </xf>
    <xf numFmtId="0" fontId="34" fillId="2" borderId="106" xfId="81" applyFont="1" applyFill="1" applyBorder="1" applyAlignment="1">
      <alignment horizontal="center"/>
    </xf>
    <xf numFmtId="0" fontId="34" fillId="2" borderId="96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4" fillId="0" borderId="2" xfId="14" applyFont="1" applyFill="1" applyBorder="1" applyAlignment="1"/>
    <xf numFmtId="0" fontId="0" fillId="0" borderId="2" xfId="0" applyBorder="1" applyAlignment="1"/>
    <xf numFmtId="164" fontId="34" fillId="0" borderId="0" xfId="53" applyNumberFormat="1" applyFont="1" applyFill="1" applyBorder="1" applyAlignment="1">
      <alignment horizontal="center"/>
    </xf>
    <xf numFmtId="164" fontId="32" fillId="0" borderId="0" xfId="79" applyNumberFormat="1" applyFont="1" applyFill="1" applyBorder="1" applyAlignment="1">
      <alignment horizontal="center"/>
    </xf>
    <xf numFmtId="164" fontId="34" fillId="2" borderId="26" xfId="53" applyNumberFormat="1" applyFont="1" applyFill="1" applyBorder="1" applyAlignment="1">
      <alignment horizontal="right"/>
    </xf>
    <xf numFmtId="164" fontId="32" fillId="2" borderId="31" xfId="79" applyNumberFormat="1" applyFont="1" applyFill="1" applyBorder="1" applyAlignment="1">
      <alignment horizontal="right"/>
    </xf>
    <xf numFmtId="164" fontId="45" fillId="0" borderId="2" xfId="14" applyNumberFormat="1" applyFont="1" applyFill="1" applyBorder="1" applyAlignment="1"/>
    <xf numFmtId="0" fontId="6" fillId="0" borderId="2" xfId="14" applyFont="1" applyFill="1" applyBorder="1" applyAlignment="1">
      <alignment wrapText="1"/>
    </xf>
    <xf numFmtId="0" fontId="6" fillId="0" borderId="2" xfId="14" applyFont="1" applyFill="1" applyBorder="1" applyAlignment="1"/>
    <xf numFmtId="3" fontId="31" fillId="2" borderId="57" xfId="78" applyNumberFormat="1" applyFont="1" applyFill="1" applyBorder="1" applyAlignment="1">
      <alignment horizontal="left"/>
    </xf>
    <xf numFmtId="0" fontId="35" fillId="2" borderId="49" xfId="0" applyFont="1" applyFill="1" applyBorder="1" applyAlignment="1"/>
    <xf numFmtId="3" fontId="31" fillId="2" borderId="51" xfId="78" applyNumberFormat="1" applyFont="1" applyFill="1" applyBorder="1" applyAlignment="1"/>
    <xf numFmtId="0" fontId="42" fillId="2" borderId="57" xfId="0" applyFont="1" applyFill="1" applyBorder="1" applyAlignment="1">
      <alignment horizontal="left"/>
    </xf>
    <xf numFmtId="0" fontId="35" fillId="2" borderId="45" xfId="0" applyFont="1" applyFill="1" applyBorder="1" applyAlignment="1">
      <alignment horizontal="left"/>
    </xf>
    <xf numFmtId="0" fontId="35" fillId="2" borderId="49" xfId="0" applyFont="1" applyFill="1" applyBorder="1" applyAlignment="1">
      <alignment horizontal="left"/>
    </xf>
    <xf numFmtId="0" fontId="42" fillId="2" borderId="51" xfId="0" applyFont="1" applyFill="1" applyBorder="1" applyAlignment="1">
      <alignment horizontal="left"/>
    </xf>
    <xf numFmtId="3" fontId="42" fillId="2" borderId="51" xfId="0" applyNumberFormat="1" applyFont="1" applyFill="1" applyBorder="1" applyAlignment="1">
      <alignment horizontal="left"/>
    </xf>
    <xf numFmtId="3" fontId="35" fillId="2" borderId="46" xfId="0" applyNumberFormat="1" applyFont="1" applyFill="1" applyBorder="1" applyAlignment="1">
      <alignment horizontal="left"/>
    </xf>
    <xf numFmtId="9" fontId="3" fillId="2" borderId="109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108" xfId="80" applyNumberFormat="1" applyFont="1" applyFill="1" applyBorder="1" applyAlignment="1">
      <alignment horizontal="left"/>
    </xf>
    <xf numFmtId="3" fontId="3" fillId="2" borderId="98" xfId="80" applyNumberFormat="1" applyFont="1" applyFill="1" applyBorder="1" applyAlignment="1">
      <alignment horizontal="left"/>
    </xf>
    <xf numFmtId="166" fontId="42" fillId="2" borderId="75" xfId="0" applyNumberFormat="1" applyFont="1" applyFill="1" applyBorder="1" applyAlignment="1">
      <alignment horizontal="center" vertical="center"/>
    </xf>
    <xf numFmtId="0" fontId="35" fillId="0" borderId="3" xfId="0" applyFont="1" applyBorder="1" applyAlignment="1">
      <alignment horizontal="center" vertical="center"/>
    </xf>
    <xf numFmtId="0" fontId="2" fillId="0" borderId="2" xfId="26" applyFont="1" applyFill="1" applyBorder="1" applyAlignment="1"/>
    <xf numFmtId="0" fontId="56" fillId="0" borderId="2" xfId="26" applyFont="1" applyFill="1" applyBorder="1" applyAlignment="1"/>
    <xf numFmtId="0" fontId="42" fillId="2" borderId="55" xfId="0" applyFont="1" applyFill="1" applyBorder="1" applyAlignment="1">
      <alignment vertical="center"/>
    </xf>
    <xf numFmtId="3" fontId="34" fillId="2" borderId="57" xfId="26" applyNumberFormat="1" applyFont="1" applyFill="1" applyBorder="1" applyAlignment="1">
      <alignment horizontal="center"/>
    </xf>
    <xf numFmtId="3" fontId="34" fillId="2" borderId="45" xfId="26" applyNumberFormat="1" applyFont="1" applyFill="1" applyBorder="1" applyAlignment="1">
      <alignment horizontal="center"/>
    </xf>
    <xf numFmtId="3" fontId="34" fillId="2" borderId="46" xfId="26" applyNumberFormat="1" applyFont="1" applyFill="1" applyBorder="1" applyAlignment="1">
      <alignment horizontal="center"/>
    </xf>
    <xf numFmtId="3" fontId="34" fillId="2" borderId="46" xfId="0" applyNumberFormat="1" applyFont="1" applyFill="1" applyBorder="1" applyAlignment="1">
      <alignment horizontal="center" vertical="top"/>
    </xf>
    <xf numFmtId="0" fontId="34" fillId="2" borderId="32" xfId="0" applyFont="1" applyFill="1" applyBorder="1" applyAlignment="1">
      <alignment horizontal="center" vertical="top" wrapText="1"/>
    </xf>
    <xf numFmtId="0" fontId="34" fillId="2" borderId="32" xfId="0" applyFont="1" applyFill="1" applyBorder="1" applyAlignment="1">
      <alignment horizontal="center" vertical="top"/>
    </xf>
    <xf numFmtId="0" fontId="34" fillId="2" borderId="32" xfId="0" applyFont="1" applyFill="1" applyBorder="1" applyAlignment="1">
      <alignment horizontal="center" vertical="center"/>
    </xf>
    <xf numFmtId="0" fontId="34" fillId="2" borderId="57" xfId="0" quotePrefix="1" applyNumberFormat="1" applyFont="1" applyFill="1" applyBorder="1" applyAlignment="1">
      <alignment horizontal="center"/>
    </xf>
    <xf numFmtId="0" fontId="34" fillId="2" borderId="46" xfId="0" applyNumberFormat="1" applyFont="1" applyFill="1" applyBorder="1" applyAlignment="1">
      <alignment horizontal="center"/>
    </xf>
    <xf numFmtId="49" fontId="34" fillId="2" borderId="32" xfId="0" applyNumberFormat="1" applyFont="1" applyFill="1" applyBorder="1" applyAlignment="1">
      <alignment horizontal="center" vertical="top"/>
    </xf>
    <xf numFmtId="0" fontId="46" fillId="2" borderId="46" xfId="0" applyNumberFormat="1" applyFont="1" applyFill="1" applyBorder="1" applyAlignment="1">
      <alignment horizontal="center" vertical="top"/>
    </xf>
    <xf numFmtId="167" fontId="32" fillId="5" borderId="17" xfId="26" applyNumberFormat="1" applyFont="1" applyFill="1" applyBorder="1" applyAlignment="1">
      <alignment horizontal="center"/>
    </xf>
    <xf numFmtId="0" fontId="35" fillId="0" borderId="18" xfId="98" applyFont="1" applyBorder="1" applyAlignment="1">
      <alignment horizontal="center"/>
    </xf>
    <xf numFmtId="3" fontId="34" fillId="4" borderId="57" xfId="26" applyNumberFormat="1" applyFont="1" applyFill="1" applyBorder="1" applyAlignment="1">
      <alignment horizontal="center" vertical="center" wrapText="1"/>
    </xf>
    <xf numFmtId="3" fontId="34" fillId="4" borderId="1" xfId="26" applyNumberFormat="1" applyFont="1" applyFill="1" applyBorder="1" applyAlignment="1">
      <alignment horizontal="center" vertical="center" wrapText="1"/>
    </xf>
    <xf numFmtId="3" fontId="34" fillId="4" borderId="57" xfId="26" applyNumberFormat="1" applyFont="1" applyFill="1" applyBorder="1" applyAlignment="1">
      <alignment horizontal="center"/>
    </xf>
    <xf numFmtId="3" fontId="34" fillId="4" borderId="45" xfId="26" applyNumberFormat="1" applyFont="1" applyFill="1" applyBorder="1" applyAlignment="1">
      <alignment horizontal="center"/>
    </xf>
    <xf numFmtId="3" fontId="34" fillId="4" borderId="46" xfId="26" applyNumberFormat="1" applyFont="1" applyFill="1" applyBorder="1" applyAlignment="1">
      <alignment horizontal="center"/>
    </xf>
    <xf numFmtId="3" fontId="34" fillId="3" borderId="32" xfId="26" applyNumberFormat="1" applyFont="1" applyFill="1" applyBorder="1" applyAlignment="1">
      <alignment horizontal="center" vertical="center" wrapText="1"/>
    </xf>
    <xf numFmtId="3" fontId="34" fillId="3" borderId="56" xfId="26" applyNumberFormat="1" applyFont="1" applyFill="1" applyBorder="1" applyAlignment="1">
      <alignment horizontal="center" vertical="center" wrapText="1"/>
    </xf>
    <xf numFmtId="3" fontId="34" fillId="3" borderId="57" xfId="26" applyNumberFormat="1" applyFont="1" applyFill="1" applyBorder="1" applyAlignment="1">
      <alignment horizontal="center"/>
    </xf>
    <xf numFmtId="3" fontId="34" fillId="3" borderId="45" xfId="26" applyNumberFormat="1" applyFont="1" applyFill="1" applyBorder="1" applyAlignment="1">
      <alignment horizontal="center"/>
    </xf>
    <xf numFmtId="3" fontId="34" fillId="3" borderId="46" xfId="26" applyNumberFormat="1" applyFont="1" applyFill="1" applyBorder="1" applyAlignment="1">
      <alignment horizontal="center"/>
    </xf>
    <xf numFmtId="3" fontId="34" fillId="0" borderId="45" xfId="26" applyNumberFormat="1" applyFont="1" applyFill="1" applyBorder="1" applyAlignment="1">
      <alignment horizontal="right" vertical="top"/>
    </xf>
    <xf numFmtId="0" fontId="35" fillId="0" borderId="45" xfId="0" applyFont="1" applyFill="1" applyBorder="1" applyAlignment="1">
      <alignment horizontal="right" vertical="top"/>
    </xf>
    <xf numFmtId="3" fontId="34" fillId="5" borderId="17" xfId="26" applyNumberFormat="1" applyFont="1" applyFill="1" applyBorder="1" applyAlignment="1">
      <alignment horizontal="center"/>
    </xf>
    <xf numFmtId="0" fontId="35" fillId="0" borderId="0" xfId="0" applyFont="1" applyBorder="1" applyAlignment="1">
      <alignment horizontal="center"/>
    </xf>
    <xf numFmtId="3" fontId="34" fillId="0" borderId="17" xfId="26" applyNumberFormat="1" applyFont="1" applyBorder="1" applyAlignment="1">
      <alignment horizontal="center"/>
    </xf>
    <xf numFmtId="0" fontId="35" fillId="0" borderId="18" xfId="0" applyFont="1" applyBorder="1" applyAlignment="1">
      <alignment horizontal="center"/>
    </xf>
    <xf numFmtId="0" fontId="6" fillId="0" borderId="2" xfId="26" applyFont="1" applyFill="1" applyBorder="1" applyAlignment="1"/>
    <xf numFmtId="3" fontId="34" fillId="2" borderId="32" xfId="26" applyNumberFormat="1" applyFont="1" applyFill="1" applyBorder="1" applyAlignment="1">
      <alignment horizontal="center" vertical="center"/>
    </xf>
    <xf numFmtId="3" fontId="34" fillId="2" borderId="56" xfId="26" applyNumberFormat="1" applyFont="1" applyFill="1" applyBorder="1" applyAlignment="1">
      <alignment horizontal="center" vertical="center"/>
    </xf>
    <xf numFmtId="3" fontId="3" fillId="2" borderId="57" xfId="27" applyNumberFormat="1" applyFont="1" applyFill="1" applyBorder="1" applyAlignment="1">
      <alignment horizontal="center"/>
    </xf>
    <xf numFmtId="0" fontId="35" fillId="2" borderId="45" xfId="14" applyFont="1" applyFill="1" applyBorder="1" applyAlignment="1">
      <alignment horizontal="center"/>
    </xf>
    <xf numFmtId="0" fontId="35" fillId="2" borderId="46" xfId="14" applyFont="1" applyFill="1" applyBorder="1" applyAlignment="1">
      <alignment horizontal="center"/>
    </xf>
    <xf numFmtId="3" fontId="3" fillId="2" borderId="57" xfId="24" applyNumberFormat="1" applyFont="1" applyFill="1" applyBorder="1" applyAlignment="1">
      <alignment horizontal="center"/>
    </xf>
    <xf numFmtId="0" fontId="4" fillId="2" borderId="45" xfId="26" applyFont="1" applyFill="1" applyBorder="1" applyAlignment="1">
      <alignment horizontal="center"/>
    </xf>
    <xf numFmtId="168" fontId="3" fillId="2" borderId="32" xfId="26" applyNumberFormat="1" applyFont="1" applyFill="1" applyBorder="1" applyAlignment="1">
      <alignment horizontal="left" vertical="top"/>
    </xf>
    <xf numFmtId="3" fontId="3" fillId="2" borderId="32" xfId="26" applyNumberFormat="1" applyFont="1" applyFill="1" applyBorder="1" applyAlignment="1">
      <alignment horizontal="center" vertical="top"/>
    </xf>
    <xf numFmtId="3" fontId="3" fillId="2" borderId="57" xfId="26" applyNumberFormat="1" applyFont="1" applyFill="1" applyBorder="1" applyAlignment="1">
      <alignment horizontal="center"/>
    </xf>
    <xf numFmtId="3" fontId="3" fillId="2" borderId="46" xfId="26" applyNumberFormat="1" applyFont="1" applyFill="1" applyBorder="1" applyAlignment="1">
      <alignment horizontal="center"/>
    </xf>
    <xf numFmtId="49" fontId="3" fillId="2" borderId="32" xfId="26" applyNumberFormat="1" applyFont="1" applyFill="1" applyBorder="1" applyAlignment="1">
      <alignment horizontal="left" vertical="top"/>
    </xf>
    <xf numFmtId="0" fontId="3" fillId="2" borderId="57" xfId="26" quotePrefix="1" applyNumberFormat="1" applyFont="1" applyFill="1" applyBorder="1" applyAlignment="1">
      <alignment horizontal="center" vertical="top"/>
    </xf>
    <xf numFmtId="0" fontId="3" fillId="2" borderId="45" xfId="26" applyNumberFormat="1" applyFont="1" applyFill="1" applyBorder="1" applyAlignment="1">
      <alignment horizontal="center" vertical="top"/>
    </xf>
    <xf numFmtId="0" fontId="3" fillId="2" borderId="46" xfId="26" applyNumberFormat="1" applyFont="1" applyFill="1" applyBorder="1" applyAlignment="1">
      <alignment horizontal="center" vertical="top"/>
    </xf>
    <xf numFmtId="168" fontId="3" fillId="2" borderId="32" xfId="26" applyNumberFormat="1" applyFont="1" applyFill="1" applyBorder="1" applyAlignment="1">
      <alignment horizontal="left" vertical="top" wrapText="1"/>
    </xf>
    <xf numFmtId="0" fontId="34" fillId="2" borderId="32" xfId="0" applyFont="1" applyFill="1" applyBorder="1" applyAlignment="1">
      <alignment vertical="center" wrapText="1"/>
    </xf>
    <xf numFmtId="0" fontId="45" fillId="0" borderId="2" xfId="26" applyFont="1" applyFill="1" applyBorder="1" applyAlignment="1"/>
    <xf numFmtId="0" fontId="58" fillId="0" borderId="2" xfId="26" applyFont="1" applyFill="1" applyBorder="1" applyAlignment="1"/>
    <xf numFmtId="3" fontId="34" fillId="2" borderId="48" xfId="76" applyNumberFormat="1" applyFont="1" applyFill="1" applyBorder="1" applyAlignment="1">
      <alignment horizontal="center" vertical="center"/>
    </xf>
    <xf numFmtId="3" fontId="34" fillId="2" borderId="50" xfId="76" applyNumberFormat="1" applyFont="1" applyFill="1" applyBorder="1" applyAlignment="1">
      <alignment horizontal="center" vertical="center"/>
    </xf>
    <xf numFmtId="3" fontId="34" fillId="2" borderId="6" xfId="76" applyNumberFormat="1" applyFont="1" applyFill="1" applyBorder="1" applyAlignment="1">
      <alignment horizontal="center"/>
    </xf>
    <xf numFmtId="3" fontId="34" fillId="2" borderId="67" xfId="76" applyNumberFormat="1" applyFont="1" applyFill="1" applyBorder="1" applyAlignment="1">
      <alignment horizontal="center"/>
    </xf>
    <xf numFmtId="3" fontId="34" fillId="2" borderId="8" xfId="76" applyNumberFormat="1" applyFont="1" applyFill="1" applyBorder="1" applyAlignment="1">
      <alignment horizontal="center"/>
    </xf>
    <xf numFmtId="3" fontId="34" fillId="2" borderId="7" xfId="76" applyNumberFormat="1" applyFont="1" applyFill="1" applyBorder="1" applyAlignment="1">
      <alignment horizontal="center"/>
    </xf>
    <xf numFmtId="3" fontId="36" fillId="10" borderId="111" xfId="0" applyNumberFormat="1" applyFont="1" applyFill="1" applyBorder="1" applyAlignment="1">
      <alignment horizontal="right" vertical="top"/>
    </xf>
    <xf numFmtId="3" fontId="36" fillId="10" borderId="112" xfId="0" applyNumberFormat="1" applyFont="1" applyFill="1" applyBorder="1" applyAlignment="1">
      <alignment horizontal="right" vertical="top"/>
    </xf>
    <xf numFmtId="176" fontId="36" fillId="10" borderId="113" xfId="0" applyNumberFormat="1" applyFont="1" applyFill="1" applyBorder="1" applyAlignment="1">
      <alignment horizontal="right" vertical="top"/>
    </xf>
    <xf numFmtId="3" fontId="36" fillId="0" borderId="111" xfId="0" applyNumberFormat="1" applyFont="1" applyBorder="1" applyAlignment="1">
      <alignment horizontal="right" vertical="top"/>
    </xf>
    <xf numFmtId="176" fontId="36" fillId="10" borderId="114" xfId="0" applyNumberFormat="1" applyFont="1" applyFill="1" applyBorder="1" applyAlignment="1">
      <alignment horizontal="right" vertical="top"/>
    </xf>
    <xf numFmtId="3" fontId="38" fillId="10" borderId="116" xfId="0" applyNumberFormat="1" applyFont="1" applyFill="1" applyBorder="1" applyAlignment="1">
      <alignment horizontal="right" vertical="top"/>
    </xf>
    <xf numFmtId="3" fontId="38" fillId="10" borderId="117" xfId="0" applyNumberFormat="1" applyFont="1" applyFill="1" applyBorder="1" applyAlignment="1">
      <alignment horizontal="right" vertical="top"/>
    </xf>
    <xf numFmtId="0" fontId="38" fillId="10" borderId="118" xfId="0" applyFont="1" applyFill="1" applyBorder="1" applyAlignment="1">
      <alignment horizontal="right" vertical="top"/>
    </xf>
    <xf numFmtId="3" fontId="38" fillId="0" borderId="116" xfId="0" applyNumberFormat="1" applyFont="1" applyBorder="1" applyAlignment="1">
      <alignment horizontal="right" vertical="top"/>
    </xf>
    <xf numFmtId="0" fontId="38" fillId="10" borderId="119" xfId="0" applyFont="1" applyFill="1" applyBorder="1" applyAlignment="1">
      <alignment horizontal="right" vertical="top"/>
    </xf>
    <xf numFmtId="0" fontId="36" fillId="10" borderId="113" xfId="0" applyFont="1" applyFill="1" applyBorder="1" applyAlignment="1">
      <alignment horizontal="right" vertical="top"/>
    </xf>
    <xf numFmtId="0" fontId="36" fillId="10" borderId="114" xfId="0" applyFont="1" applyFill="1" applyBorder="1" applyAlignment="1">
      <alignment horizontal="right" vertical="top"/>
    </xf>
    <xf numFmtId="176" fontId="38" fillId="10" borderId="118" xfId="0" applyNumberFormat="1" applyFont="1" applyFill="1" applyBorder="1" applyAlignment="1">
      <alignment horizontal="right" vertical="top"/>
    </xf>
    <xf numFmtId="176" fontId="38" fillId="10" borderId="119" xfId="0" applyNumberFormat="1" applyFont="1" applyFill="1" applyBorder="1" applyAlignment="1">
      <alignment horizontal="right" vertical="top"/>
    </xf>
    <xf numFmtId="3" fontId="38" fillId="0" borderId="120" xfId="0" applyNumberFormat="1" applyFont="1" applyBorder="1" applyAlignment="1">
      <alignment horizontal="right" vertical="top"/>
    </xf>
    <xf numFmtId="3" fontId="38" fillId="0" borderId="121" xfId="0" applyNumberFormat="1" applyFont="1" applyBorder="1" applyAlignment="1">
      <alignment horizontal="right" vertical="top"/>
    </xf>
    <xf numFmtId="0" fontId="38" fillId="0" borderId="122" xfId="0" applyFont="1" applyBorder="1" applyAlignment="1">
      <alignment horizontal="right" vertical="top"/>
    </xf>
    <xf numFmtId="176" fontId="38" fillId="10" borderId="123" xfId="0" applyNumberFormat="1" applyFont="1" applyFill="1" applyBorder="1" applyAlignment="1">
      <alignment horizontal="right" vertical="top"/>
    </xf>
    <xf numFmtId="0" fontId="40" fillId="11" borderId="110" xfId="0" applyFont="1" applyFill="1" applyBorder="1" applyAlignment="1">
      <alignment vertical="top"/>
    </xf>
    <xf numFmtId="0" fontId="40" fillId="11" borderId="110" xfId="0" applyFont="1" applyFill="1" applyBorder="1" applyAlignment="1">
      <alignment vertical="top" indent="2"/>
    </xf>
    <xf numFmtId="0" fontId="40" fillId="11" borderId="110" xfId="0" applyFont="1" applyFill="1" applyBorder="1" applyAlignment="1">
      <alignment vertical="top" indent="4"/>
    </xf>
    <xf numFmtId="0" fontId="41" fillId="11" borderId="115" xfId="0" applyFont="1" applyFill="1" applyBorder="1" applyAlignment="1">
      <alignment vertical="top" indent="6"/>
    </xf>
    <xf numFmtId="0" fontId="40" fillId="11" borderId="110" xfId="0" applyFont="1" applyFill="1" applyBorder="1" applyAlignment="1">
      <alignment vertical="top" indent="8"/>
    </xf>
    <xf numFmtId="0" fontId="41" fillId="11" borderId="115" xfId="0" applyFont="1" applyFill="1" applyBorder="1" applyAlignment="1">
      <alignment vertical="top" indent="2"/>
    </xf>
    <xf numFmtId="0" fontId="40" fillId="11" borderId="110" xfId="0" applyFont="1" applyFill="1" applyBorder="1" applyAlignment="1">
      <alignment vertical="top" indent="6"/>
    </xf>
    <xf numFmtId="0" fontId="41" fillId="11" borderId="115" xfId="0" applyFont="1" applyFill="1" applyBorder="1" applyAlignment="1">
      <alignment vertical="top" indent="4"/>
    </xf>
    <xf numFmtId="0" fontId="41" fillId="11" borderId="115" xfId="0" applyFont="1" applyFill="1" applyBorder="1" applyAlignment="1">
      <alignment vertical="top"/>
    </xf>
    <xf numFmtId="0" fontId="35" fillId="11" borderId="110" xfId="0" applyFont="1" applyFill="1" applyBorder="1"/>
    <xf numFmtId="0" fontId="41" fillId="11" borderId="20" xfId="0" applyFont="1" applyFill="1" applyBorder="1" applyAlignment="1">
      <alignment vertical="top"/>
    </xf>
    <xf numFmtId="0" fontId="32" fillId="0" borderId="0" xfId="0" applyNumberFormat="1" applyFont="1" applyFill="1" applyBorder="1" applyAlignment="1">
      <alignment horizontal="left"/>
    </xf>
    <xf numFmtId="3" fontId="32" fillId="0" borderId="0" xfId="0" applyNumberFormat="1" applyFont="1" applyFill="1" applyBorder="1" applyAlignment="1">
      <alignment horizontal="left"/>
    </xf>
    <xf numFmtId="3" fontId="32" fillId="0" borderId="0" xfId="0" applyNumberFormat="1" applyFont="1" applyFill="1" applyBorder="1" applyAlignment="1">
      <alignment horizontal="right"/>
    </xf>
    <xf numFmtId="9" fontId="32" fillId="0" borderId="0" xfId="0" applyNumberFormat="1" applyFont="1" applyFill="1" applyBorder="1" applyAlignment="1">
      <alignment horizontal="right"/>
    </xf>
    <xf numFmtId="3" fontId="32" fillId="0" borderId="0" xfId="0" applyNumberFormat="1" applyFont="1" applyFill="1" applyBorder="1"/>
    <xf numFmtId="164" fontId="34" fillId="2" borderId="124" xfId="53" applyNumberFormat="1" applyFont="1" applyFill="1" applyBorder="1" applyAlignment="1">
      <alignment horizontal="left"/>
    </xf>
    <xf numFmtId="164" fontId="34" fillId="2" borderId="125" xfId="53" applyNumberFormat="1" applyFont="1" applyFill="1" applyBorder="1" applyAlignment="1">
      <alignment horizontal="left"/>
    </xf>
    <xf numFmtId="164" fontId="34" fillId="2" borderId="53" xfId="53" applyNumberFormat="1" applyFont="1" applyFill="1" applyBorder="1" applyAlignment="1">
      <alignment horizontal="left"/>
    </xf>
    <xf numFmtId="3" fontId="34" fillId="2" borderId="53" xfId="53" applyNumberFormat="1" applyFont="1" applyFill="1" applyBorder="1" applyAlignment="1">
      <alignment horizontal="left"/>
    </xf>
    <xf numFmtId="3" fontId="34" fillId="2" borderId="58" xfId="53" applyNumberFormat="1" applyFont="1" applyFill="1" applyBorder="1" applyAlignment="1">
      <alignment horizontal="left"/>
    </xf>
    <xf numFmtId="3" fontId="35" fillId="0" borderId="125" xfId="0" applyNumberFormat="1" applyFont="1" applyFill="1" applyBorder="1"/>
    <xf numFmtId="3" fontId="35" fillId="0" borderId="127" xfId="0" applyNumberFormat="1" applyFont="1" applyFill="1" applyBorder="1"/>
    <xf numFmtId="0" fontId="35" fillId="0" borderId="76" xfId="0" applyFont="1" applyFill="1" applyBorder="1"/>
    <xf numFmtId="0" fontId="35" fillId="0" borderId="77" xfId="0" applyFont="1" applyFill="1" applyBorder="1"/>
    <xf numFmtId="164" fontId="35" fillId="0" borderId="77" xfId="0" applyNumberFormat="1" applyFont="1" applyFill="1" applyBorder="1"/>
    <xf numFmtId="164" fontId="35" fillId="0" borderId="77" xfId="0" applyNumberFormat="1" applyFont="1" applyFill="1" applyBorder="1" applyAlignment="1">
      <alignment horizontal="right"/>
    </xf>
    <xf numFmtId="3" fontId="35" fillId="0" borderId="77" xfId="0" applyNumberFormat="1" applyFont="1" applyFill="1" applyBorder="1"/>
    <xf numFmtId="3" fontId="35" fillId="0" borderId="78" xfId="0" applyNumberFormat="1" applyFont="1" applyFill="1" applyBorder="1"/>
    <xf numFmtId="0" fontId="35" fillId="0" borderId="86" xfId="0" applyFont="1" applyFill="1" applyBorder="1"/>
    <xf numFmtId="0" fontId="35" fillId="0" borderId="87" xfId="0" applyFont="1" applyFill="1" applyBorder="1"/>
    <xf numFmtId="164" fontId="35" fillId="0" borderId="87" xfId="0" applyNumberFormat="1" applyFont="1" applyFill="1" applyBorder="1"/>
    <xf numFmtId="164" fontId="35" fillId="0" borderId="87" xfId="0" applyNumberFormat="1" applyFont="1" applyFill="1" applyBorder="1" applyAlignment="1">
      <alignment horizontal="right"/>
    </xf>
    <xf numFmtId="3" fontId="35" fillId="0" borderId="87" xfId="0" applyNumberFormat="1" applyFont="1" applyFill="1" applyBorder="1"/>
    <xf numFmtId="3" fontId="35" fillId="0" borderId="88" xfId="0" applyNumberFormat="1" applyFont="1" applyFill="1" applyBorder="1"/>
    <xf numFmtId="0" fontId="35" fillId="0" borderId="79" xfId="0" applyFont="1" applyFill="1" applyBorder="1"/>
    <xf numFmtId="0" fontId="35" fillId="0" borderId="80" xfId="0" applyFont="1" applyFill="1" applyBorder="1"/>
    <xf numFmtId="164" fontId="35" fillId="0" borderId="80" xfId="0" applyNumberFormat="1" applyFont="1" applyFill="1" applyBorder="1"/>
    <xf numFmtId="164" fontId="35" fillId="0" borderId="80" xfId="0" applyNumberFormat="1" applyFont="1" applyFill="1" applyBorder="1" applyAlignment="1">
      <alignment horizontal="right"/>
    </xf>
    <xf numFmtId="3" fontId="35" fillId="0" borderId="80" xfId="0" applyNumberFormat="1" applyFont="1" applyFill="1" applyBorder="1"/>
    <xf numFmtId="3" fontId="35" fillId="0" borderId="81" xfId="0" applyNumberFormat="1" applyFont="1" applyFill="1" applyBorder="1"/>
    <xf numFmtId="0" fontId="42" fillId="2" borderId="124" xfId="0" applyFont="1" applyFill="1" applyBorder="1"/>
    <xf numFmtId="3" fontId="42" fillId="2" borderId="126" xfId="0" applyNumberFormat="1" applyFont="1" applyFill="1" applyBorder="1"/>
    <xf numFmtId="9" fontId="42" fillId="2" borderId="71" xfId="0" applyNumberFormat="1" applyFont="1" applyFill="1" applyBorder="1"/>
    <xf numFmtId="3" fontId="42" fillId="2" borderId="58" xfId="0" applyNumberFormat="1" applyFont="1" applyFill="1" applyBorder="1"/>
    <xf numFmtId="9" fontId="35" fillId="0" borderId="125" xfId="0" applyNumberFormat="1" applyFont="1" applyFill="1" applyBorder="1"/>
    <xf numFmtId="9" fontId="35" fillId="0" borderId="77" xfId="0" applyNumberFormat="1" applyFont="1" applyFill="1" applyBorder="1"/>
    <xf numFmtId="9" fontId="35" fillId="0" borderId="80" xfId="0" applyNumberFormat="1" applyFont="1" applyFill="1" applyBorder="1"/>
    <xf numFmtId="0" fontId="42" fillId="11" borderId="21" xfId="0" applyFont="1" applyFill="1" applyBorder="1"/>
    <xf numFmtId="3" fontId="42" fillId="11" borderId="29" xfId="0" applyNumberFormat="1" applyFont="1" applyFill="1" applyBorder="1"/>
    <xf numFmtId="9" fontId="42" fillId="11" borderId="29" xfId="0" applyNumberFormat="1" applyFont="1" applyFill="1" applyBorder="1"/>
    <xf numFmtId="3" fontId="42" fillId="11" borderId="22" xfId="0" applyNumberFormat="1" applyFont="1" applyFill="1" applyBorder="1"/>
    <xf numFmtId="0" fontId="42" fillId="0" borderId="124" xfId="0" applyFont="1" applyFill="1" applyBorder="1"/>
    <xf numFmtId="0" fontId="35" fillId="5" borderId="12" xfId="0" applyFont="1" applyFill="1" applyBorder="1" applyAlignment="1">
      <alignment wrapText="1"/>
    </xf>
    <xf numFmtId="9" fontId="35" fillId="0" borderId="87" xfId="0" applyNumberFormat="1" applyFont="1" applyFill="1" applyBorder="1"/>
    <xf numFmtId="3" fontId="35" fillId="0" borderId="93" xfId="0" applyNumberFormat="1" applyFont="1" applyFill="1" applyBorder="1"/>
    <xf numFmtId="9" fontId="35" fillId="0" borderId="93" xfId="0" applyNumberFormat="1" applyFont="1" applyFill="1" applyBorder="1"/>
    <xf numFmtId="3" fontId="35" fillId="0" borderId="94" xfId="0" applyNumberFormat="1" applyFont="1" applyFill="1" applyBorder="1"/>
    <xf numFmtId="0" fontId="42" fillId="0" borderId="76" xfId="0" applyFont="1" applyFill="1" applyBorder="1"/>
    <xf numFmtId="0" fontId="42" fillId="0" borderId="86" xfId="0" applyFont="1" applyFill="1" applyBorder="1"/>
    <xf numFmtId="0" fontId="42" fillId="0" borderId="129" xfId="0" applyFont="1" applyFill="1" applyBorder="1"/>
    <xf numFmtId="0" fontId="42" fillId="2" borderId="125" xfId="0" applyFont="1" applyFill="1" applyBorder="1"/>
    <xf numFmtId="3" fontId="42" fillId="2" borderId="0" xfId="0" applyNumberFormat="1" applyFont="1" applyFill="1" applyBorder="1"/>
    <xf numFmtId="3" fontId="42" fillId="2" borderId="18" xfId="0" applyNumberFormat="1" applyFont="1" applyFill="1" applyBorder="1"/>
    <xf numFmtId="0" fontId="3" fillId="2" borderId="124" xfId="79" applyFont="1" applyFill="1" applyBorder="1" applyAlignment="1">
      <alignment horizontal="left"/>
    </xf>
    <xf numFmtId="3" fontId="3" fillId="2" borderId="93" xfId="80" applyNumberFormat="1" applyFont="1" applyFill="1" applyBorder="1"/>
    <xf numFmtId="3" fontId="3" fillId="2" borderId="94" xfId="80" applyNumberFormat="1" applyFont="1" applyFill="1" applyBorder="1"/>
    <xf numFmtId="9" fontId="3" fillId="2" borderId="92" xfId="80" applyNumberFormat="1" applyFont="1" applyFill="1" applyBorder="1"/>
    <xf numFmtId="9" fontId="3" fillId="2" borderId="93" xfId="80" applyNumberFormat="1" applyFont="1" applyFill="1" applyBorder="1"/>
    <xf numFmtId="9" fontId="3" fillId="2" borderId="94" xfId="80" applyNumberFormat="1" applyFont="1" applyFill="1" applyBorder="1"/>
    <xf numFmtId="9" fontId="35" fillId="0" borderId="78" xfId="0" applyNumberFormat="1" applyFont="1" applyFill="1" applyBorder="1"/>
    <xf numFmtId="9" fontId="35" fillId="0" borderId="81" xfId="0" applyNumberFormat="1" applyFont="1" applyFill="1" applyBorder="1"/>
    <xf numFmtId="0" fontId="42" fillId="0" borderId="107" xfId="0" applyFont="1" applyFill="1" applyBorder="1"/>
    <xf numFmtId="0" fontId="42" fillId="0" borderId="106" xfId="0" applyFont="1" applyFill="1" applyBorder="1" applyAlignment="1">
      <alignment horizontal="left" indent="1"/>
    </xf>
    <xf numFmtId="9" fontId="35" fillId="0" borderId="99" xfId="0" applyNumberFormat="1" applyFont="1" applyFill="1" applyBorder="1"/>
    <xf numFmtId="9" fontId="35" fillId="0" borderId="97" xfId="0" applyNumberFormat="1" applyFont="1" applyFill="1" applyBorder="1"/>
    <xf numFmtId="3" fontId="35" fillId="0" borderId="76" xfId="0" applyNumberFormat="1" applyFont="1" applyFill="1" applyBorder="1"/>
    <xf numFmtId="3" fontId="35" fillId="0" borderId="79" xfId="0" applyNumberFormat="1" applyFont="1" applyFill="1" applyBorder="1"/>
    <xf numFmtId="9" fontId="35" fillId="0" borderId="103" xfId="0" applyNumberFormat="1" applyFont="1" applyFill="1" applyBorder="1"/>
    <xf numFmtId="9" fontId="35" fillId="0" borderId="102" xfId="0" applyNumberFormat="1" applyFont="1" applyFill="1" applyBorder="1"/>
    <xf numFmtId="173" fontId="42" fillId="4" borderId="130" xfId="0" applyNumberFormat="1" applyFont="1" applyFill="1" applyBorder="1" applyAlignment="1">
      <alignment horizontal="center"/>
    </xf>
    <xf numFmtId="0" fontId="0" fillId="0" borderId="131" xfId="0" applyBorder="1" applyAlignment="1"/>
    <xf numFmtId="173" fontId="42" fillId="4" borderId="131" xfId="0" applyNumberFormat="1" applyFont="1" applyFill="1" applyBorder="1" applyAlignment="1">
      <alignment horizontal="center"/>
    </xf>
    <xf numFmtId="0" fontId="0" fillId="0" borderId="131" xfId="0" applyBorder="1" applyAlignment="1">
      <alignment horizontal="center"/>
    </xf>
    <xf numFmtId="173" fontId="35" fillId="0" borderId="132" xfId="0" applyNumberFormat="1" applyFont="1" applyBorder="1" applyAlignment="1">
      <alignment horizontal="right"/>
    </xf>
    <xf numFmtId="0" fontId="0" fillId="0" borderId="133" xfId="0" applyBorder="1" applyAlignment="1">
      <alignment horizontal="right"/>
    </xf>
    <xf numFmtId="173" fontId="35" fillId="0" borderId="133" xfId="0" applyNumberFormat="1" applyFont="1" applyBorder="1" applyAlignment="1">
      <alignment horizontal="right"/>
    </xf>
    <xf numFmtId="173" fontId="35" fillId="0" borderId="133" xfId="0" applyNumberFormat="1" applyFont="1" applyBorder="1" applyAlignment="1">
      <alignment horizontal="right" wrapText="1"/>
    </xf>
    <xf numFmtId="0" fontId="0" fillId="0" borderId="133" xfId="0" applyBorder="1" applyAlignment="1">
      <alignment horizontal="right" wrapText="1"/>
    </xf>
    <xf numFmtId="175" fontId="35" fillId="0" borderId="132" xfId="0" applyNumberFormat="1" applyFont="1" applyBorder="1" applyAlignment="1">
      <alignment horizontal="right"/>
    </xf>
    <xf numFmtId="175" fontId="35" fillId="0" borderId="133" xfId="0" applyNumberFormat="1" applyFont="1" applyBorder="1" applyAlignment="1">
      <alignment horizontal="right"/>
    </xf>
    <xf numFmtId="173" fontId="35" fillId="0" borderId="134" xfId="0" applyNumberFormat="1" applyFont="1" applyBorder="1" applyAlignment="1">
      <alignment horizontal="right"/>
    </xf>
    <xf numFmtId="0" fontId="0" fillId="0" borderId="135" xfId="0" applyBorder="1" applyAlignment="1">
      <alignment horizontal="right"/>
    </xf>
    <xf numFmtId="173" fontId="35" fillId="0" borderId="135" xfId="0" applyNumberFormat="1" applyFont="1" applyBorder="1" applyAlignment="1">
      <alignment horizontal="right"/>
    </xf>
    <xf numFmtId="0" fontId="42" fillId="2" borderId="103" xfId="0" applyFont="1" applyFill="1" applyBorder="1" applyAlignment="1">
      <alignment horizontal="center" vertical="center"/>
    </xf>
    <xf numFmtId="0" fontId="61" fillId="2" borderId="102" xfId="0" applyFont="1" applyFill="1" applyBorder="1" applyAlignment="1">
      <alignment horizontal="center" vertical="center" wrapText="1"/>
    </xf>
    <xf numFmtId="174" fontId="35" fillId="2" borderId="103" xfId="0" applyNumberFormat="1" applyFont="1" applyFill="1" applyBorder="1" applyAlignment="1"/>
    <xf numFmtId="174" fontId="35" fillId="0" borderId="101" xfId="0" applyNumberFormat="1" applyFont="1" applyBorder="1"/>
    <xf numFmtId="174" fontId="35" fillId="0" borderId="137" xfId="0" applyNumberFormat="1" applyFont="1" applyBorder="1"/>
    <xf numFmtId="173" fontId="42" fillId="4" borderId="103" xfId="0" applyNumberFormat="1" applyFont="1" applyFill="1" applyBorder="1" applyAlignment="1"/>
    <xf numFmtId="173" fontId="35" fillId="0" borderId="101" xfId="0" applyNumberFormat="1" applyFont="1" applyBorder="1"/>
    <xf numFmtId="173" fontId="35" fillId="0" borderId="102" xfId="0" applyNumberFormat="1" applyFont="1" applyBorder="1"/>
    <xf numFmtId="173" fontId="42" fillId="2" borderId="103" xfId="0" applyNumberFormat="1" applyFont="1" applyFill="1" applyBorder="1" applyAlignment="1"/>
    <xf numFmtId="173" fontId="35" fillId="0" borderId="137" xfId="0" applyNumberFormat="1" applyFont="1" applyBorder="1"/>
    <xf numFmtId="173" fontId="35" fillId="0" borderId="103" xfId="0" applyNumberFormat="1" applyFont="1" applyBorder="1"/>
    <xf numFmtId="173" fontId="42" fillId="4" borderId="138" xfId="0" applyNumberFormat="1" applyFont="1" applyFill="1" applyBorder="1" applyAlignment="1">
      <alignment horizontal="center"/>
    </xf>
    <xf numFmtId="173" fontId="35" fillId="0" borderId="139" xfId="0" applyNumberFormat="1" applyFont="1" applyBorder="1" applyAlignment="1">
      <alignment horizontal="right"/>
    </xf>
    <xf numFmtId="175" fontId="35" fillId="0" borderId="139" xfId="0" applyNumberFormat="1" applyFont="1" applyBorder="1" applyAlignment="1">
      <alignment horizontal="right"/>
    </xf>
    <xf numFmtId="173" fontId="35" fillId="0" borderId="140" xfId="0" applyNumberFormat="1" applyFont="1" applyBorder="1" applyAlignment="1">
      <alignment horizontal="right"/>
    </xf>
    <xf numFmtId="0" fontId="0" fillId="0" borderId="136" xfId="0" applyBorder="1"/>
    <xf numFmtId="173" fontId="42" fillId="4" borderId="82" xfId="0" applyNumberFormat="1" applyFont="1" applyFill="1" applyBorder="1" applyAlignment="1">
      <alignment horizontal="center"/>
    </xf>
    <xf numFmtId="173" fontId="35" fillId="0" borderId="84" xfId="0" applyNumberFormat="1" applyFont="1" applyBorder="1" applyAlignment="1">
      <alignment horizontal="right"/>
    </xf>
    <xf numFmtId="175" fontId="35" fillId="0" borderId="84" xfId="0" applyNumberFormat="1" applyFont="1" applyBorder="1" applyAlignment="1">
      <alignment horizontal="right"/>
    </xf>
    <xf numFmtId="173" fontId="35" fillId="0" borderId="95" xfId="0" applyNumberFormat="1" applyFont="1" applyBorder="1" applyAlignment="1">
      <alignment horizontal="right"/>
    </xf>
    <xf numFmtId="0" fontId="35" fillId="2" borderId="58" xfId="0" applyFont="1" applyFill="1" applyBorder="1" applyAlignment="1">
      <alignment vertical="center"/>
    </xf>
    <xf numFmtId="0" fontId="34" fillId="2" borderId="17" xfId="26" applyNumberFormat="1" applyFont="1" applyFill="1" applyBorder="1"/>
    <xf numFmtId="0" fontId="34" fillId="2" borderId="0" xfId="26" applyNumberFormat="1" applyFont="1" applyFill="1" applyBorder="1"/>
    <xf numFmtId="0" fontId="34" fillId="2" borderId="18" xfId="26" applyNumberFormat="1" applyFont="1" applyFill="1" applyBorder="1" applyAlignment="1">
      <alignment horizontal="right"/>
    </xf>
    <xf numFmtId="169" fontId="35" fillId="0" borderId="77" xfId="0" applyNumberFormat="1" applyFont="1" applyFill="1" applyBorder="1"/>
    <xf numFmtId="169" fontId="35" fillId="0" borderId="80" xfId="0" applyNumberFormat="1" applyFont="1" applyFill="1" applyBorder="1"/>
    <xf numFmtId="0" fontId="42" fillId="0" borderId="79" xfId="0" applyFont="1" applyFill="1" applyBorder="1"/>
    <xf numFmtId="0" fontId="34" fillId="2" borderId="33" xfId="0" applyFont="1" applyFill="1" applyBorder="1" applyAlignment="1">
      <alignment horizontal="center" vertical="top"/>
    </xf>
    <xf numFmtId="0" fontId="35" fillId="2" borderId="33" xfId="0" applyFont="1" applyFill="1" applyBorder="1" applyAlignment="1">
      <alignment horizontal="center" vertical="top" wrapText="1"/>
    </xf>
    <xf numFmtId="49" fontId="34" fillId="2" borderId="33" xfId="0" applyNumberFormat="1" applyFont="1" applyFill="1" applyBorder="1" applyAlignment="1">
      <alignment horizontal="center" vertical="top"/>
    </xf>
    <xf numFmtId="0" fontId="34" fillId="2" borderId="33" xfId="0" applyFont="1" applyFill="1" applyBorder="1" applyAlignment="1">
      <alignment horizontal="center" vertical="center"/>
    </xf>
    <xf numFmtId="0" fontId="34" fillId="2" borderId="17" xfId="0" applyNumberFormat="1" applyFont="1" applyFill="1" applyBorder="1" applyAlignment="1">
      <alignment horizontal="left"/>
    </xf>
    <xf numFmtId="0" fontId="34" fillId="2" borderId="18" xfId="0" applyNumberFormat="1" applyFont="1" applyFill="1" applyBorder="1" applyAlignment="1">
      <alignment horizontal="left"/>
    </xf>
    <xf numFmtId="0" fontId="34" fillId="2" borderId="0" xfId="0" applyNumberFormat="1" applyFont="1" applyFill="1" applyBorder="1" applyAlignment="1">
      <alignment horizontal="left"/>
    </xf>
    <xf numFmtId="0" fontId="46" fillId="2" borderId="18" xfId="0" applyNumberFormat="1" applyFont="1" applyFill="1" applyBorder="1" applyAlignment="1">
      <alignment horizontal="center" vertical="top"/>
    </xf>
    <xf numFmtId="3" fontId="34" fillId="2" borderId="18" xfId="0" applyNumberFormat="1" applyFont="1" applyFill="1" applyBorder="1" applyAlignment="1">
      <alignment horizontal="center" vertical="top"/>
    </xf>
    <xf numFmtId="3" fontId="12" fillId="0" borderId="128" xfId="0" applyNumberFormat="1" applyFont="1" applyBorder="1"/>
    <xf numFmtId="166" fontId="12" fillId="0" borderId="128" xfId="0" applyNumberFormat="1" applyFont="1" applyBorder="1"/>
    <xf numFmtId="166" fontId="12" fillId="0" borderId="91" xfId="0" applyNumberFormat="1" applyFont="1" applyBorder="1"/>
    <xf numFmtId="166" fontId="5" fillId="0" borderId="128" xfId="0" applyNumberFormat="1" applyFont="1" applyBorder="1" applyAlignment="1">
      <alignment horizontal="right"/>
    </xf>
    <xf numFmtId="166" fontId="5" fillId="0" borderId="91" xfId="0" applyNumberFormat="1" applyFont="1" applyBorder="1" applyAlignment="1">
      <alignment horizontal="right"/>
    </xf>
    <xf numFmtId="3" fontId="5" fillId="0" borderId="128" xfId="0" applyNumberFormat="1" applyFont="1" applyBorder="1" applyAlignment="1">
      <alignment horizontal="right"/>
    </xf>
    <xf numFmtId="177" fontId="5" fillId="0" borderId="128" xfId="0" applyNumberFormat="1" applyFont="1" applyBorder="1" applyAlignment="1">
      <alignment horizontal="right"/>
    </xf>
    <xf numFmtId="4" fontId="5" fillId="0" borderId="128" xfId="0" applyNumberFormat="1" applyFont="1" applyBorder="1" applyAlignment="1">
      <alignment horizontal="right"/>
    </xf>
    <xf numFmtId="3" fontId="5" fillId="0" borderId="128" xfId="0" applyNumberFormat="1" applyFont="1" applyBorder="1"/>
    <xf numFmtId="3" fontId="11" fillId="0" borderId="90" xfId="0" applyNumberFormat="1" applyFont="1" applyBorder="1" applyAlignment="1">
      <alignment horizontal="center"/>
    </xf>
    <xf numFmtId="3" fontId="12" fillId="0" borderId="128" xfId="0" applyNumberFormat="1" applyFont="1" applyBorder="1" applyAlignment="1">
      <alignment horizontal="right"/>
    </xf>
    <xf numFmtId="166" fontId="12" fillId="0" borderId="128" xfId="0" applyNumberFormat="1" applyFont="1" applyBorder="1" applyAlignment="1">
      <alignment horizontal="right"/>
    </xf>
    <xf numFmtId="166" fontId="12" fillId="0" borderId="91" xfId="0" applyNumberFormat="1" applyFont="1" applyBorder="1" applyAlignment="1">
      <alignment horizontal="right"/>
    </xf>
    <xf numFmtId="166" fontId="11" fillId="0" borderId="91" xfId="0" applyNumberFormat="1" applyFont="1" applyBorder="1" applyAlignment="1">
      <alignment horizontal="right"/>
    </xf>
    <xf numFmtId="166" fontId="12" fillId="0" borderId="18" xfId="0" applyNumberFormat="1" applyFont="1" applyBorder="1"/>
    <xf numFmtId="166" fontId="5" fillId="0" borderId="18" xfId="0" applyNumberFormat="1" applyFont="1" applyBorder="1" applyAlignment="1">
      <alignment horizontal="right"/>
    </xf>
    <xf numFmtId="3" fontId="11" fillId="0" borderId="33" xfId="0" applyNumberFormat="1" applyFont="1" applyBorder="1" applyAlignment="1">
      <alignment horizontal="center"/>
    </xf>
    <xf numFmtId="166" fontId="12" fillId="0" borderId="18" xfId="0" applyNumberFormat="1" applyFont="1" applyBorder="1" applyAlignment="1">
      <alignment horizontal="right"/>
    </xf>
    <xf numFmtId="3" fontId="35" fillId="0" borderId="128" xfId="0" applyNumberFormat="1" applyFont="1" applyBorder="1" applyAlignment="1">
      <alignment horizontal="right"/>
    </xf>
    <xf numFmtId="0" fontId="5" fillId="0" borderId="128" xfId="0" applyFont="1" applyBorder="1"/>
    <xf numFmtId="3" fontId="35" fillId="0" borderId="128" xfId="0" applyNumberFormat="1" applyFont="1" applyBorder="1"/>
    <xf numFmtId="9" fontId="35" fillId="0" borderId="128" xfId="0" applyNumberFormat="1" applyFont="1" applyBorder="1"/>
    <xf numFmtId="166" fontId="35" fillId="0" borderId="128" xfId="0" applyNumberFormat="1" applyFont="1" applyBorder="1"/>
    <xf numFmtId="166" fontId="35" fillId="0" borderId="91" xfId="0" applyNumberFormat="1" applyFont="1" applyBorder="1"/>
    <xf numFmtId="166" fontId="35" fillId="0" borderId="18" xfId="0" applyNumberFormat="1" applyFont="1" applyBorder="1"/>
    <xf numFmtId="49" fontId="3" fillId="2" borderId="33" xfId="26" applyNumberFormat="1" applyFont="1" applyFill="1" applyBorder="1" applyAlignment="1">
      <alignment horizontal="left" vertical="top"/>
    </xf>
    <xf numFmtId="168" fontId="3" fillId="2" borderId="17" xfId="26" applyNumberFormat="1" applyFont="1" applyFill="1" applyBorder="1" applyAlignment="1">
      <alignment horizontal="left" vertical="top"/>
    </xf>
    <xf numFmtId="168" fontId="3" fillId="2" borderId="0" xfId="26" applyNumberFormat="1" applyFont="1" applyFill="1" applyBorder="1" applyAlignment="1">
      <alignment horizontal="left" vertical="top"/>
    </xf>
    <xf numFmtId="168" fontId="3" fillId="2" borderId="18" xfId="26" applyNumberFormat="1" applyFont="1" applyFill="1" applyBorder="1" applyAlignment="1">
      <alignment horizontal="left" vertical="top"/>
    </xf>
    <xf numFmtId="168" fontId="3" fillId="2" borderId="33" xfId="26" applyNumberFormat="1" applyFont="1" applyFill="1" applyBorder="1" applyAlignment="1">
      <alignment horizontal="left" vertical="top" wrapText="1"/>
    </xf>
    <xf numFmtId="168" fontId="3" fillId="2" borderId="33" xfId="26" applyNumberFormat="1" applyFont="1" applyFill="1" applyBorder="1" applyAlignment="1">
      <alignment horizontal="left" vertical="top"/>
    </xf>
    <xf numFmtId="168" fontId="3" fillId="2" borderId="33" xfId="26" applyNumberFormat="1" applyFont="1" applyFill="1" applyBorder="1" applyAlignment="1">
      <alignment horizontal="left" vertical="top"/>
    </xf>
    <xf numFmtId="3" fontId="3" fillId="2" borderId="33" xfId="26" applyNumberFormat="1" applyFont="1" applyFill="1" applyBorder="1" applyAlignment="1">
      <alignment horizontal="center" vertical="top"/>
    </xf>
    <xf numFmtId="3" fontId="3" fillId="2" borderId="17" xfId="26" applyNumberFormat="1" applyFont="1" applyFill="1" applyBorder="1" applyAlignment="1">
      <alignment horizontal="left" vertical="center"/>
    </xf>
    <xf numFmtId="3" fontId="3" fillId="2" borderId="18" xfId="26" applyNumberFormat="1" applyFont="1" applyFill="1" applyBorder="1" applyAlignment="1">
      <alignment horizontal="left" vertical="center"/>
    </xf>
    <xf numFmtId="168" fontId="3" fillId="2" borderId="17" xfId="24" applyNumberFormat="1" applyFont="1" applyFill="1" applyBorder="1" applyAlignment="1">
      <alignment horizontal="left" vertical="center" wrapText="1"/>
    </xf>
    <xf numFmtId="168" fontId="3" fillId="2" borderId="0" xfId="24" applyNumberFormat="1" applyFont="1" applyFill="1" applyBorder="1" applyAlignment="1">
      <alignment horizontal="left" vertical="center" wrapText="1"/>
    </xf>
    <xf numFmtId="9" fontId="3" fillId="2" borderId="18" xfId="24" applyNumberFormat="1" applyFont="1" applyFill="1" applyBorder="1" applyAlignment="1">
      <alignment horizontal="left" vertical="center" wrapText="1"/>
    </xf>
    <xf numFmtId="166" fontId="3" fillId="2" borderId="18" xfId="24" applyNumberFormat="1" applyFont="1" applyFill="1" applyBorder="1" applyAlignment="1">
      <alignment horizontal="left" vertical="center" wrapText="1"/>
    </xf>
    <xf numFmtId="3" fontId="12" fillId="0" borderId="100" xfId="0" applyNumberFormat="1" applyFont="1" applyBorder="1"/>
    <xf numFmtId="166" fontId="12" fillId="0" borderId="100" xfId="0" applyNumberFormat="1" applyFont="1" applyBorder="1"/>
    <xf numFmtId="166" fontId="12" fillId="0" borderId="75" xfId="0" applyNumberFormat="1" applyFont="1" applyBorder="1"/>
    <xf numFmtId="3" fontId="35" fillId="0" borderId="100" xfId="0" applyNumberFormat="1" applyFont="1" applyBorder="1" applyAlignment="1">
      <alignment horizontal="right"/>
    </xf>
    <xf numFmtId="166" fontId="5" fillId="0" borderId="100" xfId="0" applyNumberFormat="1" applyFont="1" applyBorder="1" applyAlignment="1">
      <alignment horizontal="right"/>
    </xf>
    <xf numFmtId="166" fontId="5" fillId="0" borderId="75" xfId="0" applyNumberFormat="1" applyFont="1" applyBorder="1" applyAlignment="1">
      <alignment horizontal="right"/>
    </xf>
    <xf numFmtId="3" fontId="5" fillId="0" borderId="100" xfId="0" applyNumberFormat="1" applyFont="1" applyBorder="1" applyAlignment="1">
      <alignment horizontal="right"/>
    </xf>
    <xf numFmtId="177" fontId="5" fillId="0" borderId="100" xfId="0" applyNumberFormat="1" applyFont="1" applyBorder="1" applyAlignment="1">
      <alignment horizontal="right"/>
    </xf>
    <xf numFmtId="4" fontId="5" fillId="0" borderId="100" xfId="0" applyNumberFormat="1" applyFont="1" applyBorder="1" applyAlignment="1">
      <alignment horizontal="right"/>
    </xf>
    <xf numFmtId="0" fontId="5" fillId="0" borderId="100" xfId="0" applyFont="1" applyBorder="1"/>
    <xf numFmtId="3" fontId="5" fillId="0" borderId="100" xfId="0" applyNumberFormat="1" applyFont="1" applyBorder="1"/>
    <xf numFmtId="9" fontId="35" fillId="0" borderId="100" xfId="0" applyNumberFormat="1" applyFont="1" applyBorder="1"/>
    <xf numFmtId="3" fontId="11" fillId="0" borderId="74" xfId="0" applyNumberFormat="1" applyFont="1" applyBorder="1" applyAlignment="1">
      <alignment horizontal="center"/>
    </xf>
    <xf numFmtId="3" fontId="12" fillId="0" borderId="0" xfId="0" applyNumberFormat="1" applyFont="1" applyBorder="1"/>
    <xf numFmtId="166" fontId="12" fillId="0" borderId="0" xfId="0" applyNumberFormat="1" applyFont="1" applyBorder="1"/>
    <xf numFmtId="3" fontId="35" fillId="0" borderId="0" xfId="0" applyNumberFormat="1" applyFont="1" applyBorder="1" applyAlignment="1">
      <alignment horizontal="right"/>
    </xf>
    <xf numFmtId="166" fontId="5" fillId="0" borderId="0" xfId="0" applyNumberFormat="1" applyFont="1" applyBorder="1" applyAlignment="1">
      <alignment horizontal="right"/>
    </xf>
    <xf numFmtId="3" fontId="5" fillId="0" borderId="0" xfId="0" applyNumberFormat="1" applyFont="1" applyBorder="1" applyAlignment="1">
      <alignment horizontal="right"/>
    </xf>
    <xf numFmtId="177" fontId="5" fillId="0" borderId="0" xfId="0" applyNumberFormat="1" applyFont="1" applyBorder="1" applyAlignment="1">
      <alignment horizontal="right"/>
    </xf>
    <xf numFmtId="4" fontId="5" fillId="0" borderId="0" xfId="0" applyNumberFormat="1" applyFont="1" applyBorder="1" applyAlignment="1">
      <alignment horizontal="right"/>
    </xf>
    <xf numFmtId="0" fontId="5" fillId="0" borderId="0" xfId="0" applyFont="1" applyBorder="1"/>
    <xf numFmtId="3" fontId="5" fillId="0" borderId="0" xfId="0" applyNumberFormat="1" applyFont="1" applyBorder="1"/>
    <xf numFmtId="3" fontId="35" fillId="0" borderId="0" xfId="0" applyNumberFormat="1" applyFont="1" applyBorder="1"/>
    <xf numFmtId="9" fontId="35" fillId="0" borderId="0" xfId="0" applyNumberFormat="1" applyFont="1" applyBorder="1"/>
    <xf numFmtId="166" fontId="35" fillId="0" borderId="0" xfId="0" applyNumberFormat="1" applyFont="1" applyBorder="1"/>
    <xf numFmtId="3" fontId="12" fillId="0" borderId="0" xfId="0" applyNumberFormat="1" applyFont="1" applyBorder="1" applyAlignment="1">
      <alignment horizontal="right"/>
    </xf>
    <xf numFmtId="166" fontId="12" fillId="0" borderId="0" xfId="0" applyNumberFormat="1" applyFont="1" applyBorder="1" applyAlignment="1">
      <alignment horizontal="right"/>
    </xf>
    <xf numFmtId="49" fontId="3" fillId="0" borderId="74" xfId="0" applyNumberFormat="1" applyFont="1" applyBorder="1" applyAlignment="1">
      <alignment horizontal="center"/>
    </xf>
    <xf numFmtId="49" fontId="3" fillId="0" borderId="90" xfId="0" applyNumberFormat="1" applyFont="1" applyBorder="1" applyAlignment="1">
      <alignment horizontal="center"/>
    </xf>
    <xf numFmtId="49" fontId="3" fillId="0" borderId="33" xfId="0" applyNumberFormat="1" applyFont="1" applyBorder="1" applyAlignment="1">
      <alignment horizontal="center"/>
    </xf>
    <xf numFmtId="49" fontId="3" fillId="0" borderId="95" xfId="0" applyNumberFormat="1" applyFont="1" applyBorder="1" applyAlignment="1">
      <alignment horizontal="center"/>
    </xf>
    <xf numFmtId="3" fontId="35" fillId="0" borderId="105" xfId="0" applyNumberFormat="1" applyFont="1" applyBorder="1"/>
    <xf numFmtId="166" fontId="35" fillId="0" borderId="105" xfId="0" applyNumberFormat="1" applyFont="1" applyBorder="1"/>
    <xf numFmtId="166" fontId="35" fillId="0" borderId="96" xfId="0" applyNumberFormat="1" applyFont="1" applyBorder="1"/>
    <xf numFmtId="3" fontId="12" fillId="0" borderId="105" xfId="0" applyNumberFormat="1" applyFont="1" applyBorder="1" applyAlignment="1">
      <alignment horizontal="right"/>
    </xf>
    <xf numFmtId="166" fontId="12" fillId="0" borderId="105" xfId="0" applyNumberFormat="1" applyFont="1" applyBorder="1" applyAlignment="1">
      <alignment horizontal="right"/>
    </xf>
    <xf numFmtId="166" fontId="12" fillId="0" borderId="96" xfId="0" applyNumberFormat="1" applyFont="1" applyBorder="1" applyAlignment="1">
      <alignment horizontal="right"/>
    </xf>
    <xf numFmtId="3" fontId="5" fillId="0" borderId="105" xfId="0" applyNumberFormat="1" applyFont="1" applyBorder="1" applyAlignment="1">
      <alignment horizontal="right"/>
    </xf>
    <xf numFmtId="166" fontId="5" fillId="0" borderId="105" xfId="0" applyNumberFormat="1" applyFont="1" applyBorder="1" applyAlignment="1">
      <alignment horizontal="right"/>
    </xf>
    <xf numFmtId="166" fontId="5" fillId="0" borderId="96" xfId="0" applyNumberFormat="1" applyFont="1" applyBorder="1" applyAlignment="1">
      <alignment horizontal="right"/>
    </xf>
    <xf numFmtId="177" fontId="5" fillId="0" borderId="105" xfId="0" applyNumberFormat="1" applyFont="1" applyBorder="1" applyAlignment="1">
      <alignment horizontal="right"/>
    </xf>
    <xf numFmtId="4" fontId="5" fillId="0" borderId="105" xfId="0" applyNumberFormat="1" applyFont="1" applyBorder="1" applyAlignment="1">
      <alignment horizontal="right"/>
    </xf>
    <xf numFmtId="0" fontId="5" fillId="0" borderId="105" xfId="0" applyFont="1" applyBorder="1"/>
    <xf numFmtId="3" fontId="5" fillId="0" borderId="105" xfId="0" applyNumberFormat="1" applyFont="1" applyBorder="1"/>
    <xf numFmtId="9" fontId="35" fillId="0" borderId="105" xfId="0" applyNumberFormat="1" applyFont="1" applyBorder="1"/>
    <xf numFmtId="3" fontId="11" fillId="0" borderId="95" xfId="0" applyNumberFormat="1" applyFont="1" applyBorder="1" applyAlignment="1">
      <alignment horizontal="center"/>
    </xf>
    <xf numFmtId="0" fontId="32" fillId="2" borderId="33" xfId="0" applyFont="1" applyFill="1" applyBorder="1" applyAlignment="1">
      <alignment vertical="center" wrapText="1"/>
    </xf>
    <xf numFmtId="0" fontId="34" fillId="2" borderId="17" xfId="26" applyNumberFormat="1" applyFont="1" applyFill="1" applyBorder="1" applyAlignment="1">
      <alignment horizontal="right"/>
    </xf>
    <xf numFmtId="0" fontId="34" fillId="2" borderId="0" xfId="26" applyNumberFormat="1" applyFont="1" applyFill="1" applyBorder="1" applyAlignment="1">
      <alignment horizontal="right"/>
    </xf>
    <xf numFmtId="169" fontId="35" fillId="0" borderId="87" xfId="0" applyNumberFormat="1" applyFont="1" applyFill="1" applyBorder="1"/>
    <xf numFmtId="9" fontId="35" fillId="0" borderId="88" xfId="0" applyNumberFormat="1" applyFont="1" applyFill="1" applyBorder="1"/>
    <xf numFmtId="3" fontId="34" fillId="2" borderId="70" xfId="76" applyNumberFormat="1" applyFont="1" applyFill="1" applyBorder="1" applyAlignment="1">
      <alignment horizontal="center" vertical="center"/>
    </xf>
    <xf numFmtId="3" fontId="34" fillId="2" borderId="53" xfId="76" applyNumberFormat="1" applyFont="1" applyFill="1" applyBorder="1" applyAlignment="1">
      <alignment horizontal="center" vertical="center"/>
    </xf>
    <xf numFmtId="0" fontId="32" fillId="0" borderId="76" xfId="76" applyFont="1" applyFill="1" applyBorder="1"/>
    <xf numFmtId="0" fontId="32" fillId="0" borderId="86" xfId="76" applyFont="1" applyFill="1" applyBorder="1"/>
    <xf numFmtId="0" fontId="32" fillId="0" borderId="79" xfId="76" applyFont="1" applyFill="1" applyBorder="1"/>
    <xf numFmtId="0" fontId="32" fillId="0" borderId="103" xfId="76" applyFont="1" applyFill="1" applyBorder="1"/>
    <xf numFmtId="0" fontId="32" fillId="0" borderId="101" xfId="76" applyFont="1" applyFill="1" applyBorder="1"/>
    <xf numFmtId="0" fontId="32" fillId="0" borderId="102" xfId="76" applyFont="1" applyFill="1" applyBorder="1"/>
    <xf numFmtId="0" fontId="34" fillId="2" borderId="93" xfId="76" applyNumberFormat="1" applyFont="1" applyFill="1" applyBorder="1" applyAlignment="1">
      <alignment horizontal="left"/>
    </xf>
    <xf numFmtId="0" fontId="34" fillId="2" borderId="141" xfId="76" applyNumberFormat="1" applyFont="1" applyFill="1" applyBorder="1" applyAlignment="1">
      <alignment horizontal="left"/>
    </xf>
    <xf numFmtId="3" fontId="32" fillId="0" borderId="76" xfId="76" applyNumberFormat="1" applyFont="1" applyFill="1" applyBorder="1"/>
    <xf numFmtId="3" fontId="32" fillId="0" borderId="77" xfId="76" applyNumberFormat="1" applyFont="1" applyFill="1" applyBorder="1"/>
    <xf numFmtId="3" fontId="32" fillId="0" borderId="86" xfId="76" applyNumberFormat="1" applyFont="1" applyFill="1" applyBorder="1"/>
    <xf numFmtId="3" fontId="32" fillId="0" borderId="87" xfId="76" applyNumberFormat="1" applyFont="1" applyFill="1" applyBorder="1"/>
    <xf numFmtId="3" fontId="32" fillId="0" borderId="79" xfId="76" applyNumberFormat="1" applyFont="1" applyFill="1" applyBorder="1"/>
    <xf numFmtId="3" fontId="32" fillId="0" borderId="80" xfId="76" applyNumberFormat="1" applyFont="1" applyFill="1" applyBorder="1"/>
    <xf numFmtId="9" fontId="32" fillId="0" borderId="103" xfId="76" applyNumberFormat="1" applyFont="1" applyFill="1" applyBorder="1"/>
    <xf numFmtId="9" fontId="32" fillId="0" borderId="101" xfId="76" applyNumberFormat="1" applyFont="1" applyFill="1" applyBorder="1"/>
    <xf numFmtId="9" fontId="32" fillId="0" borderId="102" xfId="76" applyNumberFormat="1" applyFont="1" applyFill="1" applyBorder="1"/>
    <xf numFmtId="0" fontId="34" fillId="2" borderId="92" xfId="76" applyNumberFormat="1" applyFont="1" applyFill="1" applyBorder="1" applyAlignment="1">
      <alignment horizontal="left"/>
    </xf>
    <xf numFmtId="0" fontId="34" fillId="2" borderId="94" xfId="76" applyNumberFormat="1" applyFont="1" applyFill="1" applyBorder="1" applyAlignment="1">
      <alignment horizontal="left"/>
    </xf>
    <xf numFmtId="3" fontId="32" fillId="0" borderId="78" xfId="76" applyNumberFormat="1" applyFont="1" applyFill="1" applyBorder="1"/>
    <xf numFmtId="3" fontId="32" fillId="0" borderId="88" xfId="76" applyNumberFormat="1" applyFont="1" applyFill="1" applyBorder="1"/>
    <xf numFmtId="3" fontId="32" fillId="0" borderId="81" xfId="76" applyNumberFormat="1" applyFont="1" applyFill="1" applyBorder="1"/>
  </cellXfs>
  <cellStyles count="99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8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" xfId="83" builtinId="5"/>
    <cellStyle name="Procenta 10" xfId="84"/>
    <cellStyle name="Procenta 11" xfId="85"/>
    <cellStyle name="Procenta 2" xfId="86"/>
    <cellStyle name="Procenta 2 2" xfId="87"/>
    <cellStyle name="Procenta 2 2 2" xfId="88"/>
    <cellStyle name="Procenta 2 3" xfId="89"/>
    <cellStyle name="Procenta 3" xfId="90"/>
    <cellStyle name="Procenta 3 2" xfId="91"/>
    <cellStyle name="Procenta 4" xfId="92"/>
    <cellStyle name="Procenta 5" xfId="93"/>
    <cellStyle name="Procenta 6" xfId="94"/>
    <cellStyle name="Procenta 7" xfId="95"/>
    <cellStyle name="Procenta 8" xfId="96"/>
    <cellStyle name="Procenta 9" xfId="97"/>
  </cellStyles>
  <dxfs count="74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lor rgb="FFFF000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Graf'!$B$4:$H$4</c:f>
              <c:numCache>
                <c:formatCode>General</c:formatCode>
                <c:ptCount val="7"/>
                <c:pt idx="0">
                  <c:v>0.16732439869434482</c:v>
                </c:pt>
                <c:pt idx="1">
                  <c:v>0.25621510317692148</c:v>
                </c:pt>
                <c:pt idx="2">
                  <c:v>0.28288359389691781</c:v>
                </c:pt>
                <c:pt idx="3">
                  <c:v>0.34897931109199559</c:v>
                </c:pt>
                <c:pt idx="4">
                  <c:v>0.29347701033066431</c:v>
                </c:pt>
                <c:pt idx="5">
                  <c:v>0.27060714855080398</c:v>
                </c:pt>
                <c:pt idx="6">
                  <c:v>0.23541458081552846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68716512"/>
        <c:axId val="1449431936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0.3647844907001655</c:v>
                </c:pt>
                <c:pt idx="1">
                  <c:v>0.3647844907001655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49427584"/>
        <c:axId val="1449430848"/>
      </c:scatterChart>
      <c:catAx>
        <c:axId val="17687165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4494319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4943193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768716512"/>
        <c:crosses val="autoZero"/>
        <c:crossBetween val="between"/>
      </c:valAx>
      <c:valAx>
        <c:axId val="1449427584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1449430848"/>
        <c:crosses val="max"/>
        <c:crossBetween val="midCat"/>
      </c:valAx>
      <c:valAx>
        <c:axId val="1449430848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449427584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186982254294491E-3"/>
          <c:y val="5.0152439238661207E-3"/>
          <c:w val="0.98971349332984049"/>
          <c:h val="0.90199495667231877"/>
        </c:manualLayout>
      </c:layout>
      <c:lineChart>
        <c:grouping val="standard"/>
        <c:varyColors val="0"/>
        <c:ser>
          <c:idx val="1"/>
          <c:order val="0"/>
          <c:tx>
            <c:strRef>
              <c:f>ALOS!$E$32</c:f>
              <c:strCache>
                <c:ptCount val="1"/>
                <c:pt idx="0">
                  <c:v>%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ALOS!$A$33:$A$45</c:f>
              <c:strCache>
                <c:ptCount val="13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  <c:pt idx="12">
                  <c:v>1-13</c:v>
                </c:pt>
              </c:strCache>
            </c:strRef>
          </c:cat>
          <c:val>
            <c:numRef>
              <c:f>ALOS!$E$33:$E$39</c:f>
              <c:numCache>
                <c:formatCode>0%</c:formatCode>
                <c:ptCount val="7"/>
                <c:pt idx="0">
                  <c:v>1.0921052631578947</c:v>
                </c:pt>
                <c:pt idx="1">
                  <c:v>0.87570621468926557</c:v>
                </c:pt>
                <c:pt idx="2">
                  <c:v>0.71386430678466073</c:v>
                </c:pt>
                <c:pt idx="3">
                  <c:v>0.75224416517055659</c:v>
                </c:pt>
                <c:pt idx="4">
                  <c:v>0.82222222222222219</c:v>
                </c:pt>
                <c:pt idx="5">
                  <c:v>0.84534270650263621</c:v>
                </c:pt>
                <c:pt idx="6">
                  <c:v>0.797427652733119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21D1-4C90-8F7E-BB3592EC0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9430304"/>
        <c:axId val="1449433024"/>
      </c:lineChart>
      <c:scatterChart>
        <c:scatterStyle val="smoothMarker"/>
        <c:varyColors val="0"/>
        <c:ser>
          <c:idx val="0"/>
          <c:order val="1"/>
          <c:tx>
            <c:strRef>
              <c:f>ALOS!$H$32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ALOS!$G$33:$G$34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ALOS!$H$33:$H$34</c:f>
              <c:numCache>
                <c:formatCode>0%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21D1-4C90-8F7E-BB3592EC0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49428128"/>
        <c:axId val="1449434112"/>
      </c:scatterChart>
      <c:catAx>
        <c:axId val="14494303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4494330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49433024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extTo"/>
        <c:crossAx val="1449430304"/>
        <c:crosses val="autoZero"/>
        <c:crossBetween val="between"/>
      </c:valAx>
      <c:valAx>
        <c:axId val="1449428128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1449434112"/>
        <c:crosses val="max"/>
        <c:crossBetween val="midCat"/>
      </c:valAx>
      <c:valAx>
        <c:axId val="1449434112"/>
        <c:scaling>
          <c:orientation val="minMax"/>
        </c:scaling>
        <c:delete val="1"/>
        <c:axPos val="r"/>
        <c:numFmt formatCode="0%" sourceLinked="1"/>
        <c:majorTickMark val="out"/>
        <c:minorTickMark val="none"/>
        <c:tickLblPos val="nextTo"/>
        <c:crossAx val="1449428128"/>
        <c:crosses val="max"/>
        <c:crossBetween val="midCat"/>
      </c:valAx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1333500</xdr:colOff>
      <xdr:row>28</xdr:row>
      <xdr:rowOff>163285</xdr:rowOff>
    </xdr:to>
    <xdr:graphicFrame macro="">
      <xdr:nvGraphicFramePr>
        <xdr:cNvPr id="63803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28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238" bestFit="1" customWidth="1"/>
    <col min="2" max="2" width="102.21875" style="238" bestFit="1" customWidth="1"/>
    <col min="3" max="3" width="16.109375" style="51" hidden="1" customWidth="1"/>
    <col min="4" max="16384" width="8.88671875" style="238"/>
  </cols>
  <sheetData>
    <row r="1" spans="1:3" ht="18.600000000000001" customHeight="1" thickBot="1" x14ac:dyDescent="0.4">
      <c r="A1" s="454" t="s">
        <v>119</v>
      </c>
      <c r="B1" s="454"/>
    </row>
    <row r="2" spans="1:3" ht="14.4" customHeight="1" thickBot="1" x14ac:dyDescent="0.35">
      <c r="A2" s="360" t="s">
        <v>280</v>
      </c>
      <c r="B2" s="50"/>
    </row>
    <row r="3" spans="1:3" ht="14.4" customHeight="1" thickBot="1" x14ac:dyDescent="0.35">
      <c r="A3" s="450" t="s">
        <v>163</v>
      </c>
      <c r="B3" s="451"/>
    </row>
    <row r="4" spans="1:3" ht="14.4" customHeight="1" x14ac:dyDescent="0.3">
      <c r="A4" s="253" t="str">
        <f t="shared" ref="A4:A8" si="0">HYPERLINK("#'"&amp;C4&amp;"'!A1",C4)</f>
        <v>Motivace</v>
      </c>
      <c r="B4" s="167" t="s">
        <v>136</v>
      </c>
      <c r="C4" s="51" t="s">
        <v>137</v>
      </c>
    </row>
    <row r="5" spans="1:3" ht="14.4" customHeight="1" x14ac:dyDescent="0.3">
      <c r="A5" s="254" t="str">
        <f t="shared" si="0"/>
        <v>HI</v>
      </c>
      <c r="B5" s="168" t="s">
        <v>157</v>
      </c>
      <c r="C5" s="51" t="s">
        <v>123</v>
      </c>
    </row>
    <row r="6" spans="1:3" ht="14.4" customHeight="1" x14ac:dyDescent="0.3">
      <c r="A6" s="255" t="str">
        <f t="shared" si="0"/>
        <v>HI Graf</v>
      </c>
      <c r="B6" s="169" t="s">
        <v>115</v>
      </c>
      <c r="C6" s="51" t="s">
        <v>124</v>
      </c>
    </row>
    <row r="7" spans="1:3" ht="14.4" customHeight="1" x14ac:dyDescent="0.3">
      <c r="A7" s="255" t="str">
        <f t="shared" si="0"/>
        <v>Man Tab</v>
      </c>
      <c r="B7" s="169" t="s">
        <v>282</v>
      </c>
      <c r="C7" s="51" t="s">
        <v>125</v>
      </c>
    </row>
    <row r="8" spans="1:3" ht="14.4" customHeight="1" thickBot="1" x14ac:dyDescent="0.35">
      <c r="A8" s="256" t="str">
        <f t="shared" si="0"/>
        <v>HV</v>
      </c>
      <c r="B8" s="170" t="s">
        <v>48</v>
      </c>
      <c r="C8" s="51" t="s">
        <v>53</v>
      </c>
    </row>
    <row r="9" spans="1:3" ht="14.4" customHeight="1" thickBot="1" x14ac:dyDescent="0.35">
      <c r="A9" s="171"/>
      <c r="B9" s="171"/>
    </row>
    <row r="10" spans="1:3" ht="14.4" customHeight="1" thickBot="1" x14ac:dyDescent="0.35">
      <c r="A10" s="452" t="s">
        <v>120</v>
      </c>
      <c r="B10" s="451"/>
    </row>
    <row r="11" spans="1:3" ht="14.4" customHeight="1" x14ac:dyDescent="0.3">
      <c r="A11" s="257" t="str">
        <f t="shared" ref="A11" si="1">HYPERLINK("#'"&amp;C11&amp;"'!A1",C11)</f>
        <v>Léky Žádanky</v>
      </c>
      <c r="B11" s="168" t="s">
        <v>158</v>
      </c>
      <c r="C11" s="51" t="s">
        <v>126</v>
      </c>
    </row>
    <row r="12" spans="1:3" ht="14.4" customHeight="1" x14ac:dyDescent="0.3">
      <c r="A12" s="255" t="str">
        <f t="shared" ref="A12:A18" si="2">HYPERLINK("#'"&amp;C12&amp;"'!A1",C12)</f>
        <v>LŽ Detail</v>
      </c>
      <c r="B12" s="169" t="s">
        <v>180</v>
      </c>
      <c r="C12" s="51" t="s">
        <v>127</v>
      </c>
    </row>
    <row r="13" spans="1:3" ht="28.8" customHeight="1" x14ac:dyDescent="0.3">
      <c r="A13" s="255" t="str">
        <f t="shared" si="2"/>
        <v>LŽ PL</v>
      </c>
      <c r="B13" s="639" t="s">
        <v>181</v>
      </c>
      <c r="C13" s="51" t="s">
        <v>167</v>
      </c>
    </row>
    <row r="14" spans="1:3" ht="14.4" customHeight="1" x14ac:dyDescent="0.3">
      <c r="A14" s="255" t="str">
        <f t="shared" si="2"/>
        <v>LŽ PL Detail</v>
      </c>
      <c r="B14" s="169" t="s">
        <v>2391</v>
      </c>
      <c r="C14" s="51" t="s">
        <v>168</v>
      </c>
    </row>
    <row r="15" spans="1:3" ht="14.4" customHeight="1" x14ac:dyDescent="0.3">
      <c r="A15" s="255" t="str">
        <f t="shared" si="2"/>
        <v>LŽ Statim</v>
      </c>
      <c r="B15" s="441" t="s">
        <v>232</v>
      </c>
      <c r="C15" s="51" t="s">
        <v>242</v>
      </c>
    </row>
    <row r="16" spans="1:3" ht="14.4" customHeight="1" x14ac:dyDescent="0.3">
      <c r="A16" s="257" t="str">
        <f t="shared" ref="A16" si="3">HYPERLINK("#'"&amp;C16&amp;"'!A1",C16)</f>
        <v>Materiál Žádanky</v>
      </c>
      <c r="B16" s="169" t="s">
        <v>159</v>
      </c>
      <c r="C16" s="51" t="s">
        <v>128</v>
      </c>
    </row>
    <row r="17" spans="1:3" ht="14.4" customHeight="1" x14ac:dyDescent="0.3">
      <c r="A17" s="255" t="str">
        <f t="shared" si="2"/>
        <v>MŽ Detail</v>
      </c>
      <c r="B17" s="169" t="s">
        <v>3006</v>
      </c>
      <c r="C17" s="51" t="s">
        <v>129</v>
      </c>
    </row>
    <row r="18" spans="1:3" ht="14.4" customHeight="1" thickBot="1" x14ac:dyDescent="0.35">
      <c r="A18" s="257" t="str">
        <f t="shared" si="2"/>
        <v>Osobní náklady</v>
      </c>
      <c r="B18" s="169" t="s">
        <v>117</v>
      </c>
      <c r="C18" s="51" t="s">
        <v>130</v>
      </c>
    </row>
    <row r="19" spans="1:3" ht="14.4" customHeight="1" thickBot="1" x14ac:dyDescent="0.35">
      <c r="A19" s="172"/>
      <c r="B19" s="172"/>
    </row>
    <row r="20" spans="1:3" ht="14.4" customHeight="1" thickBot="1" x14ac:dyDescent="0.35">
      <c r="A20" s="453" t="s">
        <v>121</v>
      </c>
      <c r="B20" s="451"/>
    </row>
    <row r="21" spans="1:3" ht="14.4" customHeight="1" x14ac:dyDescent="0.3">
      <c r="A21" s="255" t="str">
        <f t="shared" ref="A21:A28" si="4">HYPERLINK("#'"&amp;C21&amp;"'!A1",C21)</f>
        <v>ZV Vykáz.-H</v>
      </c>
      <c r="B21" s="169" t="s">
        <v>140</v>
      </c>
      <c r="C21" s="51" t="s">
        <v>138</v>
      </c>
    </row>
    <row r="22" spans="1:3" ht="14.4" customHeight="1" x14ac:dyDescent="0.3">
      <c r="A22" s="255" t="str">
        <f t="shared" si="4"/>
        <v>ZV Vykáz.-H Detail</v>
      </c>
      <c r="B22" s="169" t="s">
        <v>3908</v>
      </c>
      <c r="C22" s="51" t="s">
        <v>139</v>
      </c>
    </row>
    <row r="23" spans="1:3" ht="14.4" customHeight="1" x14ac:dyDescent="0.3">
      <c r="A23" s="258" t="str">
        <f t="shared" si="4"/>
        <v>CaseMix</v>
      </c>
      <c r="B23" s="169" t="s">
        <v>122</v>
      </c>
      <c r="C23" s="51" t="s">
        <v>131</v>
      </c>
    </row>
    <row r="24" spans="1:3" ht="14.4" customHeight="1" x14ac:dyDescent="0.3">
      <c r="A24" s="255" t="str">
        <f t="shared" si="4"/>
        <v>ALOS</v>
      </c>
      <c r="B24" s="169" t="s">
        <v>102</v>
      </c>
      <c r="C24" s="51" t="s">
        <v>73</v>
      </c>
    </row>
    <row r="25" spans="1:3" ht="14.4" customHeight="1" x14ac:dyDescent="0.3">
      <c r="A25" s="255" t="str">
        <f t="shared" si="4"/>
        <v>Total</v>
      </c>
      <c r="B25" s="169" t="s">
        <v>4058</v>
      </c>
      <c r="C25" s="51" t="s">
        <v>132</v>
      </c>
    </row>
    <row r="26" spans="1:3" ht="14.4" customHeight="1" x14ac:dyDescent="0.3">
      <c r="A26" s="255" t="str">
        <f t="shared" si="4"/>
        <v>ZV Vyžád.</v>
      </c>
      <c r="B26" s="169" t="s">
        <v>141</v>
      </c>
      <c r="C26" s="51" t="s">
        <v>135</v>
      </c>
    </row>
    <row r="27" spans="1:3" ht="14.4" customHeight="1" x14ac:dyDescent="0.3">
      <c r="A27" s="255" t="str">
        <f t="shared" si="4"/>
        <v>ZV Vyžád. Detail</v>
      </c>
      <c r="B27" s="169" t="s">
        <v>4744</v>
      </c>
      <c r="C27" s="51" t="s">
        <v>134</v>
      </c>
    </row>
    <row r="28" spans="1:3" ht="14.4" customHeight="1" x14ac:dyDescent="0.3">
      <c r="A28" s="255" t="str">
        <f t="shared" si="4"/>
        <v>OD TISS</v>
      </c>
      <c r="B28" s="169" t="s">
        <v>162</v>
      </c>
      <c r="C28" s="51" t="s">
        <v>133</v>
      </c>
    </row>
  </sheetData>
  <mergeCells count="4">
    <mergeCell ref="A3:B3"/>
    <mergeCell ref="A10:B10"/>
    <mergeCell ref="A20:B20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theme="0" tint="-0.249977111117893"/>
    <pageSetUpPr fitToPage="1"/>
  </sheetPr>
  <dimension ref="A1:M126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5.77734375" style="238" bestFit="1" customWidth="1"/>
    <col min="2" max="2" width="8.88671875" style="238" bestFit="1" customWidth="1"/>
    <col min="3" max="3" width="7" style="238" bestFit="1" customWidth="1"/>
    <col min="4" max="4" width="53.44140625" style="238" bestFit="1" customWidth="1"/>
    <col min="5" max="5" width="28.44140625" style="238" bestFit="1" customWidth="1"/>
    <col min="6" max="6" width="6.6640625" style="318" customWidth="1"/>
    <col min="7" max="7" width="10" style="318" customWidth="1"/>
    <col min="8" max="8" width="6.77734375" style="321" bestFit="1" customWidth="1"/>
    <col min="9" max="9" width="6.6640625" style="318" customWidth="1"/>
    <col min="10" max="10" width="10" style="318" customWidth="1"/>
    <col min="11" max="11" width="6.77734375" style="321" bestFit="1" customWidth="1"/>
    <col min="12" max="12" width="6.6640625" style="318" customWidth="1"/>
    <col min="13" max="13" width="10" style="318" customWidth="1"/>
    <col min="14" max="16384" width="8.88671875" style="238"/>
  </cols>
  <sheetData>
    <row r="1" spans="1:13" ht="18.600000000000001" customHeight="1" thickBot="1" x14ac:dyDescent="0.4">
      <c r="A1" s="492" t="s">
        <v>2391</v>
      </c>
      <c r="B1" s="492"/>
      <c r="C1" s="492"/>
      <c r="D1" s="492"/>
      <c r="E1" s="492"/>
      <c r="F1" s="492"/>
      <c r="G1" s="492"/>
      <c r="H1" s="492"/>
      <c r="I1" s="492"/>
      <c r="J1" s="492"/>
      <c r="K1" s="492"/>
      <c r="L1" s="454"/>
      <c r="M1" s="454"/>
    </row>
    <row r="2" spans="1:13" ht="14.4" customHeight="1" thickBot="1" x14ac:dyDescent="0.35">
      <c r="A2" s="360" t="s">
        <v>280</v>
      </c>
      <c r="B2" s="317"/>
      <c r="C2" s="317"/>
      <c r="D2" s="317"/>
      <c r="E2" s="317"/>
      <c r="F2" s="325"/>
      <c r="G2" s="325"/>
      <c r="H2" s="326"/>
      <c r="I2" s="325"/>
      <c r="J2" s="325"/>
      <c r="K2" s="326"/>
      <c r="L2" s="325"/>
    </row>
    <row r="3" spans="1:13" ht="14.4" customHeight="1" thickBot="1" x14ac:dyDescent="0.35">
      <c r="E3" s="95" t="s">
        <v>142</v>
      </c>
      <c r="F3" s="47">
        <f>SUBTOTAL(9,F6:F1048576)</f>
        <v>200.63340000000002</v>
      </c>
      <c r="G3" s="47">
        <f>SUBTOTAL(9,G6:G1048576)</f>
        <v>35920.874193496675</v>
      </c>
      <c r="H3" s="48">
        <f>IF(M3=0,0,G3/M3)</f>
        <v>2.522458793757433E-2</v>
      </c>
      <c r="I3" s="47">
        <f>SUBTOTAL(9,I6:I1048576)</f>
        <v>4324</v>
      </c>
      <c r="J3" s="47">
        <f>SUBTOTAL(9,J6:J1048576)</f>
        <v>1388121.1867667635</v>
      </c>
      <c r="K3" s="48">
        <f>IF(M3=0,0,J3/M3)</f>
        <v>0.97477541206242546</v>
      </c>
      <c r="L3" s="47">
        <f>SUBTOTAL(9,L6:L1048576)</f>
        <v>4524.6333999999997</v>
      </c>
      <c r="M3" s="49">
        <f>SUBTOTAL(9,M6:M1048576)</f>
        <v>1424042.0609602605</v>
      </c>
    </row>
    <row r="4" spans="1:13" ht="14.4" customHeight="1" thickBot="1" x14ac:dyDescent="0.35">
      <c r="A4" s="45"/>
      <c r="B4" s="45"/>
      <c r="C4" s="45"/>
      <c r="D4" s="45"/>
      <c r="E4" s="46"/>
      <c r="F4" s="496" t="s">
        <v>144</v>
      </c>
      <c r="G4" s="497"/>
      <c r="H4" s="498"/>
      <c r="I4" s="499" t="s">
        <v>143</v>
      </c>
      <c r="J4" s="497"/>
      <c r="K4" s="498"/>
      <c r="L4" s="500" t="s">
        <v>3</v>
      </c>
      <c r="M4" s="501"/>
    </row>
    <row r="5" spans="1:13" ht="14.4" customHeight="1" thickBot="1" x14ac:dyDescent="0.35">
      <c r="A5" s="627" t="s">
        <v>145</v>
      </c>
      <c r="B5" s="647" t="s">
        <v>146</v>
      </c>
      <c r="C5" s="647" t="s">
        <v>77</v>
      </c>
      <c r="D5" s="647" t="s">
        <v>147</v>
      </c>
      <c r="E5" s="647" t="s">
        <v>148</v>
      </c>
      <c r="F5" s="648" t="s">
        <v>15</v>
      </c>
      <c r="G5" s="648" t="s">
        <v>14</v>
      </c>
      <c r="H5" s="629" t="s">
        <v>149</v>
      </c>
      <c r="I5" s="628" t="s">
        <v>15</v>
      </c>
      <c r="J5" s="648" t="s">
        <v>14</v>
      </c>
      <c r="K5" s="629" t="s">
        <v>149</v>
      </c>
      <c r="L5" s="628" t="s">
        <v>15</v>
      </c>
      <c r="M5" s="649" t="s">
        <v>14</v>
      </c>
    </row>
    <row r="6" spans="1:13" ht="14.4" customHeight="1" x14ac:dyDescent="0.3">
      <c r="A6" s="609" t="s">
        <v>476</v>
      </c>
      <c r="B6" s="610" t="s">
        <v>2219</v>
      </c>
      <c r="C6" s="610" t="s">
        <v>1779</v>
      </c>
      <c r="D6" s="610" t="s">
        <v>1780</v>
      </c>
      <c r="E6" s="610" t="s">
        <v>1781</v>
      </c>
      <c r="F6" s="613"/>
      <c r="G6" s="613"/>
      <c r="H6" s="632">
        <v>0</v>
      </c>
      <c r="I6" s="613">
        <v>1690</v>
      </c>
      <c r="J6" s="613">
        <v>114591.13332708356</v>
      </c>
      <c r="K6" s="632">
        <v>1</v>
      </c>
      <c r="L6" s="613">
        <v>1690</v>
      </c>
      <c r="M6" s="614">
        <v>114591.13332708356</v>
      </c>
    </row>
    <row r="7" spans="1:13" ht="14.4" customHeight="1" x14ac:dyDescent="0.3">
      <c r="A7" s="615" t="s">
        <v>476</v>
      </c>
      <c r="B7" s="616" t="s">
        <v>2219</v>
      </c>
      <c r="C7" s="616" t="s">
        <v>1783</v>
      </c>
      <c r="D7" s="616" t="s">
        <v>1784</v>
      </c>
      <c r="E7" s="616" t="s">
        <v>2220</v>
      </c>
      <c r="F7" s="619"/>
      <c r="G7" s="619"/>
      <c r="H7" s="640">
        <v>0</v>
      </c>
      <c r="I7" s="619">
        <v>1</v>
      </c>
      <c r="J7" s="619">
        <v>154.30999999999997</v>
      </c>
      <c r="K7" s="640">
        <v>1</v>
      </c>
      <c r="L7" s="619">
        <v>1</v>
      </c>
      <c r="M7" s="620">
        <v>154.30999999999997</v>
      </c>
    </row>
    <row r="8" spans="1:13" ht="14.4" customHeight="1" x14ac:dyDescent="0.3">
      <c r="A8" s="615" t="s">
        <v>476</v>
      </c>
      <c r="B8" s="616" t="s">
        <v>2221</v>
      </c>
      <c r="C8" s="616" t="s">
        <v>1732</v>
      </c>
      <c r="D8" s="616" t="s">
        <v>1733</v>
      </c>
      <c r="E8" s="616" t="s">
        <v>2222</v>
      </c>
      <c r="F8" s="619"/>
      <c r="G8" s="619"/>
      <c r="H8" s="640">
        <v>0</v>
      </c>
      <c r="I8" s="619">
        <v>2</v>
      </c>
      <c r="J8" s="619">
        <v>265.28950582597946</v>
      </c>
      <c r="K8" s="640">
        <v>1</v>
      </c>
      <c r="L8" s="619">
        <v>2</v>
      </c>
      <c r="M8" s="620">
        <v>265.28950582597946</v>
      </c>
    </row>
    <row r="9" spans="1:13" ht="14.4" customHeight="1" x14ac:dyDescent="0.3">
      <c r="A9" s="615" t="s">
        <v>476</v>
      </c>
      <c r="B9" s="616" t="s">
        <v>2223</v>
      </c>
      <c r="C9" s="616" t="s">
        <v>1772</v>
      </c>
      <c r="D9" s="616" t="s">
        <v>2224</v>
      </c>
      <c r="E9" s="616" t="s">
        <v>2225</v>
      </c>
      <c r="F9" s="619"/>
      <c r="G9" s="619"/>
      <c r="H9" s="640">
        <v>0</v>
      </c>
      <c r="I9" s="619">
        <v>5</v>
      </c>
      <c r="J9" s="619">
        <v>1369.5</v>
      </c>
      <c r="K9" s="640">
        <v>1</v>
      </c>
      <c r="L9" s="619">
        <v>5</v>
      </c>
      <c r="M9" s="620">
        <v>1369.5</v>
      </c>
    </row>
    <row r="10" spans="1:13" ht="14.4" customHeight="1" x14ac:dyDescent="0.3">
      <c r="A10" s="615" t="s">
        <v>476</v>
      </c>
      <c r="B10" s="616" t="s">
        <v>2226</v>
      </c>
      <c r="C10" s="616" t="s">
        <v>1682</v>
      </c>
      <c r="D10" s="616" t="s">
        <v>1607</v>
      </c>
      <c r="E10" s="616" t="s">
        <v>2227</v>
      </c>
      <c r="F10" s="619"/>
      <c r="G10" s="619"/>
      <c r="H10" s="640">
        <v>0</v>
      </c>
      <c r="I10" s="619">
        <v>2</v>
      </c>
      <c r="J10" s="619">
        <v>147.88</v>
      </c>
      <c r="K10" s="640">
        <v>1</v>
      </c>
      <c r="L10" s="619">
        <v>2</v>
      </c>
      <c r="M10" s="620">
        <v>147.88</v>
      </c>
    </row>
    <row r="11" spans="1:13" ht="14.4" customHeight="1" x14ac:dyDescent="0.3">
      <c r="A11" s="615" t="s">
        <v>476</v>
      </c>
      <c r="B11" s="616" t="s">
        <v>2226</v>
      </c>
      <c r="C11" s="616" t="s">
        <v>1606</v>
      </c>
      <c r="D11" s="616" t="s">
        <v>1607</v>
      </c>
      <c r="E11" s="616" t="s">
        <v>2228</v>
      </c>
      <c r="F11" s="619"/>
      <c r="G11" s="619"/>
      <c r="H11" s="640">
        <v>0</v>
      </c>
      <c r="I11" s="619">
        <v>3</v>
      </c>
      <c r="J11" s="619">
        <v>338.91000000000008</v>
      </c>
      <c r="K11" s="640">
        <v>1</v>
      </c>
      <c r="L11" s="619">
        <v>3</v>
      </c>
      <c r="M11" s="620">
        <v>338.91000000000008</v>
      </c>
    </row>
    <row r="12" spans="1:13" ht="14.4" customHeight="1" x14ac:dyDescent="0.3">
      <c r="A12" s="615" t="s">
        <v>476</v>
      </c>
      <c r="B12" s="616" t="s">
        <v>2229</v>
      </c>
      <c r="C12" s="616" t="s">
        <v>1679</v>
      </c>
      <c r="D12" s="616" t="s">
        <v>2230</v>
      </c>
      <c r="E12" s="616" t="s">
        <v>2231</v>
      </c>
      <c r="F12" s="619"/>
      <c r="G12" s="619"/>
      <c r="H12" s="640">
        <v>0</v>
      </c>
      <c r="I12" s="619">
        <v>32</v>
      </c>
      <c r="J12" s="619">
        <v>14906.775227280057</v>
      </c>
      <c r="K12" s="640">
        <v>1</v>
      </c>
      <c r="L12" s="619">
        <v>32</v>
      </c>
      <c r="M12" s="620">
        <v>14906.775227280057</v>
      </c>
    </row>
    <row r="13" spans="1:13" ht="14.4" customHeight="1" x14ac:dyDescent="0.3">
      <c r="A13" s="615" t="s">
        <v>476</v>
      </c>
      <c r="B13" s="616" t="s">
        <v>2229</v>
      </c>
      <c r="C13" s="616" t="s">
        <v>1703</v>
      </c>
      <c r="D13" s="616" t="s">
        <v>2232</v>
      </c>
      <c r="E13" s="616" t="s">
        <v>2233</v>
      </c>
      <c r="F13" s="619"/>
      <c r="G13" s="619"/>
      <c r="H13" s="640">
        <v>0</v>
      </c>
      <c r="I13" s="619">
        <v>0</v>
      </c>
      <c r="J13" s="619">
        <v>-2.2737367544323206E-13</v>
      </c>
      <c r="K13" s="640">
        <v>1</v>
      </c>
      <c r="L13" s="619">
        <v>0</v>
      </c>
      <c r="M13" s="620">
        <v>-2.2737367544323206E-13</v>
      </c>
    </row>
    <row r="14" spans="1:13" ht="14.4" customHeight="1" x14ac:dyDescent="0.3">
      <c r="A14" s="615" t="s">
        <v>476</v>
      </c>
      <c r="B14" s="616" t="s">
        <v>2234</v>
      </c>
      <c r="C14" s="616" t="s">
        <v>1714</v>
      </c>
      <c r="D14" s="616" t="s">
        <v>1627</v>
      </c>
      <c r="E14" s="616" t="s">
        <v>2235</v>
      </c>
      <c r="F14" s="619"/>
      <c r="G14" s="619"/>
      <c r="H14" s="640">
        <v>0</v>
      </c>
      <c r="I14" s="619">
        <v>1</v>
      </c>
      <c r="J14" s="619">
        <v>98.650000000000034</v>
      </c>
      <c r="K14" s="640">
        <v>1</v>
      </c>
      <c r="L14" s="619">
        <v>1</v>
      </c>
      <c r="M14" s="620">
        <v>98.650000000000034</v>
      </c>
    </row>
    <row r="15" spans="1:13" ht="14.4" customHeight="1" x14ac:dyDescent="0.3">
      <c r="A15" s="615" t="s">
        <v>476</v>
      </c>
      <c r="B15" s="616" t="s">
        <v>2234</v>
      </c>
      <c r="C15" s="616" t="s">
        <v>1626</v>
      </c>
      <c r="D15" s="616" t="s">
        <v>1627</v>
      </c>
      <c r="E15" s="616" t="s">
        <v>2236</v>
      </c>
      <c r="F15" s="619"/>
      <c r="G15" s="619"/>
      <c r="H15" s="640">
        <v>0</v>
      </c>
      <c r="I15" s="619">
        <v>1</v>
      </c>
      <c r="J15" s="619">
        <v>49.32</v>
      </c>
      <c r="K15" s="640">
        <v>1</v>
      </c>
      <c r="L15" s="619">
        <v>1</v>
      </c>
      <c r="M15" s="620">
        <v>49.32</v>
      </c>
    </row>
    <row r="16" spans="1:13" ht="14.4" customHeight="1" x14ac:dyDescent="0.3">
      <c r="A16" s="615" t="s">
        <v>476</v>
      </c>
      <c r="B16" s="616" t="s">
        <v>2237</v>
      </c>
      <c r="C16" s="616" t="s">
        <v>1778</v>
      </c>
      <c r="D16" s="616" t="s">
        <v>1623</v>
      </c>
      <c r="E16" s="616" t="s">
        <v>2238</v>
      </c>
      <c r="F16" s="619"/>
      <c r="G16" s="619"/>
      <c r="H16" s="640">
        <v>0</v>
      </c>
      <c r="I16" s="619">
        <v>20</v>
      </c>
      <c r="J16" s="619">
        <v>65999.98989551625</v>
      </c>
      <c r="K16" s="640">
        <v>1</v>
      </c>
      <c r="L16" s="619">
        <v>20</v>
      </c>
      <c r="M16" s="620">
        <v>65999.98989551625</v>
      </c>
    </row>
    <row r="17" spans="1:13" ht="14.4" customHeight="1" x14ac:dyDescent="0.3">
      <c r="A17" s="615" t="s">
        <v>476</v>
      </c>
      <c r="B17" s="616" t="s">
        <v>2237</v>
      </c>
      <c r="C17" s="616" t="s">
        <v>1775</v>
      </c>
      <c r="D17" s="616" t="s">
        <v>1776</v>
      </c>
      <c r="E17" s="616" t="s">
        <v>2239</v>
      </c>
      <c r="F17" s="619"/>
      <c r="G17" s="619"/>
      <c r="H17" s="640">
        <v>0</v>
      </c>
      <c r="I17" s="619">
        <v>1</v>
      </c>
      <c r="J17" s="619">
        <v>1106.26</v>
      </c>
      <c r="K17" s="640">
        <v>1</v>
      </c>
      <c r="L17" s="619">
        <v>1</v>
      </c>
      <c r="M17" s="620">
        <v>1106.26</v>
      </c>
    </row>
    <row r="18" spans="1:13" ht="14.4" customHeight="1" x14ac:dyDescent="0.3">
      <c r="A18" s="615" t="s">
        <v>476</v>
      </c>
      <c r="B18" s="616" t="s">
        <v>2237</v>
      </c>
      <c r="C18" s="616" t="s">
        <v>1622</v>
      </c>
      <c r="D18" s="616" t="s">
        <v>1623</v>
      </c>
      <c r="E18" s="616" t="s">
        <v>2238</v>
      </c>
      <c r="F18" s="619"/>
      <c r="G18" s="619"/>
      <c r="H18" s="640">
        <v>0</v>
      </c>
      <c r="I18" s="619">
        <v>3</v>
      </c>
      <c r="J18" s="619">
        <v>9900</v>
      </c>
      <c r="K18" s="640">
        <v>1</v>
      </c>
      <c r="L18" s="619">
        <v>3</v>
      </c>
      <c r="M18" s="620">
        <v>9900</v>
      </c>
    </row>
    <row r="19" spans="1:13" ht="14.4" customHeight="1" x14ac:dyDescent="0.3">
      <c r="A19" s="615" t="s">
        <v>476</v>
      </c>
      <c r="B19" s="616" t="s">
        <v>2240</v>
      </c>
      <c r="C19" s="616" t="s">
        <v>1757</v>
      </c>
      <c r="D19" s="616" t="s">
        <v>1758</v>
      </c>
      <c r="E19" s="616" t="s">
        <v>2241</v>
      </c>
      <c r="F19" s="619"/>
      <c r="G19" s="619"/>
      <c r="H19" s="640">
        <v>0</v>
      </c>
      <c r="I19" s="619">
        <v>1</v>
      </c>
      <c r="J19" s="619">
        <v>70.039999999999935</v>
      </c>
      <c r="K19" s="640">
        <v>1</v>
      </c>
      <c r="L19" s="619">
        <v>1</v>
      </c>
      <c r="M19" s="620">
        <v>70.039999999999935</v>
      </c>
    </row>
    <row r="20" spans="1:13" ht="14.4" customHeight="1" x14ac:dyDescent="0.3">
      <c r="A20" s="615" t="s">
        <v>476</v>
      </c>
      <c r="B20" s="616" t="s">
        <v>2240</v>
      </c>
      <c r="C20" s="616" t="s">
        <v>507</v>
      </c>
      <c r="D20" s="616" t="s">
        <v>508</v>
      </c>
      <c r="E20" s="616" t="s">
        <v>2242</v>
      </c>
      <c r="F20" s="619">
        <v>2</v>
      </c>
      <c r="G20" s="619">
        <v>150.08000000000007</v>
      </c>
      <c r="H20" s="640">
        <v>1</v>
      </c>
      <c r="I20" s="619"/>
      <c r="J20" s="619"/>
      <c r="K20" s="640">
        <v>0</v>
      </c>
      <c r="L20" s="619">
        <v>2</v>
      </c>
      <c r="M20" s="620">
        <v>150.08000000000007</v>
      </c>
    </row>
    <row r="21" spans="1:13" ht="14.4" customHeight="1" x14ac:dyDescent="0.3">
      <c r="A21" s="615" t="s">
        <v>476</v>
      </c>
      <c r="B21" s="616" t="s">
        <v>2243</v>
      </c>
      <c r="C21" s="616" t="s">
        <v>1661</v>
      </c>
      <c r="D21" s="616" t="s">
        <v>1588</v>
      </c>
      <c r="E21" s="616" t="s">
        <v>2244</v>
      </c>
      <c r="F21" s="619"/>
      <c r="G21" s="619"/>
      <c r="H21" s="640">
        <v>0</v>
      </c>
      <c r="I21" s="619">
        <v>83</v>
      </c>
      <c r="J21" s="619">
        <v>10734.37287450568</v>
      </c>
      <c r="K21" s="640">
        <v>1</v>
      </c>
      <c r="L21" s="619">
        <v>83</v>
      </c>
      <c r="M21" s="620">
        <v>10734.37287450568</v>
      </c>
    </row>
    <row r="22" spans="1:13" ht="14.4" customHeight="1" x14ac:dyDescent="0.3">
      <c r="A22" s="615" t="s">
        <v>476</v>
      </c>
      <c r="B22" s="616" t="s">
        <v>2243</v>
      </c>
      <c r="C22" s="616" t="s">
        <v>1587</v>
      </c>
      <c r="D22" s="616" t="s">
        <v>1588</v>
      </c>
      <c r="E22" s="616" t="s">
        <v>2245</v>
      </c>
      <c r="F22" s="619"/>
      <c r="G22" s="619"/>
      <c r="H22" s="640">
        <v>0</v>
      </c>
      <c r="I22" s="619">
        <v>1</v>
      </c>
      <c r="J22" s="619">
        <v>45.19</v>
      </c>
      <c r="K22" s="640">
        <v>1</v>
      </c>
      <c r="L22" s="619">
        <v>1</v>
      </c>
      <c r="M22" s="620">
        <v>45.19</v>
      </c>
    </row>
    <row r="23" spans="1:13" ht="14.4" customHeight="1" x14ac:dyDescent="0.3">
      <c r="A23" s="615" t="s">
        <v>476</v>
      </c>
      <c r="B23" s="616" t="s">
        <v>2246</v>
      </c>
      <c r="C23" s="616" t="s">
        <v>1671</v>
      </c>
      <c r="D23" s="616" t="s">
        <v>2247</v>
      </c>
      <c r="E23" s="616" t="s">
        <v>2248</v>
      </c>
      <c r="F23" s="619"/>
      <c r="G23" s="619"/>
      <c r="H23" s="640">
        <v>0</v>
      </c>
      <c r="I23" s="619">
        <v>2</v>
      </c>
      <c r="J23" s="619">
        <v>158.11999999999998</v>
      </c>
      <c r="K23" s="640">
        <v>1</v>
      </c>
      <c r="L23" s="619">
        <v>2</v>
      </c>
      <c r="M23" s="620">
        <v>158.11999999999998</v>
      </c>
    </row>
    <row r="24" spans="1:13" ht="14.4" customHeight="1" x14ac:dyDescent="0.3">
      <c r="A24" s="615" t="s">
        <v>476</v>
      </c>
      <c r="B24" s="616" t="s">
        <v>2249</v>
      </c>
      <c r="C24" s="616" t="s">
        <v>1685</v>
      </c>
      <c r="D24" s="616" t="s">
        <v>1686</v>
      </c>
      <c r="E24" s="616" t="s">
        <v>2250</v>
      </c>
      <c r="F24" s="619"/>
      <c r="G24" s="619"/>
      <c r="H24" s="640">
        <v>0</v>
      </c>
      <c r="I24" s="619">
        <v>1</v>
      </c>
      <c r="J24" s="619">
        <v>122.63999999999999</v>
      </c>
      <c r="K24" s="640">
        <v>1</v>
      </c>
      <c r="L24" s="619">
        <v>1</v>
      </c>
      <c r="M24" s="620">
        <v>122.63999999999999</v>
      </c>
    </row>
    <row r="25" spans="1:13" ht="14.4" customHeight="1" x14ac:dyDescent="0.3">
      <c r="A25" s="615" t="s">
        <v>476</v>
      </c>
      <c r="B25" s="616" t="s">
        <v>2251</v>
      </c>
      <c r="C25" s="616" t="s">
        <v>1618</v>
      </c>
      <c r="D25" s="616" t="s">
        <v>1619</v>
      </c>
      <c r="E25" s="616" t="s">
        <v>2252</v>
      </c>
      <c r="F25" s="619"/>
      <c r="G25" s="619"/>
      <c r="H25" s="640">
        <v>0</v>
      </c>
      <c r="I25" s="619">
        <v>1</v>
      </c>
      <c r="J25" s="619">
        <v>42.96</v>
      </c>
      <c r="K25" s="640">
        <v>1</v>
      </c>
      <c r="L25" s="619">
        <v>1</v>
      </c>
      <c r="M25" s="620">
        <v>42.96</v>
      </c>
    </row>
    <row r="26" spans="1:13" ht="14.4" customHeight="1" x14ac:dyDescent="0.3">
      <c r="A26" s="615" t="s">
        <v>476</v>
      </c>
      <c r="B26" s="616" t="s">
        <v>2253</v>
      </c>
      <c r="C26" s="616" t="s">
        <v>1610</v>
      </c>
      <c r="D26" s="616" t="s">
        <v>1611</v>
      </c>
      <c r="E26" s="616" t="s">
        <v>2254</v>
      </c>
      <c r="F26" s="619"/>
      <c r="G26" s="619"/>
      <c r="H26" s="640">
        <v>0</v>
      </c>
      <c r="I26" s="619">
        <v>2</v>
      </c>
      <c r="J26" s="619">
        <v>97.639998897453125</v>
      </c>
      <c r="K26" s="640">
        <v>1</v>
      </c>
      <c r="L26" s="619">
        <v>2</v>
      </c>
      <c r="M26" s="620">
        <v>97.639998897453125</v>
      </c>
    </row>
    <row r="27" spans="1:13" ht="14.4" customHeight="1" x14ac:dyDescent="0.3">
      <c r="A27" s="615" t="s">
        <v>476</v>
      </c>
      <c r="B27" s="616" t="s">
        <v>2253</v>
      </c>
      <c r="C27" s="616" t="s">
        <v>1614</v>
      </c>
      <c r="D27" s="616" t="s">
        <v>1615</v>
      </c>
      <c r="E27" s="616" t="s">
        <v>2255</v>
      </c>
      <c r="F27" s="619"/>
      <c r="G27" s="619"/>
      <c r="H27" s="640">
        <v>0</v>
      </c>
      <c r="I27" s="619">
        <v>1</v>
      </c>
      <c r="J27" s="619">
        <v>52.649999999999977</v>
      </c>
      <c r="K27" s="640">
        <v>1</v>
      </c>
      <c r="L27" s="619">
        <v>1</v>
      </c>
      <c r="M27" s="620">
        <v>52.649999999999977</v>
      </c>
    </row>
    <row r="28" spans="1:13" ht="14.4" customHeight="1" x14ac:dyDescent="0.3">
      <c r="A28" s="615" t="s">
        <v>476</v>
      </c>
      <c r="B28" s="616" t="s">
        <v>2256</v>
      </c>
      <c r="C28" s="616" t="s">
        <v>1652</v>
      </c>
      <c r="D28" s="616" t="s">
        <v>1653</v>
      </c>
      <c r="E28" s="616" t="s">
        <v>2254</v>
      </c>
      <c r="F28" s="619"/>
      <c r="G28" s="619"/>
      <c r="H28" s="640">
        <v>0</v>
      </c>
      <c r="I28" s="619">
        <v>2</v>
      </c>
      <c r="J28" s="619">
        <v>172.8600000000001</v>
      </c>
      <c r="K28" s="640">
        <v>1</v>
      </c>
      <c r="L28" s="619">
        <v>2</v>
      </c>
      <c r="M28" s="620">
        <v>172.8600000000001</v>
      </c>
    </row>
    <row r="29" spans="1:13" ht="14.4" customHeight="1" x14ac:dyDescent="0.3">
      <c r="A29" s="615" t="s">
        <v>476</v>
      </c>
      <c r="B29" s="616" t="s">
        <v>2256</v>
      </c>
      <c r="C29" s="616" t="s">
        <v>1658</v>
      </c>
      <c r="D29" s="616" t="s">
        <v>1653</v>
      </c>
      <c r="E29" s="616" t="s">
        <v>2257</v>
      </c>
      <c r="F29" s="619"/>
      <c r="G29" s="619"/>
      <c r="H29" s="640">
        <v>0</v>
      </c>
      <c r="I29" s="619">
        <v>1</v>
      </c>
      <c r="J29" s="619">
        <v>222.43</v>
      </c>
      <c r="K29" s="640">
        <v>1</v>
      </c>
      <c r="L29" s="619">
        <v>1</v>
      </c>
      <c r="M29" s="620">
        <v>222.43</v>
      </c>
    </row>
    <row r="30" spans="1:13" ht="14.4" customHeight="1" x14ac:dyDescent="0.3">
      <c r="A30" s="615" t="s">
        <v>476</v>
      </c>
      <c r="B30" s="616" t="s">
        <v>2256</v>
      </c>
      <c r="C30" s="616" t="s">
        <v>1655</v>
      </c>
      <c r="D30" s="616" t="s">
        <v>1656</v>
      </c>
      <c r="E30" s="616" t="s">
        <v>2255</v>
      </c>
      <c r="F30" s="619"/>
      <c r="G30" s="619"/>
      <c r="H30" s="640">
        <v>0</v>
      </c>
      <c r="I30" s="619">
        <v>3</v>
      </c>
      <c r="J30" s="619">
        <v>488.37</v>
      </c>
      <c r="K30" s="640">
        <v>1</v>
      </c>
      <c r="L30" s="619">
        <v>3</v>
      </c>
      <c r="M30" s="620">
        <v>488.37</v>
      </c>
    </row>
    <row r="31" spans="1:13" ht="14.4" customHeight="1" x14ac:dyDescent="0.3">
      <c r="A31" s="615" t="s">
        <v>476</v>
      </c>
      <c r="B31" s="616" t="s">
        <v>2258</v>
      </c>
      <c r="C31" s="616" t="s">
        <v>1577</v>
      </c>
      <c r="D31" s="616" t="s">
        <v>1578</v>
      </c>
      <c r="E31" s="616" t="s">
        <v>2259</v>
      </c>
      <c r="F31" s="619"/>
      <c r="G31" s="619"/>
      <c r="H31" s="640">
        <v>0</v>
      </c>
      <c r="I31" s="619">
        <v>1</v>
      </c>
      <c r="J31" s="619">
        <v>14.879999999999999</v>
      </c>
      <c r="K31" s="640">
        <v>1</v>
      </c>
      <c r="L31" s="619">
        <v>1</v>
      </c>
      <c r="M31" s="620">
        <v>14.879999999999999</v>
      </c>
    </row>
    <row r="32" spans="1:13" ht="14.4" customHeight="1" x14ac:dyDescent="0.3">
      <c r="A32" s="615" t="s">
        <v>476</v>
      </c>
      <c r="B32" s="616" t="s">
        <v>2258</v>
      </c>
      <c r="C32" s="616" t="s">
        <v>1630</v>
      </c>
      <c r="D32" s="616" t="s">
        <v>2260</v>
      </c>
      <c r="E32" s="616" t="s">
        <v>2261</v>
      </c>
      <c r="F32" s="619"/>
      <c r="G32" s="619"/>
      <c r="H32" s="640">
        <v>0</v>
      </c>
      <c r="I32" s="619">
        <v>1</v>
      </c>
      <c r="J32" s="619">
        <v>36.179999999999993</v>
      </c>
      <c r="K32" s="640">
        <v>1</v>
      </c>
      <c r="L32" s="619">
        <v>1</v>
      </c>
      <c r="M32" s="620">
        <v>36.179999999999993</v>
      </c>
    </row>
    <row r="33" spans="1:13" ht="14.4" customHeight="1" x14ac:dyDescent="0.3">
      <c r="A33" s="615" t="s">
        <v>476</v>
      </c>
      <c r="B33" s="616" t="s">
        <v>2262</v>
      </c>
      <c r="C33" s="616" t="s">
        <v>1668</v>
      </c>
      <c r="D33" s="616" t="s">
        <v>1669</v>
      </c>
      <c r="E33" s="616" t="s">
        <v>2263</v>
      </c>
      <c r="F33" s="619"/>
      <c r="G33" s="619"/>
      <c r="H33" s="640">
        <v>0</v>
      </c>
      <c r="I33" s="619">
        <v>1</v>
      </c>
      <c r="J33" s="619">
        <v>182.93000000000006</v>
      </c>
      <c r="K33" s="640">
        <v>1</v>
      </c>
      <c r="L33" s="619">
        <v>1</v>
      </c>
      <c r="M33" s="620">
        <v>182.93000000000006</v>
      </c>
    </row>
    <row r="34" spans="1:13" ht="14.4" customHeight="1" x14ac:dyDescent="0.3">
      <c r="A34" s="615" t="s">
        <v>476</v>
      </c>
      <c r="B34" s="616" t="s">
        <v>2264</v>
      </c>
      <c r="C34" s="616" t="s">
        <v>1595</v>
      </c>
      <c r="D34" s="616" t="s">
        <v>1596</v>
      </c>
      <c r="E34" s="616" t="s">
        <v>2265</v>
      </c>
      <c r="F34" s="619"/>
      <c r="G34" s="619"/>
      <c r="H34" s="640">
        <v>0</v>
      </c>
      <c r="I34" s="619">
        <v>1</v>
      </c>
      <c r="J34" s="619">
        <v>29.300162050858336</v>
      </c>
      <c r="K34" s="640">
        <v>1</v>
      </c>
      <c r="L34" s="619">
        <v>1</v>
      </c>
      <c r="M34" s="620">
        <v>29.300162050858336</v>
      </c>
    </row>
    <row r="35" spans="1:13" ht="14.4" customHeight="1" x14ac:dyDescent="0.3">
      <c r="A35" s="615" t="s">
        <v>476</v>
      </c>
      <c r="B35" s="616" t="s">
        <v>2266</v>
      </c>
      <c r="C35" s="616" t="s">
        <v>1693</v>
      </c>
      <c r="D35" s="616" t="s">
        <v>2267</v>
      </c>
      <c r="E35" s="616" t="s">
        <v>2268</v>
      </c>
      <c r="F35" s="619"/>
      <c r="G35" s="619"/>
      <c r="H35" s="640">
        <v>0</v>
      </c>
      <c r="I35" s="619">
        <v>1</v>
      </c>
      <c r="J35" s="619">
        <v>135.77999999999997</v>
      </c>
      <c r="K35" s="640">
        <v>1</v>
      </c>
      <c r="L35" s="619">
        <v>1</v>
      </c>
      <c r="M35" s="620">
        <v>135.77999999999997</v>
      </c>
    </row>
    <row r="36" spans="1:13" ht="14.4" customHeight="1" x14ac:dyDescent="0.3">
      <c r="A36" s="615" t="s">
        <v>476</v>
      </c>
      <c r="B36" s="616" t="s">
        <v>2269</v>
      </c>
      <c r="C36" s="616" t="s">
        <v>1591</v>
      </c>
      <c r="D36" s="616" t="s">
        <v>1592</v>
      </c>
      <c r="E36" s="616" t="s">
        <v>2270</v>
      </c>
      <c r="F36" s="619"/>
      <c r="G36" s="619"/>
      <c r="H36" s="640">
        <v>0</v>
      </c>
      <c r="I36" s="619">
        <v>1</v>
      </c>
      <c r="J36" s="619">
        <v>98.600000000000023</v>
      </c>
      <c r="K36" s="640">
        <v>1</v>
      </c>
      <c r="L36" s="619">
        <v>1</v>
      </c>
      <c r="M36" s="620">
        <v>98.600000000000023</v>
      </c>
    </row>
    <row r="37" spans="1:13" ht="14.4" customHeight="1" x14ac:dyDescent="0.3">
      <c r="A37" s="615" t="s">
        <v>476</v>
      </c>
      <c r="B37" s="616" t="s">
        <v>2271</v>
      </c>
      <c r="C37" s="616" t="s">
        <v>1735</v>
      </c>
      <c r="D37" s="616" t="s">
        <v>2272</v>
      </c>
      <c r="E37" s="616" t="s">
        <v>2273</v>
      </c>
      <c r="F37" s="619"/>
      <c r="G37" s="619"/>
      <c r="H37" s="640">
        <v>0</v>
      </c>
      <c r="I37" s="619">
        <v>52</v>
      </c>
      <c r="J37" s="619">
        <v>71499.998963065533</v>
      </c>
      <c r="K37" s="640">
        <v>1</v>
      </c>
      <c r="L37" s="619">
        <v>52</v>
      </c>
      <c r="M37" s="620">
        <v>71499.998963065533</v>
      </c>
    </row>
    <row r="38" spans="1:13" ht="14.4" customHeight="1" x14ac:dyDescent="0.3">
      <c r="A38" s="615" t="s">
        <v>476</v>
      </c>
      <c r="B38" s="616" t="s">
        <v>2274</v>
      </c>
      <c r="C38" s="616" t="s">
        <v>1602</v>
      </c>
      <c r="D38" s="616" t="s">
        <v>1603</v>
      </c>
      <c r="E38" s="616" t="s">
        <v>2275</v>
      </c>
      <c r="F38" s="619"/>
      <c r="G38" s="619"/>
      <c r="H38" s="640">
        <v>0</v>
      </c>
      <c r="I38" s="619">
        <v>1</v>
      </c>
      <c r="J38" s="619">
        <v>46.82</v>
      </c>
      <c r="K38" s="640">
        <v>1</v>
      </c>
      <c r="L38" s="619">
        <v>1</v>
      </c>
      <c r="M38" s="620">
        <v>46.82</v>
      </c>
    </row>
    <row r="39" spans="1:13" ht="14.4" customHeight="1" x14ac:dyDescent="0.3">
      <c r="A39" s="615" t="s">
        <v>476</v>
      </c>
      <c r="B39" s="616" t="s">
        <v>2274</v>
      </c>
      <c r="C39" s="616" t="s">
        <v>1581</v>
      </c>
      <c r="D39" s="616" t="s">
        <v>2276</v>
      </c>
      <c r="E39" s="616" t="s">
        <v>2277</v>
      </c>
      <c r="F39" s="619"/>
      <c r="G39" s="619"/>
      <c r="H39" s="640">
        <v>0</v>
      </c>
      <c r="I39" s="619">
        <v>31</v>
      </c>
      <c r="J39" s="619">
        <v>1077.2499999999998</v>
      </c>
      <c r="K39" s="640">
        <v>1</v>
      </c>
      <c r="L39" s="619">
        <v>31</v>
      </c>
      <c r="M39" s="620">
        <v>1077.2499999999998</v>
      </c>
    </row>
    <row r="40" spans="1:13" ht="14.4" customHeight="1" x14ac:dyDescent="0.3">
      <c r="A40" s="615" t="s">
        <v>476</v>
      </c>
      <c r="B40" s="616" t="s">
        <v>2278</v>
      </c>
      <c r="C40" s="616" t="s">
        <v>1738</v>
      </c>
      <c r="D40" s="616" t="s">
        <v>1739</v>
      </c>
      <c r="E40" s="616" t="s">
        <v>2279</v>
      </c>
      <c r="F40" s="619"/>
      <c r="G40" s="619"/>
      <c r="H40" s="640">
        <v>0</v>
      </c>
      <c r="I40" s="619">
        <v>1</v>
      </c>
      <c r="J40" s="619">
        <v>115.22999999999996</v>
      </c>
      <c r="K40" s="640">
        <v>1</v>
      </c>
      <c r="L40" s="619">
        <v>1</v>
      </c>
      <c r="M40" s="620">
        <v>115.22999999999996</v>
      </c>
    </row>
    <row r="41" spans="1:13" ht="14.4" customHeight="1" x14ac:dyDescent="0.3">
      <c r="A41" s="615" t="s">
        <v>476</v>
      </c>
      <c r="B41" s="616" t="s">
        <v>2278</v>
      </c>
      <c r="C41" s="616" t="s">
        <v>1769</v>
      </c>
      <c r="D41" s="616" t="s">
        <v>1770</v>
      </c>
      <c r="E41" s="616" t="s">
        <v>2280</v>
      </c>
      <c r="F41" s="619"/>
      <c r="G41" s="619"/>
      <c r="H41" s="640">
        <v>0</v>
      </c>
      <c r="I41" s="619">
        <v>1</v>
      </c>
      <c r="J41" s="619">
        <v>113.0500000000001</v>
      </c>
      <c r="K41" s="640">
        <v>1</v>
      </c>
      <c r="L41" s="619">
        <v>1</v>
      </c>
      <c r="M41" s="620">
        <v>113.0500000000001</v>
      </c>
    </row>
    <row r="42" spans="1:13" ht="14.4" customHeight="1" x14ac:dyDescent="0.3">
      <c r="A42" s="615" t="s">
        <v>476</v>
      </c>
      <c r="B42" s="616" t="s">
        <v>2278</v>
      </c>
      <c r="C42" s="616" t="s">
        <v>1766</v>
      </c>
      <c r="D42" s="616" t="s">
        <v>1767</v>
      </c>
      <c r="E42" s="616" t="s">
        <v>2281</v>
      </c>
      <c r="F42" s="619"/>
      <c r="G42" s="619"/>
      <c r="H42" s="640">
        <v>0</v>
      </c>
      <c r="I42" s="619">
        <v>1</v>
      </c>
      <c r="J42" s="619">
        <v>93.41</v>
      </c>
      <c r="K42" s="640">
        <v>1</v>
      </c>
      <c r="L42" s="619">
        <v>1</v>
      </c>
      <c r="M42" s="620">
        <v>93.41</v>
      </c>
    </row>
    <row r="43" spans="1:13" ht="14.4" customHeight="1" x14ac:dyDescent="0.3">
      <c r="A43" s="615" t="s">
        <v>476</v>
      </c>
      <c r="B43" s="616" t="s">
        <v>2278</v>
      </c>
      <c r="C43" s="616" t="s">
        <v>1763</v>
      </c>
      <c r="D43" s="616" t="s">
        <v>1764</v>
      </c>
      <c r="E43" s="616" t="s">
        <v>2282</v>
      </c>
      <c r="F43" s="619"/>
      <c r="G43" s="619"/>
      <c r="H43" s="640">
        <v>0</v>
      </c>
      <c r="I43" s="619">
        <v>1</v>
      </c>
      <c r="J43" s="619">
        <v>47.629662007635638</v>
      </c>
      <c r="K43" s="640">
        <v>1</v>
      </c>
      <c r="L43" s="619">
        <v>1</v>
      </c>
      <c r="M43" s="620">
        <v>47.629662007635638</v>
      </c>
    </row>
    <row r="44" spans="1:13" ht="14.4" customHeight="1" x14ac:dyDescent="0.3">
      <c r="A44" s="615" t="s">
        <v>476</v>
      </c>
      <c r="B44" s="616" t="s">
        <v>2278</v>
      </c>
      <c r="C44" s="616" t="s">
        <v>1786</v>
      </c>
      <c r="D44" s="616" t="s">
        <v>1787</v>
      </c>
      <c r="E44" s="616" t="s">
        <v>2283</v>
      </c>
      <c r="F44" s="619"/>
      <c r="G44" s="619"/>
      <c r="H44" s="640">
        <v>0</v>
      </c>
      <c r="I44" s="619">
        <v>8</v>
      </c>
      <c r="J44" s="619">
        <v>504.88047439885901</v>
      </c>
      <c r="K44" s="640">
        <v>1</v>
      </c>
      <c r="L44" s="619">
        <v>8</v>
      </c>
      <c r="M44" s="620">
        <v>504.88047439885901</v>
      </c>
    </row>
    <row r="45" spans="1:13" ht="14.4" customHeight="1" x14ac:dyDescent="0.3">
      <c r="A45" s="615" t="s">
        <v>476</v>
      </c>
      <c r="B45" s="616" t="s">
        <v>2278</v>
      </c>
      <c r="C45" s="616" t="s">
        <v>1716</v>
      </c>
      <c r="D45" s="616" t="s">
        <v>2284</v>
      </c>
      <c r="E45" s="616" t="s">
        <v>2285</v>
      </c>
      <c r="F45" s="619"/>
      <c r="G45" s="619"/>
      <c r="H45" s="640">
        <v>0</v>
      </c>
      <c r="I45" s="619">
        <v>1</v>
      </c>
      <c r="J45" s="619">
        <v>73.958656969829022</v>
      </c>
      <c r="K45" s="640">
        <v>1</v>
      </c>
      <c r="L45" s="619">
        <v>1</v>
      </c>
      <c r="M45" s="620">
        <v>73.958656969829022</v>
      </c>
    </row>
    <row r="46" spans="1:13" ht="14.4" customHeight="1" x14ac:dyDescent="0.3">
      <c r="A46" s="615" t="s">
        <v>476</v>
      </c>
      <c r="B46" s="616" t="s">
        <v>2286</v>
      </c>
      <c r="C46" s="616" t="s">
        <v>2031</v>
      </c>
      <c r="D46" s="616" t="s">
        <v>2032</v>
      </c>
      <c r="E46" s="616" t="s">
        <v>2287</v>
      </c>
      <c r="F46" s="619"/>
      <c r="G46" s="619"/>
      <c r="H46" s="640">
        <v>0</v>
      </c>
      <c r="I46" s="619">
        <v>31.2</v>
      </c>
      <c r="J46" s="619">
        <v>380941.70399999997</v>
      </c>
      <c r="K46" s="640">
        <v>1</v>
      </c>
      <c r="L46" s="619">
        <v>31.2</v>
      </c>
      <c r="M46" s="620">
        <v>380941.70399999997</v>
      </c>
    </row>
    <row r="47" spans="1:13" ht="14.4" customHeight="1" x14ac:dyDescent="0.3">
      <c r="A47" s="615" t="s">
        <v>476</v>
      </c>
      <c r="B47" s="616" t="s">
        <v>2288</v>
      </c>
      <c r="C47" s="616" t="s">
        <v>1949</v>
      </c>
      <c r="D47" s="616" t="s">
        <v>1950</v>
      </c>
      <c r="E47" s="616" t="s">
        <v>1951</v>
      </c>
      <c r="F47" s="619"/>
      <c r="G47" s="619"/>
      <c r="H47" s="640">
        <v>0</v>
      </c>
      <c r="I47" s="619">
        <v>1</v>
      </c>
      <c r="J47" s="619">
        <v>135.63</v>
      </c>
      <c r="K47" s="640">
        <v>1</v>
      </c>
      <c r="L47" s="619">
        <v>1</v>
      </c>
      <c r="M47" s="620">
        <v>135.63</v>
      </c>
    </row>
    <row r="48" spans="1:13" ht="14.4" customHeight="1" x14ac:dyDescent="0.3">
      <c r="A48" s="615" t="s">
        <v>476</v>
      </c>
      <c r="B48" s="616" t="s">
        <v>2289</v>
      </c>
      <c r="C48" s="616" t="s">
        <v>1985</v>
      </c>
      <c r="D48" s="616" t="s">
        <v>2290</v>
      </c>
      <c r="E48" s="616" t="s">
        <v>2291</v>
      </c>
      <c r="F48" s="619">
        <v>3.2</v>
      </c>
      <c r="G48" s="619">
        <v>1472.6719999999998</v>
      </c>
      <c r="H48" s="640">
        <v>1</v>
      </c>
      <c r="I48" s="619"/>
      <c r="J48" s="619"/>
      <c r="K48" s="640">
        <v>0</v>
      </c>
      <c r="L48" s="619">
        <v>3.2</v>
      </c>
      <c r="M48" s="620">
        <v>1472.6719999999998</v>
      </c>
    </row>
    <row r="49" spans="1:13" ht="14.4" customHeight="1" x14ac:dyDescent="0.3">
      <c r="A49" s="615" t="s">
        <v>476</v>
      </c>
      <c r="B49" s="616" t="s">
        <v>2289</v>
      </c>
      <c r="C49" s="616" t="s">
        <v>1899</v>
      </c>
      <c r="D49" s="616" t="s">
        <v>1900</v>
      </c>
      <c r="E49" s="616" t="s">
        <v>2292</v>
      </c>
      <c r="F49" s="619"/>
      <c r="G49" s="619"/>
      <c r="H49" s="640">
        <v>0</v>
      </c>
      <c r="I49" s="619">
        <v>45</v>
      </c>
      <c r="J49" s="619">
        <v>994.86052631578946</v>
      </c>
      <c r="K49" s="640">
        <v>1</v>
      </c>
      <c r="L49" s="619">
        <v>45</v>
      </c>
      <c r="M49" s="620">
        <v>994.86052631578946</v>
      </c>
    </row>
    <row r="50" spans="1:13" ht="14.4" customHeight="1" x14ac:dyDescent="0.3">
      <c r="A50" s="615" t="s">
        <v>476</v>
      </c>
      <c r="B50" s="616" t="s">
        <v>2293</v>
      </c>
      <c r="C50" s="616" t="s">
        <v>2023</v>
      </c>
      <c r="D50" s="616" t="s">
        <v>2294</v>
      </c>
      <c r="E50" s="616" t="s">
        <v>2295</v>
      </c>
      <c r="F50" s="619"/>
      <c r="G50" s="619"/>
      <c r="H50" s="640">
        <v>0</v>
      </c>
      <c r="I50" s="619">
        <v>1</v>
      </c>
      <c r="J50" s="619">
        <v>115.94000000000001</v>
      </c>
      <c r="K50" s="640">
        <v>1</v>
      </c>
      <c r="L50" s="619">
        <v>1</v>
      </c>
      <c r="M50" s="620">
        <v>115.94000000000001</v>
      </c>
    </row>
    <row r="51" spans="1:13" ht="14.4" customHeight="1" x14ac:dyDescent="0.3">
      <c r="A51" s="615" t="s">
        <v>476</v>
      </c>
      <c r="B51" s="616" t="s">
        <v>2293</v>
      </c>
      <c r="C51" s="616" t="s">
        <v>1914</v>
      </c>
      <c r="D51" s="616" t="s">
        <v>2296</v>
      </c>
      <c r="E51" s="616" t="s">
        <v>2297</v>
      </c>
      <c r="F51" s="619"/>
      <c r="G51" s="619"/>
      <c r="H51" s="640">
        <v>0</v>
      </c>
      <c r="I51" s="619">
        <v>141.99999999999997</v>
      </c>
      <c r="J51" s="619">
        <v>17432.82704109593</v>
      </c>
      <c r="K51" s="640">
        <v>1</v>
      </c>
      <c r="L51" s="619">
        <v>141.99999999999997</v>
      </c>
      <c r="M51" s="620">
        <v>17432.82704109593</v>
      </c>
    </row>
    <row r="52" spans="1:13" ht="14.4" customHeight="1" x14ac:dyDescent="0.3">
      <c r="A52" s="615" t="s">
        <v>476</v>
      </c>
      <c r="B52" s="616" t="s">
        <v>2298</v>
      </c>
      <c r="C52" s="616" t="s">
        <v>1971</v>
      </c>
      <c r="D52" s="616" t="s">
        <v>1972</v>
      </c>
      <c r="E52" s="616" t="s">
        <v>2299</v>
      </c>
      <c r="F52" s="619"/>
      <c r="G52" s="619"/>
      <c r="H52" s="640">
        <v>0</v>
      </c>
      <c r="I52" s="619">
        <v>47.2</v>
      </c>
      <c r="J52" s="619">
        <v>21806.400000000001</v>
      </c>
      <c r="K52" s="640">
        <v>1</v>
      </c>
      <c r="L52" s="619">
        <v>47.2</v>
      </c>
      <c r="M52" s="620">
        <v>21806.400000000001</v>
      </c>
    </row>
    <row r="53" spans="1:13" ht="14.4" customHeight="1" x14ac:dyDescent="0.3">
      <c r="A53" s="615" t="s">
        <v>476</v>
      </c>
      <c r="B53" s="616" t="s">
        <v>2300</v>
      </c>
      <c r="C53" s="616" t="s">
        <v>1976</v>
      </c>
      <c r="D53" s="616" t="s">
        <v>1977</v>
      </c>
      <c r="E53" s="616" t="s">
        <v>1978</v>
      </c>
      <c r="F53" s="619">
        <v>4.5999999999999996</v>
      </c>
      <c r="G53" s="619">
        <v>789.77999999999986</v>
      </c>
      <c r="H53" s="640">
        <v>1</v>
      </c>
      <c r="I53" s="619"/>
      <c r="J53" s="619"/>
      <c r="K53" s="640">
        <v>0</v>
      </c>
      <c r="L53" s="619">
        <v>4.5999999999999996</v>
      </c>
      <c r="M53" s="620">
        <v>789.77999999999986</v>
      </c>
    </row>
    <row r="54" spans="1:13" ht="14.4" customHeight="1" x14ac:dyDescent="0.3">
      <c r="A54" s="615" t="s">
        <v>476</v>
      </c>
      <c r="B54" s="616" t="s">
        <v>2300</v>
      </c>
      <c r="C54" s="616" t="s">
        <v>2007</v>
      </c>
      <c r="D54" s="616" t="s">
        <v>2008</v>
      </c>
      <c r="E54" s="616" t="s">
        <v>1908</v>
      </c>
      <c r="F54" s="619">
        <v>1</v>
      </c>
      <c r="G54" s="619">
        <v>264</v>
      </c>
      <c r="H54" s="640">
        <v>1</v>
      </c>
      <c r="I54" s="619"/>
      <c r="J54" s="619"/>
      <c r="K54" s="640">
        <v>0</v>
      </c>
      <c r="L54" s="619">
        <v>1</v>
      </c>
      <c r="M54" s="620">
        <v>264</v>
      </c>
    </row>
    <row r="55" spans="1:13" ht="14.4" customHeight="1" x14ac:dyDescent="0.3">
      <c r="A55" s="615" t="s">
        <v>476</v>
      </c>
      <c r="B55" s="616" t="s">
        <v>2301</v>
      </c>
      <c r="C55" s="616" t="s">
        <v>1988</v>
      </c>
      <c r="D55" s="616" t="s">
        <v>1989</v>
      </c>
      <c r="E55" s="616" t="s">
        <v>2302</v>
      </c>
      <c r="F55" s="619"/>
      <c r="G55" s="619"/>
      <c r="H55" s="640">
        <v>0</v>
      </c>
      <c r="I55" s="619">
        <v>3</v>
      </c>
      <c r="J55" s="619">
        <v>653.40000000000009</v>
      </c>
      <c r="K55" s="640">
        <v>1</v>
      </c>
      <c r="L55" s="619">
        <v>3</v>
      </c>
      <c r="M55" s="620">
        <v>653.40000000000009</v>
      </c>
    </row>
    <row r="56" spans="1:13" ht="14.4" customHeight="1" x14ac:dyDescent="0.3">
      <c r="A56" s="615" t="s">
        <v>476</v>
      </c>
      <c r="B56" s="616" t="s">
        <v>2303</v>
      </c>
      <c r="C56" s="616" t="s">
        <v>2020</v>
      </c>
      <c r="D56" s="616" t="s">
        <v>1975</v>
      </c>
      <c r="E56" s="616" t="s">
        <v>1908</v>
      </c>
      <c r="F56" s="619">
        <v>5</v>
      </c>
      <c r="G56" s="619">
        <v>1580.1</v>
      </c>
      <c r="H56" s="640">
        <v>1</v>
      </c>
      <c r="I56" s="619"/>
      <c r="J56" s="619"/>
      <c r="K56" s="640">
        <v>0</v>
      </c>
      <c r="L56" s="619">
        <v>5</v>
      </c>
      <c r="M56" s="620">
        <v>1580.1</v>
      </c>
    </row>
    <row r="57" spans="1:13" ht="14.4" customHeight="1" x14ac:dyDescent="0.3">
      <c r="A57" s="615" t="s">
        <v>476</v>
      </c>
      <c r="B57" s="616" t="s">
        <v>2303</v>
      </c>
      <c r="C57" s="616" t="s">
        <v>1974</v>
      </c>
      <c r="D57" s="616" t="s">
        <v>1975</v>
      </c>
      <c r="E57" s="616" t="s">
        <v>1333</v>
      </c>
      <c r="F57" s="619"/>
      <c r="G57" s="619"/>
      <c r="H57" s="640">
        <v>0</v>
      </c>
      <c r="I57" s="619">
        <v>120</v>
      </c>
      <c r="J57" s="619">
        <v>4469.6790797488311</v>
      </c>
      <c r="K57" s="640">
        <v>1</v>
      </c>
      <c r="L57" s="619">
        <v>120</v>
      </c>
      <c r="M57" s="620">
        <v>4469.6790797488311</v>
      </c>
    </row>
    <row r="58" spans="1:13" ht="14.4" customHeight="1" x14ac:dyDescent="0.3">
      <c r="A58" s="615" t="s">
        <v>476</v>
      </c>
      <c r="B58" s="616" t="s">
        <v>2304</v>
      </c>
      <c r="C58" s="616" t="s">
        <v>1906</v>
      </c>
      <c r="D58" s="616" t="s">
        <v>2305</v>
      </c>
      <c r="E58" s="616" t="s">
        <v>1908</v>
      </c>
      <c r="F58" s="619"/>
      <c r="G58" s="619"/>
      <c r="H58" s="640">
        <v>0</v>
      </c>
      <c r="I58" s="619">
        <v>0.4</v>
      </c>
      <c r="J58" s="619">
        <v>105.60000000000001</v>
      </c>
      <c r="K58" s="640">
        <v>1</v>
      </c>
      <c r="L58" s="619">
        <v>0.4</v>
      </c>
      <c r="M58" s="620">
        <v>105.60000000000001</v>
      </c>
    </row>
    <row r="59" spans="1:13" ht="14.4" customHeight="1" x14ac:dyDescent="0.3">
      <c r="A59" s="615" t="s">
        <v>476</v>
      </c>
      <c r="B59" s="616" t="s">
        <v>2304</v>
      </c>
      <c r="C59" s="616" t="s">
        <v>1929</v>
      </c>
      <c r="D59" s="616" t="s">
        <v>2306</v>
      </c>
      <c r="E59" s="616" t="s">
        <v>1931</v>
      </c>
      <c r="F59" s="619"/>
      <c r="G59" s="619"/>
      <c r="H59" s="640">
        <v>0</v>
      </c>
      <c r="I59" s="619">
        <v>2.2000000000000002</v>
      </c>
      <c r="J59" s="619">
        <v>1137.4000000000001</v>
      </c>
      <c r="K59" s="640">
        <v>1</v>
      </c>
      <c r="L59" s="619">
        <v>2.2000000000000002</v>
      </c>
      <c r="M59" s="620">
        <v>1137.4000000000001</v>
      </c>
    </row>
    <row r="60" spans="1:13" ht="14.4" customHeight="1" x14ac:dyDescent="0.3">
      <c r="A60" s="615" t="s">
        <v>476</v>
      </c>
      <c r="B60" s="616" t="s">
        <v>2307</v>
      </c>
      <c r="C60" s="616" t="s">
        <v>2039</v>
      </c>
      <c r="D60" s="616" t="s">
        <v>2040</v>
      </c>
      <c r="E60" s="616" t="s">
        <v>1978</v>
      </c>
      <c r="F60" s="619"/>
      <c r="G60" s="619"/>
      <c r="H60" s="640">
        <v>0</v>
      </c>
      <c r="I60" s="619">
        <v>65.599999999999994</v>
      </c>
      <c r="J60" s="619">
        <v>61165.829999999994</v>
      </c>
      <c r="K60" s="640">
        <v>1</v>
      </c>
      <c r="L60" s="619">
        <v>65.599999999999994</v>
      </c>
      <c r="M60" s="620">
        <v>61165.829999999994</v>
      </c>
    </row>
    <row r="61" spans="1:13" ht="14.4" customHeight="1" x14ac:dyDescent="0.3">
      <c r="A61" s="615" t="s">
        <v>476</v>
      </c>
      <c r="B61" s="616" t="s">
        <v>2308</v>
      </c>
      <c r="C61" s="616" t="s">
        <v>1982</v>
      </c>
      <c r="D61" s="616" t="s">
        <v>1983</v>
      </c>
      <c r="E61" s="616" t="s">
        <v>1984</v>
      </c>
      <c r="F61" s="619"/>
      <c r="G61" s="619"/>
      <c r="H61" s="640">
        <v>0</v>
      </c>
      <c r="I61" s="619">
        <v>85</v>
      </c>
      <c r="J61" s="619">
        <v>12370.3</v>
      </c>
      <c r="K61" s="640">
        <v>1</v>
      </c>
      <c r="L61" s="619">
        <v>85</v>
      </c>
      <c r="M61" s="620">
        <v>12370.3</v>
      </c>
    </row>
    <row r="62" spans="1:13" ht="14.4" customHeight="1" x14ac:dyDescent="0.3">
      <c r="A62" s="615" t="s">
        <v>476</v>
      </c>
      <c r="B62" s="616" t="s">
        <v>2309</v>
      </c>
      <c r="C62" s="616" t="s">
        <v>2002</v>
      </c>
      <c r="D62" s="616" t="s">
        <v>2310</v>
      </c>
      <c r="E62" s="616" t="s">
        <v>2311</v>
      </c>
      <c r="F62" s="619"/>
      <c r="G62" s="619"/>
      <c r="H62" s="640">
        <v>0</v>
      </c>
      <c r="I62" s="619">
        <v>3.4</v>
      </c>
      <c r="J62" s="619">
        <v>527.33999999999992</v>
      </c>
      <c r="K62" s="640">
        <v>1</v>
      </c>
      <c r="L62" s="619">
        <v>3.4</v>
      </c>
      <c r="M62" s="620">
        <v>527.33999999999992</v>
      </c>
    </row>
    <row r="63" spans="1:13" ht="14.4" customHeight="1" x14ac:dyDescent="0.3">
      <c r="A63" s="615" t="s">
        <v>476</v>
      </c>
      <c r="B63" s="616" t="s">
        <v>2309</v>
      </c>
      <c r="C63" s="616" t="s">
        <v>1998</v>
      </c>
      <c r="D63" s="616" t="s">
        <v>2310</v>
      </c>
      <c r="E63" s="616" t="s">
        <v>2312</v>
      </c>
      <c r="F63" s="619"/>
      <c r="G63" s="619"/>
      <c r="H63" s="640">
        <v>0</v>
      </c>
      <c r="I63" s="619">
        <v>8.4</v>
      </c>
      <c r="J63" s="619">
        <v>2217.6</v>
      </c>
      <c r="K63" s="640">
        <v>1</v>
      </c>
      <c r="L63" s="619">
        <v>8.4</v>
      </c>
      <c r="M63" s="620">
        <v>2217.6</v>
      </c>
    </row>
    <row r="64" spans="1:13" ht="14.4" customHeight="1" x14ac:dyDescent="0.3">
      <c r="A64" s="615" t="s">
        <v>476</v>
      </c>
      <c r="B64" s="616" t="s">
        <v>2313</v>
      </c>
      <c r="C64" s="616" t="s">
        <v>1918</v>
      </c>
      <c r="D64" s="616" t="s">
        <v>2314</v>
      </c>
      <c r="E64" s="616" t="s">
        <v>2315</v>
      </c>
      <c r="F64" s="619">
        <v>4.7</v>
      </c>
      <c r="G64" s="619">
        <v>3044.7774000000004</v>
      </c>
      <c r="H64" s="640">
        <v>1</v>
      </c>
      <c r="I64" s="619"/>
      <c r="J64" s="619"/>
      <c r="K64" s="640">
        <v>0</v>
      </c>
      <c r="L64" s="619">
        <v>4.7</v>
      </c>
      <c r="M64" s="620">
        <v>3044.7774000000004</v>
      </c>
    </row>
    <row r="65" spans="1:13" ht="14.4" customHeight="1" x14ac:dyDescent="0.3">
      <c r="A65" s="615" t="s">
        <v>476</v>
      </c>
      <c r="B65" s="616" t="s">
        <v>2313</v>
      </c>
      <c r="C65" s="616" t="s">
        <v>1880</v>
      </c>
      <c r="D65" s="616" t="s">
        <v>1881</v>
      </c>
      <c r="E65" s="616" t="s">
        <v>2316</v>
      </c>
      <c r="F65" s="619"/>
      <c r="G65" s="619"/>
      <c r="H65" s="640">
        <v>0</v>
      </c>
      <c r="I65" s="619">
        <v>6</v>
      </c>
      <c r="J65" s="619">
        <v>399.10615508520988</v>
      </c>
      <c r="K65" s="640">
        <v>1</v>
      </c>
      <c r="L65" s="619">
        <v>6</v>
      </c>
      <c r="M65" s="620">
        <v>399.10615508520988</v>
      </c>
    </row>
    <row r="66" spans="1:13" ht="14.4" customHeight="1" x14ac:dyDescent="0.3">
      <c r="A66" s="615" t="s">
        <v>476</v>
      </c>
      <c r="B66" s="616" t="s">
        <v>2317</v>
      </c>
      <c r="C66" s="616" t="s">
        <v>2015</v>
      </c>
      <c r="D66" s="616" t="s">
        <v>2016</v>
      </c>
      <c r="E66" s="616" t="s">
        <v>2318</v>
      </c>
      <c r="F66" s="619">
        <v>0.8</v>
      </c>
      <c r="G66" s="619">
        <v>450.29599999999999</v>
      </c>
      <c r="H66" s="640">
        <v>1</v>
      </c>
      <c r="I66" s="619"/>
      <c r="J66" s="619"/>
      <c r="K66" s="640">
        <v>0</v>
      </c>
      <c r="L66" s="619">
        <v>0.8</v>
      </c>
      <c r="M66" s="620">
        <v>450.29599999999999</v>
      </c>
    </row>
    <row r="67" spans="1:13" ht="14.4" customHeight="1" x14ac:dyDescent="0.3">
      <c r="A67" s="615" t="s">
        <v>476</v>
      </c>
      <c r="B67" s="616" t="s">
        <v>2317</v>
      </c>
      <c r="C67" s="616" t="s">
        <v>1939</v>
      </c>
      <c r="D67" s="616" t="s">
        <v>2319</v>
      </c>
      <c r="E67" s="616" t="s">
        <v>2320</v>
      </c>
      <c r="F67" s="619"/>
      <c r="G67" s="619"/>
      <c r="H67" s="640">
        <v>0</v>
      </c>
      <c r="I67" s="619">
        <v>2</v>
      </c>
      <c r="J67" s="619">
        <v>154.51999999999998</v>
      </c>
      <c r="K67" s="640">
        <v>1</v>
      </c>
      <c r="L67" s="619">
        <v>2</v>
      </c>
      <c r="M67" s="620">
        <v>154.51999999999998</v>
      </c>
    </row>
    <row r="68" spans="1:13" ht="14.4" customHeight="1" x14ac:dyDescent="0.3">
      <c r="A68" s="615" t="s">
        <v>476</v>
      </c>
      <c r="B68" s="616" t="s">
        <v>2321</v>
      </c>
      <c r="C68" s="616" t="s">
        <v>2034</v>
      </c>
      <c r="D68" s="616" t="s">
        <v>2035</v>
      </c>
      <c r="E68" s="616" t="s">
        <v>1984</v>
      </c>
      <c r="F68" s="619"/>
      <c r="G68" s="619"/>
      <c r="H68" s="640">
        <v>0</v>
      </c>
      <c r="I68" s="619">
        <v>16</v>
      </c>
      <c r="J68" s="619">
        <v>554.55999999999995</v>
      </c>
      <c r="K68" s="640">
        <v>1</v>
      </c>
      <c r="L68" s="619">
        <v>16</v>
      </c>
      <c r="M68" s="620">
        <v>554.55999999999995</v>
      </c>
    </row>
    <row r="69" spans="1:13" ht="14.4" customHeight="1" x14ac:dyDescent="0.3">
      <c r="A69" s="615" t="s">
        <v>476</v>
      </c>
      <c r="B69" s="616" t="s">
        <v>2321</v>
      </c>
      <c r="C69" s="616" t="s">
        <v>2036</v>
      </c>
      <c r="D69" s="616" t="s">
        <v>2037</v>
      </c>
      <c r="E69" s="616" t="s">
        <v>2038</v>
      </c>
      <c r="F69" s="619"/>
      <c r="G69" s="619"/>
      <c r="H69" s="640">
        <v>0</v>
      </c>
      <c r="I69" s="619">
        <v>192</v>
      </c>
      <c r="J69" s="619">
        <v>10599.690796866142</v>
      </c>
      <c r="K69" s="640">
        <v>1</v>
      </c>
      <c r="L69" s="619">
        <v>192</v>
      </c>
      <c r="M69" s="620">
        <v>10599.690796866142</v>
      </c>
    </row>
    <row r="70" spans="1:13" ht="14.4" customHeight="1" x14ac:dyDescent="0.3">
      <c r="A70" s="615" t="s">
        <v>476</v>
      </c>
      <c r="B70" s="616" t="s">
        <v>2322</v>
      </c>
      <c r="C70" s="616" t="s">
        <v>1903</v>
      </c>
      <c r="D70" s="616" t="s">
        <v>2323</v>
      </c>
      <c r="E70" s="616" t="s">
        <v>2324</v>
      </c>
      <c r="F70" s="619"/>
      <c r="G70" s="619"/>
      <c r="H70" s="640">
        <v>0</v>
      </c>
      <c r="I70" s="619">
        <v>8</v>
      </c>
      <c r="J70" s="619">
        <v>4790.72</v>
      </c>
      <c r="K70" s="640">
        <v>1</v>
      </c>
      <c r="L70" s="619">
        <v>8</v>
      </c>
      <c r="M70" s="620">
        <v>4790.72</v>
      </c>
    </row>
    <row r="71" spans="1:13" ht="14.4" customHeight="1" x14ac:dyDescent="0.3">
      <c r="A71" s="615" t="s">
        <v>476</v>
      </c>
      <c r="B71" s="616" t="s">
        <v>2325</v>
      </c>
      <c r="C71" s="616" t="s">
        <v>2027</v>
      </c>
      <c r="D71" s="616" t="s">
        <v>2326</v>
      </c>
      <c r="E71" s="616" t="s">
        <v>2327</v>
      </c>
      <c r="F71" s="619"/>
      <c r="G71" s="619"/>
      <c r="H71" s="640">
        <v>0</v>
      </c>
      <c r="I71" s="619">
        <v>685</v>
      </c>
      <c r="J71" s="619">
        <v>19789.326818181817</v>
      </c>
      <c r="K71" s="640">
        <v>1</v>
      </c>
      <c r="L71" s="619">
        <v>685</v>
      </c>
      <c r="M71" s="620">
        <v>19789.326818181817</v>
      </c>
    </row>
    <row r="72" spans="1:13" ht="14.4" customHeight="1" x14ac:dyDescent="0.3">
      <c r="A72" s="615" t="s">
        <v>476</v>
      </c>
      <c r="B72" s="616" t="s">
        <v>2328</v>
      </c>
      <c r="C72" s="616" t="s">
        <v>2065</v>
      </c>
      <c r="D72" s="616" t="s">
        <v>2066</v>
      </c>
      <c r="E72" s="616" t="s">
        <v>2329</v>
      </c>
      <c r="F72" s="619"/>
      <c r="G72" s="619"/>
      <c r="H72" s="640">
        <v>0</v>
      </c>
      <c r="I72" s="619">
        <v>44.099999999999994</v>
      </c>
      <c r="J72" s="619">
        <v>7033.9500000000007</v>
      </c>
      <c r="K72" s="640">
        <v>1</v>
      </c>
      <c r="L72" s="619">
        <v>44.099999999999994</v>
      </c>
      <c r="M72" s="620">
        <v>7033.9500000000007</v>
      </c>
    </row>
    <row r="73" spans="1:13" ht="14.4" customHeight="1" x14ac:dyDescent="0.3">
      <c r="A73" s="615" t="s">
        <v>476</v>
      </c>
      <c r="B73" s="616" t="s">
        <v>2328</v>
      </c>
      <c r="C73" s="616" t="s">
        <v>2068</v>
      </c>
      <c r="D73" s="616" t="s">
        <v>2066</v>
      </c>
      <c r="E73" s="616" t="s">
        <v>2330</v>
      </c>
      <c r="F73" s="619"/>
      <c r="G73" s="619"/>
      <c r="H73" s="640">
        <v>0</v>
      </c>
      <c r="I73" s="619">
        <v>13.5</v>
      </c>
      <c r="J73" s="619">
        <v>4158</v>
      </c>
      <c r="K73" s="640">
        <v>1</v>
      </c>
      <c r="L73" s="619">
        <v>13.5</v>
      </c>
      <c r="M73" s="620">
        <v>4158</v>
      </c>
    </row>
    <row r="74" spans="1:13" ht="14.4" customHeight="1" x14ac:dyDescent="0.3">
      <c r="A74" s="615" t="s">
        <v>476</v>
      </c>
      <c r="B74" s="616" t="s">
        <v>2328</v>
      </c>
      <c r="C74" s="616" t="s">
        <v>2070</v>
      </c>
      <c r="D74" s="616" t="s">
        <v>2071</v>
      </c>
      <c r="E74" s="616" t="s">
        <v>2331</v>
      </c>
      <c r="F74" s="619"/>
      <c r="G74" s="619"/>
      <c r="H74" s="640">
        <v>0</v>
      </c>
      <c r="I74" s="619">
        <v>2</v>
      </c>
      <c r="J74" s="619">
        <v>570.47950493244241</v>
      </c>
      <c r="K74" s="640">
        <v>1</v>
      </c>
      <c r="L74" s="619">
        <v>2</v>
      </c>
      <c r="M74" s="620">
        <v>570.47950493244241</v>
      </c>
    </row>
    <row r="75" spans="1:13" ht="14.4" customHeight="1" x14ac:dyDescent="0.3">
      <c r="A75" s="615" t="s">
        <v>476</v>
      </c>
      <c r="B75" s="616" t="s">
        <v>2332</v>
      </c>
      <c r="C75" s="616" t="s">
        <v>2063</v>
      </c>
      <c r="D75" s="616" t="s">
        <v>2060</v>
      </c>
      <c r="E75" s="616" t="s">
        <v>2333</v>
      </c>
      <c r="F75" s="619"/>
      <c r="G75" s="619"/>
      <c r="H75" s="640">
        <v>0</v>
      </c>
      <c r="I75" s="619">
        <v>1</v>
      </c>
      <c r="J75" s="619">
        <v>13607.949999999997</v>
      </c>
      <c r="K75" s="640">
        <v>1</v>
      </c>
      <c r="L75" s="619">
        <v>1</v>
      </c>
      <c r="M75" s="620">
        <v>13607.949999999997</v>
      </c>
    </row>
    <row r="76" spans="1:13" ht="14.4" customHeight="1" x14ac:dyDescent="0.3">
      <c r="A76" s="615" t="s">
        <v>476</v>
      </c>
      <c r="B76" s="616" t="s">
        <v>2332</v>
      </c>
      <c r="C76" s="616" t="s">
        <v>2059</v>
      </c>
      <c r="D76" s="616" t="s">
        <v>2060</v>
      </c>
      <c r="E76" s="616" t="s">
        <v>2061</v>
      </c>
      <c r="F76" s="619"/>
      <c r="G76" s="619"/>
      <c r="H76" s="640">
        <v>0</v>
      </c>
      <c r="I76" s="619">
        <v>145</v>
      </c>
      <c r="J76" s="619">
        <v>409662.73</v>
      </c>
      <c r="K76" s="640">
        <v>1</v>
      </c>
      <c r="L76" s="619">
        <v>145</v>
      </c>
      <c r="M76" s="620">
        <v>409662.73</v>
      </c>
    </row>
    <row r="77" spans="1:13" ht="14.4" customHeight="1" x14ac:dyDescent="0.3">
      <c r="A77" s="615" t="s">
        <v>476</v>
      </c>
      <c r="B77" s="616" t="s">
        <v>2334</v>
      </c>
      <c r="C77" s="616" t="s">
        <v>1585</v>
      </c>
      <c r="D77" s="616" t="s">
        <v>511</v>
      </c>
      <c r="E77" s="616" t="s">
        <v>2335</v>
      </c>
      <c r="F77" s="619"/>
      <c r="G77" s="619"/>
      <c r="H77" s="640">
        <v>0</v>
      </c>
      <c r="I77" s="619">
        <v>2</v>
      </c>
      <c r="J77" s="619">
        <v>210.11999999999995</v>
      </c>
      <c r="K77" s="640">
        <v>1</v>
      </c>
      <c r="L77" s="619">
        <v>2</v>
      </c>
      <c r="M77" s="620">
        <v>210.11999999999995</v>
      </c>
    </row>
    <row r="78" spans="1:13" ht="14.4" customHeight="1" x14ac:dyDescent="0.3">
      <c r="A78" s="615" t="s">
        <v>476</v>
      </c>
      <c r="B78" s="616" t="s">
        <v>2334</v>
      </c>
      <c r="C78" s="616" t="s">
        <v>510</v>
      </c>
      <c r="D78" s="616" t="s">
        <v>511</v>
      </c>
      <c r="E78" s="616" t="s">
        <v>2335</v>
      </c>
      <c r="F78" s="619">
        <v>1</v>
      </c>
      <c r="G78" s="619">
        <v>103.32000000000002</v>
      </c>
      <c r="H78" s="640">
        <v>1</v>
      </c>
      <c r="I78" s="619"/>
      <c r="J78" s="619"/>
      <c r="K78" s="640">
        <v>0</v>
      </c>
      <c r="L78" s="619">
        <v>1</v>
      </c>
      <c r="M78" s="620">
        <v>103.32000000000002</v>
      </c>
    </row>
    <row r="79" spans="1:13" ht="14.4" customHeight="1" x14ac:dyDescent="0.3">
      <c r="A79" s="615" t="s">
        <v>476</v>
      </c>
      <c r="B79" s="616" t="s">
        <v>2336</v>
      </c>
      <c r="C79" s="616" t="s">
        <v>1745</v>
      </c>
      <c r="D79" s="616" t="s">
        <v>2337</v>
      </c>
      <c r="E79" s="616" t="s">
        <v>2338</v>
      </c>
      <c r="F79" s="619"/>
      <c r="G79" s="619"/>
      <c r="H79" s="640">
        <v>0</v>
      </c>
      <c r="I79" s="619">
        <v>64</v>
      </c>
      <c r="J79" s="619">
        <v>44252.801372257993</v>
      </c>
      <c r="K79" s="640">
        <v>1</v>
      </c>
      <c r="L79" s="619">
        <v>64</v>
      </c>
      <c r="M79" s="620">
        <v>44252.801372257993</v>
      </c>
    </row>
    <row r="80" spans="1:13" ht="14.4" customHeight="1" x14ac:dyDescent="0.3">
      <c r="A80" s="615" t="s">
        <v>476</v>
      </c>
      <c r="B80" s="616" t="s">
        <v>2336</v>
      </c>
      <c r="C80" s="616" t="s">
        <v>491</v>
      </c>
      <c r="D80" s="616" t="s">
        <v>2339</v>
      </c>
      <c r="E80" s="616" t="s">
        <v>2340</v>
      </c>
      <c r="F80" s="619">
        <v>80</v>
      </c>
      <c r="G80" s="619">
        <v>13685.420000000002</v>
      </c>
      <c r="H80" s="640">
        <v>1</v>
      </c>
      <c r="I80" s="619"/>
      <c r="J80" s="619"/>
      <c r="K80" s="640">
        <v>0</v>
      </c>
      <c r="L80" s="619">
        <v>80</v>
      </c>
      <c r="M80" s="620">
        <v>13685.420000000002</v>
      </c>
    </row>
    <row r="81" spans="1:13" ht="14.4" customHeight="1" x14ac:dyDescent="0.3">
      <c r="A81" s="615" t="s">
        <v>476</v>
      </c>
      <c r="B81" s="616" t="s">
        <v>2341</v>
      </c>
      <c r="C81" s="616" t="s">
        <v>1749</v>
      </c>
      <c r="D81" s="616" t="s">
        <v>1750</v>
      </c>
      <c r="E81" s="616" t="s">
        <v>2342</v>
      </c>
      <c r="F81" s="619"/>
      <c r="G81" s="619"/>
      <c r="H81" s="640">
        <v>0</v>
      </c>
      <c r="I81" s="619">
        <v>5</v>
      </c>
      <c r="J81" s="619">
        <v>4801.25</v>
      </c>
      <c r="K81" s="640">
        <v>1</v>
      </c>
      <c r="L81" s="619">
        <v>5</v>
      </c>
      <c r="M81" s="620">
        <v>4801.25</v>
      </c>
    </row>
    <row r="82" spans="1:13" ht="14.4" customHeight="1" x14ac:dyDescent="0.3">
      <c r="A82" s="615" t="s">
        <v>476</v>
      </c>
      <c r="B82" s="616" t="s">
        <v>2343</v>
      </c>
      <c r="C82" s="616" t="s">
        <v>1723</v>
      </c>
      <c r="D82" s="616" t="s">
        <v>1724</v>
      </c>
      <c r="E82" s="616" t="s">
        <v>2344</v>
      </c>
      <c r="F82" s="619"/>
      <c r="G82" s="619"/>
      <c r="H82" s="640">
        <v>0</v>
      </c>
      <c r="I82" s="619">
        <v>1</v>
      </c>
      <c r="J82" s="619">
        <v>174.61</v>
      </c>
      <c r="K82" s="640">
        <v>1</v>
      </c>
      <c r="L82" s="619">
        <v>1</v>
      </c>
      <c r="M82" s="620">
        <v>174.61</v>
      </c>
    </row>
    <row r="83" spans="1:13" ht="14.4" customHeight="1" x14ac:dyDescent="0.3">
      <c r="A83" s="615" t="s">
        <v>476</v>
      </c>
      <c r="B83" s="616" t="s">
        <v>2343</v>
      </c>
      <c r="C83" s="616" t="s">
        <v>1753</v>
      </c>
      <c r="D83" s="616" t="s">
        <v>1754</v>
      </c>
      <c r="E83" s="616" t="s">
        <v>2345</v>
      </c>
      <c r="F83" s="619"/>
      <c r="G83" s="619"/>
      <c r="H83" s="640">
        <v>0</v>
      </c>
      <c r="I83" s="619">
        <v>1</v>
      </c>
      <c r="J83" s="619">
        <v>64.92</v>
      </c>
      <c r="K83" s="640">
        <v>1</v>
      </c>
      <c r="L83" s="619">
        <v>1</v>
      </c>
      <c r="M83" s="620">
        <v>64.92</v>
      </c>
    </row>
    <row r="84" spans="1:13" ht="14.4" customHeight="1" x14ac:dyDescent="0.3">
      <c r="A84" s="615" t="s">
        <v>476</v>
      </c>
      <c r="B84" s="616" t="s">
        <v>2346</v>
      </c>
      <c r="C84" s="616" t="s">
        <v>1730</v>
      </c>
      <c r="D84" s="616" t="s">
        <v>2347</v>
      </c>
      <c r="E84" s="616" t="s">
        <v>2348</v>
      </c>
      <c r="F84" s="619"/>
      <c r="G84" s="619"/>
      <c r="H84" s="640">
        <v>0</v>
      </c>
      <c r="I84" s="619">
        <v>1</v>
      </c>
      <c r="J84" s="619">
        <v>80.52</v>
      </c>
      <c r="K84" s="640">
        <v>1</v>
      </c>
      <c r="L84" s="619">
        <v>1</v>
      </c>
      <c r="M84" s="620">
        <v>80.52</v>
      </c>
    </row>
    <row r="85" spans="1:13" ht="14.4" customHeight="1" x14ac:dyDescent="0.3">
      <c r="A85" s="615" t="s">
        <v>476</v>
      </c>
      <c r="B85" s="616" t="s">
        <v>2346</v>
      </c>
      <c r="C85" s="616" t="s">
        <v>1641</v>
      </c>
      <c r="D85" s="616" t="s">
        <v>2347</v>
      </c>
      <c r="E85" s="616" t="s">
        <v>2349</v>
      </c>
      <c r="F85" s="619"/>
      <c r="G85" s="619"/>
      <c r="H85" s="640">
        <v>0</v>
      </c>
      <c r="I85" s="619">
        <v>1</v>
      </c>
      <c r="J85" s="619">
        <v>414.79</v>
      </c>
      <c r="K85" s="640">
        <v>1</v>
      </c>
      <c r="L85" s="619">
        <v>1</v>
      </c>
      <c r="M85" s="620">
        <v>414.79</v>
      </c>
    </row>
    <row r="86" spans="1:13" ht="14.4" customHeight="1" x14ac:dyDescent="0.3">
      <c r="A86" s="615" t="s">
        <v>476</v>
      </c>
      <c r="B86" s="616" t="s">
        <v>2346</v>
      </c>
      <c r="C86" s="616" t="s">
        <v>1645</v>
      </c>
      <c r="D86" s="616" t="s">
        <v>2350</v>
      </c>
      <c r="E86" s="616" t="s">
        <v>2351</v>
      </c>
      <c r="F86" s="619"/>
      <c r="G86" s="619"/>
      <c r="H86" s="640">
        <v>0</v>
      </c>
      <c r="I86" s="619">
        <v>2</v>
      </c>
      <c r="J86" s="619">
        <v>644.9799999999999</v>
      </c>
      <c r="K86" s="640">
        <v>1</v>
      </c>
      <c r="L86" s="619">
        <v>2</v>
      </c>
      <c r="M86" s="620">
        <v>644.9799999999999</v>
      </c>
    </row>
    <row r="87" spans="1:13" ht="14.4" customHeight="1" x14ac:dyDescent="0.3">
      <c r="A87" s="615" t="s">
        <v>476</v>
      </c>
      <c r="B87" s="616" t="s">
        <v>2352</v>
      </c>
      <c r="C87" s="616" t="s">
        <v>1741</v>
      </c>
      <c r="D87" s="616" t="s">
        <v>1742</v>
      </c>
      <c r="E87" s="616" t="s">
        <v>2353</v>
      </c>
      <c r="F87" s="619"/>
      <c r="G87" s="619"/>
      <c r="H87" s="640">
        <v>0</v>
      </c>
      <c r="I87" s="619">
        <v>3</v>
      </c>
      <c r="J87" s="619">
        <v>755.93999999999994</v>
      </c>
      <c r="K87" s="640">
        <v>1</v>
      </c>
      <c r="L87" s="619">
        <v>3</v>
      </c>
      <c r="M87" s="620">
        <v>755.93999999999994</v>
      </c>
    </row>
    <row r="88" spans="1:13" ht="14.4" customHeight="1" x14ac:dyDescent="0.3">
      <c r="A88" s="615" t="s">
        <v>476</v>
      </c>
      <c r="B88" s="616" t="s">
        <v>2354</v>
      </c>
      <c r="C88" s="616" t="s">
        <v>1689</v>
      </c>
      <c r="D88" s="616" t="s">
        <v>2355</v>
      </c>
      <c r="E88" s="616" t="s">
        <v>2356</v>
      </c>
      <c r="F88" s="619"/>
      <c r="G88" s="619"/>
      <c r="H88" s="640">
        <v>0</v>
      </c>
      <c r="I88" s="619">
        <v>1</v>
      </c>
      <c r="J88" s="619">
        <v>90.660204078227721</v>
      </c>
      <c r="K88" s="640">
        <v>1</v>
      </c>
      <c r="L88" s="619">
        <v>1</v>
      </c>
      <c r="M88" s="620">
        <v>90.660204078227721</v>
      </c>
    </row>
    <row r="89" spans="1:13" ht="14.4" customHeight="1" x14ac:dyDescent="0.3">
      <c r="A89" s="615" t="s">
        <v>476</v>
      </c>
      <c r="B89" s="616" t="s">
        <v>2354</v>
      </c>
      <c r="C89" s="616" t="s">
        <v>1649</v>
      </c>
      <c r="D89" s="616" t="s">
        <v>2357</v>
      </c>
      <c r="E89" s="616" t="s">
        <v>2358</v>
      </c>
      <c r="F89" s="619"/>
      <c r="G89" s="619"/>
      <c r="H89" s="640">
        <v>0</v>
      </c>
      <c r="I89" s="619">
        <v>1</v>
      </c>
      <c r="J89" s="619">
        <v>46.99000000000003</v>
      </c>
      <c r="K89" s="640">
        <v>1</v>
      </c>
      <c r="L89" s="619">
        <v>1</v>
      </c>
      <c r="M89" s="620">
        <v>46.99000000000003</v>
      </c>
    </row>
    <row r="90" spans="1:13" ht="14.4" customHeight="1" x14ac:dyDescent="0.3">
      <c r="A90" s="615" t="s">
        <v>476</v>
      </c>
      <c r="B90" s="616" t="s">
        <v>2354</v>
      </c>
      <c r="C90" s="616" t="s">
        <v>1720</v>
      </c>
      <c r="D90" s="616" t="s">
        <v>2359</v>
      </c>
      <c r="E90" s="616" t="s">
        <v>2360</v>
      </c>
      <c r="F90" s="619"/>
      <c r="G90" s="619"/>
      <c r="H90" s="640">
        <v>0</v>
      </c>
      <c r="I90" s="619">
        <v>1</v>
      </c>
      <c r="J90" s="619">
        <v>61.659999999999982</v>
      </c>
      <c r="K90" s="640">
        <v>1</v>
      </c>
      <c r="L90" s="619">
        <v>1</v>
      </c>
      <c r="M90" s="620">
        <v>61.659999999999982</v>
      </c>
    </row>
    <row r="91" spans="1:13" ht="14.4" customHeight="1" x14ac:dyDescent="0.3">
      <c r="A91" s="615" t="s">
        <v>476</v>
      </c>
      <c r="B91" s="616" t="s">
        <v>2361</v>
      </c>
      <c r="C91" s="616" t="s">
        <v>504</v>
      </c>
      <c r="D91" s="616" t="s">
        <v>505</v>
      </c>
      <c r="E91" s="616" t="s">
        <v>2362</v>
      </c>
      <c r="F91" s="619">
        <v>23</v>
      </c>
      <c r="G91" s="619">
        <v>11412.556</v>
      </c>
      <c r="H91" s="640">
        <v>1</v>
      </c>
      <c r="I91" s="619"/>
      <c r="J91" s="619"/>
      <c r="K91" s="640">
        <v>0</v>
      </c>
      <c r="L91" s="619">
        <v>23</v>
      </c>
      <c r="M91" s="620">
        <v>11412.556</v>
      </c>
    </row>
    <row r="92" spans="1:13" ht="14.4" customHeight="1" x14ac:dyDescent="0.3">
      <c r="A92" s="615" t="s">
        <v>476</v>
      </c>
      <c r="B92" s="616" t="s">
        <v>2363</v>
      </c>
      <c r="C92" s="616" t="s">
        <v>1782</v>
      </c>
      <c r="D92" s="616" t="s">
        <v>1599</v>
      </c>
      <c r="E92" s="616" t="s">
        <v>2364</v>
      </c>
      <c r="F92" s="619"/>
      <c r="G92" s="619"/>
      <c r="H92" s="640">
        <v>0</v>
      </c>
      <c r="I92" s="619">
        <v>1</v>
      </c>
      <c r="J92" s="619">
        <v>161.69</v>
      </c>
      <c r="K92" s="640">
        <v>1</v>
      </c>
      <c r="L92" s="619">
        <v>1</v>
      </c>
      <c r="M92" s="620">
        <v>161.69</v>
      </c>
    </row>
    <row r="93" spans="1:13" ht="14.4" customHeight="1" x14ac:dyDescent="0.3">
      <c r="A93" s="615" t="s">
        <v>476</v>
      </c>
      <c r="B93" s="616" t="s">
        <v>2363</v>
      </c>
      <c r="C93" s="616" t="s">
        <v>1675</v>
      </c>
      <c r="D93" s="616" t="s">
        <v>1676</v>
      </c>
      <c r="E93" s="616" t="s">
        <v>2255</v>
      </c>
      <c r="F93" s="619"/>
      <c r="G93" s="619"/>
      <c r="H93" s="640">
        <v>0</v>
      </c>
      <c r="I93" s="619">
        <v>3</v>
      </c>
      <c r="J93" s="619">
        <v>60.1799991920455</v>
      </c>
      <c r="K93" s="640">
        <v>1</v>
      </c>
      <c r="L93" s="619">
        <v>3</v>
      </c>
      <c r="M93" s="620">
        <v>60.1799991920455</v>
      </c>
    </row>
    <row r="94" spans="1:13" ht="14.4" customHeight="1" x14ac:dyDescent="0.3">
      <c r="A94" s="615" t="s">
        <v>476</v>
      </c>
      <c r="B94" s="616" t="s">
        <v>2363</v>
      </c>
      <c r="C94" s="616" t="s">
        <v>1727</v>
      </c>
      <c r="D94" s="616" t="s">
        <v>1599</v>
      </c>
      <c r="E94" s="616" t="s">
        <v>2365</v>
      </c>
      <c r="F94" s="619"/>
      <c r="G94" s="619"/>
      <c r="H94" s="640">
        <v>0</v>
      </c>
      <c r="I94" s="619">
        <v>2</v>
      </c>
      <c r="J94" s="619">
        <v>194.63818570342278</v>
      </c>
      <c r="K94" s="640">
        <v>1</v>
      </c>
      <c r="L94" s="619">
        <v>2</v>
      </c>
      <c r="M94" s="620">
        <v>194.63818570342278</v>
      </c>
    </row>
    <row r="95" spans="1:13" ht="14.4" customHeight="1" x14ac:dyDescent="0.3">
      <c r="A95" s="615" t="s">
        <v>476</v>
      </c>
      <c r="B95" s="616" t="s">
        <v>2363</v>
      </c>
      <c r="C95" s="616" t="s">
        <v>1598</v>
      </c>
      <c r="D95" s="616" t="s">
        <v>1599</v>
      </c>
      <c r="E95" s="616" t="s">
        <v>2364</v>
      </c>
      <c r="F95" s="619"/>
      <c r="G95" s="619"/>
      <c r="H95" s="640">
        <v>0</v>
      </c>
      <c r="I95" s="619">
        <v>1</v>
      </c>
      <c r="J95" s="619">
        <v>54.68</v>
      </c>
      <c r="K95" s="640">
        <v>1</v>
      </c>
      <c r="L95" s="619">
        <v>1</v>
      </c>
      <c r="M95" s="620">
        <v>54.68</v>
      </c>
    </row>
    <row r="96" spans="1:13" ht="14.4" customHeight="1" x14ac:dyDescent="0.3">
      <c r="A96" s="615" t="s">
        <v>476</v>
      </c>
      <c r="B96" s="616" t="s">
        <v>2366</v>
      </c>
      <c r="C96" s="616" t="s">
        <v>1789</v>
      </c>
      <c r="D96" s="616" t="s">
        <v>1790</v>
      </c>
      <c r="E96" s="616" t="s">
        <v>2222</v>
      </c>
      <c r="F96" s="619"/>
      <c r="G96" s="619"/>
      <c r="H96" s="640">
        <v>0</v>
      </c>
      <c r="I96" s="619">
        <v>1</v>
      </c>
      <c r="J96" s="619">
        <v>214.09053147016326</v>
      </c>
      <c r="K96" s="640">
        <v>1</v>
      </c>
      <c r="L96" s="619">
        <v>1</v>
      </c>
      <c r="M96" s="620">
        <v>214.09053147016326</v>
      </c>
    </row>
    <row r="97" spans="1:13" ht="14.4" customHeight="1" x14ac:dyDescent="0.3">
      <c r="A97" s="615" t="s">
        <v>476</v>
      </c>
      <c r="B97" s="616" t="s">
        <v>2366</v>
      </c>
      <c r="C97" s="616" t="s">
        <v>1707</v>
      </c>
      <c r="D97" s="616" t="s">
        <v>2367</v>
      </c>
      <c r="E97" s="616" t="s">
        <v>2368</v>
      </c>
      <c r="F97" s="619"/>
      <c r="G97" s="619"/>
      <c r="H97" s="640">
        <v>0</v>
      </c>
      <c r="I97" s="619">
        <v>1</v>
      </c>
      <c r="J97" s="619">
        <v>185.16000000000005</v>
      </c>
      <c r="K97" s="640">
        <v>1</v>
      </c>
      <c r="L97" s="619">
        <v>1</v>
      </c>
      <c r="M97" s="620">
        <v>185.16000000000005</v>
      </c>
    </row>
    <row r="98" spans="1:13" ht="14.4" customHeight="1" x14ac:dyDescent="0.3">
      <c r="A98" s="615" t="s">
        <v>476</v>
      </c>
      <c r="B98" s="616" t="s">
        <v>2369</v>
      </c>
      <c r="C98" s="616" t="s">
        <v>514</v>
      </c>
      <c r="D98" s="616" t="s">
        <v>515</v>
      </c>
      <c r="E98" s="616" t="s">
        <v>2370</v>
      </c>
      <c r="F98" s="619">
        <v>1</v>
      </c>
      <c r="G98" s="619">
        <v>59.7</v>
      </c>
      <c r="H98" s="640">
        <v>1</v>
      </c>
      <c r="I98" s="619"/>
      <c r="J98" s="619"/>
      <c r="K98" s="640">
        <v>0</v>
      </c>
      <c r="L98" s="619">
        <v>1</v>
      </c>
      <c r="M98" s="620">
        <v>59.7</v>
      </c>
    </row>
    <row r="99" spans="1:13" ht="14.4" customHeight="1" x14ac:dyDescent="0.3">
      <c r="A99" s="615" t="s">
        <v>476</v>
      </c>
      <c r="B99" s="616" t="s">
        <v>2369</v>
      </c>
      <c r="C99" s="616" t="s">
        <v>501</v>
      </c>
      <c r="D99" s="616" t="s">
        <v>502</v>
      </c>
      <c r="E99" s="616" t="s">
        <v>2371</v>
      </c>
      <c r="F99" s="619">
        <v>1</v>
      </c>
      <c r="G99" s="619">
        <v>29.84</v>
      </c>
      <c r="H99" s="640">
        <v>1</v>
      </c>
      <c r="I99" s="619"/>
      <c r="J99" s="619"/>
      <c r="K99" s="640">
        <v>0</v>
      </c>
      <c r="L99" s="619">
        <v>1</v>
      </c>
      <c r="M99" s="620">
        <v>29.84</v>
      </c>
    </row>
    <row r="100" spans="1:13" ht="14.4" customHeight="1" x14ac:dyDescent="0.3">
      <c r="A100" s="615" t="s">
        <v>476</v>
      </c>
      <c r="B100" s="616" t="s">
        <v>2369</v>
      </c>
      <c r="C100" s="616" t="s">
        <v>1700</v>
      </c>
      <c r="D100" s="616" t="s">
        <v>1701</v>
      </c>
      <c r="E100" s="616" t="s">
        <v>2255</v>
      </c>
      <c r="F100" s="619"/>
      <c r="G100" s="619"/>
      <c r="H100" s="640">
        <v>0</v>
      </c>
      <c r="I100" s="619">
        <v>1</v>
      </c>
      <c r="J100" s="619">
        <v>71.170000000000016</v>
      </c>
      <c r="K100" s="640">
        <v>1</v>
      </c>
      <c r="L100" s="619">
        <v>1</v>
      </c>
      <c r="M100" s="620">
        <v>71.170000000000016</v>
      </c>
    </row>
    <row r="101" spans="1:13" ht="14.4" customHeight="1" x14ac:dyDescent="0.3">
      <c r="A101" s="615" t="s">
        <v>476</v>
      </c>
      <c r="B101" s="616" t="s">
        <v>2372</v>
      </c>
      <c r="C101" s="616" t="s">
        <v>495</v>
      </c>
      <c r="D101" s="616" t="s">
        <v>2373</v>
      </c>
      <c r="E101" s="616" t="s">
        <v>2374</v>
      </c>
      <c r="F101" s="619">
        <v>3</v>
      </c>
      <c r="G101" s="619">
        <v>206.34</v>
      </c>
      <c r="H101" s="640">
        <v>1</v>
      </c>
      <c r="I101" s="619"/>
      <c r="J101" s="619"/>
      <c r="K101" s="640">
        <v>0</v>
      </c>
      <c r="L101" s="619">
        <v>3</v>
      </c>
      <c r="M101" s="620">
        <v>206.34</v>
      </c>
    </row>
    <row r="102" spans="1:13" ht="14.4" customHeight="1" x14ac:dyDescent="0.3">
      <c r="A102" s="615" t="s">
        <v>476</v>
      </c>
      <c r="B102" s="616" t="s">
        <v>2375</v>
      </c>
      <c r="C102" s="616" t="s">
        <v>1633</v>
      </c>
      <c r="D102" s="616" t="s">
        <v>1634</v>
      </c>
      <c r="E102" s="616" t="s">
        <v>2376</v>
      </c>
      <c r="F102" s="619"/>
      <c r="G102" s="619"/>
      <c r="H102" s="640">
        <v>0</v>
      </c>
      <c r="I102" s="619">
        <v>35</v>
      </c>
      <c r="J102" s="619">
        <v>2780.3490714517557</v>
      </c>
      <c r="K102" s="640">
        <v>1</v>
      </c>
      <c r="L102" s="619">
        <v>35</v>
      </c>
      <c r="M102" s="620">
        <v>2780.3490714517557</v>
      </c>
    </row>
    <row r="103" spans="1:13" ht="14.4" customHeight="1" x14ac:dyDescent="0.3">
      <c r="A103" s="615" t="s">
        <v>476</v>
      </c>
      <c r="B103" s="616" t="s">
        <v>2377</v>
      </c>
      <c r="C103" s="616" t="s">
        <v>1637</v>
      </c>
      <c r="D103" s="616" t="s">
        <v>1638</v>
      </c>
      <c r="E103" s="616" t="s">
        <v>2255</v>
      </c>
      <c r="F103" s="619"/>
      <c r="G103" s="619"/>
      <c r="H103" s="640">
        <v>0</v>
      </c>
      <c r="I103" s="619">
        <v>5</v>
      </c>
      <c r="J103" s="619">
        <v>151.16000443733768</v>
      </c>
      <c r="K103" s="640">
        <v>1</v>
      </c>
      <c r="L103" s="619">
        <v>5</v>
      </c>
      <c r="M103" s="620">
        <v>151.16000443733768</v>
      </c>
    </row>
    <row r="104" spans="1:13" ht="14.4" customHeight="1" x14ac:dyDescent="0.3">
      <c r="A104" s="615" t="s">
        <v>476</v>
      </c>
      <c r="B104" s="616" t="s">
        <v>2378</v>
      </c>
      <c r="C104" s="616" t="s">
        <v>1711</v>
      </c>
      <c r="D104" s="616" t="s">
        <v>1712</v>
      </c>
      <c r="E104" s="616" t="s">
        <v>2379</v>
      </c>
      <c r="F104" s="619"/>
      <c r="G104" s="619"/>
      <c r="H104" s="640">
        <v>0</v>
      </c>
      <c r="I104" s="619">
        <v>2</v>
      </c>
      <c r="J104" s="619">
        <v>311.03999999999996</v>
      </c>
      <c r="K104" s="640">
        <v>1</v>
      </c>
      <c r="L104" s="619">
        <v>2</v>
      </c>
      <c r="M104" s="620">
        <v>311.03999999999996</v>
      </c>
    </row>
    <row r="105" spans="1:13" ht="14.4" customHeight="1" x14ac:dyDescent="0.3">
      <c r="A105" s="615" t="s">
        <v>476</v>
      </c>
      <c r="B105" s="616" t="s">
        <v>2380</v>
      </c>
      <c r="C105" s="616" t="s">
        <v>1795</v>
      </c>
      <c r="D105" s="616" t="s">
        <v>1796</v>
      </c>
      <c r="E105" s="616" t="s">
        <v>1797</v>
      </c>
      <c r="F105" s="619">
        <v>0.33339999999999997</v>
      </c>
      <c r="G105" s="619">
        <v>300.15668599999998</v>
      </c>
      <c r="H105" s="640">
        <v>1</v>
      </c>
      <c r="I105" s="619"/>
      <c r="J105" s="619"/>
      <c r="K105" s="640">
        <v>0</v>
      </c>
      <c r="L105" s="619">
        <v>0.33339999999999997</v>
      </c>
      <c r="M105" s="620">
        <v>300.15668599999998</v>
      </c>
    </row>
    <row r="106" spans="1:13" ht="14.4" customHeight="1" x14ac:dyDescent="0.3">
      <c r="A106" s="615" t="s">
        <v>476</v>
      </c>
      <c r="B106" s="616" t="s">
        <v>2380</v>
      </c>
      <c r="C106" s="616" t="s">
        <v>1842</v>
      </c>
      <c r="D106" s="616" t="s">
        <v>2381</v>
      </c>
      <c r="E106" s="616" t="s">
        <v>2382</v>
      </c>
      <c r="F106" s="619"/>
      <c r="G106" s="619"/>
      <c r="H106" s="640">
        <v>0</v>
      </c>
      <c r="I106" s="619">
        <v>72</v>
      </c>
      <c r="J106" s="619">
        <v>15617.519999999999</v>
      </c>
      <c r="K106" s="640">
        <v>1</v>
      </c>
      <c r="L106" s="619">
        <v>72</v>
      </c>
      <c r="M106" s="620">
        <v>15617.519999999999</v>
      </c>
    </row>
    <row r="107" spans="1:13" ht="14.4" customHeight="1" x14ac:dyDescent="0.3">
      <c r="A107" s="615" t="s">
        <v>476</v>
      </c>
      <c r="B107" s="616" t="s">
        <v>2380</v>
      </c>
      <c r="C107" s="616" t="s">
        <v>1827</v>
      </c>
      <c r="D107" s="616" t="s">
        <v>1828</v>
      </c>
      <c r="E107" s="616" t="s">
        <v>1800</v>
      </c>
      <c r="F107" s="619"/>
      <c r="G107" s="619"/>
      <c r="H107" s="640">
        <v>0</v>
      </c>
      <c r="I107" s="619">
        <v>28</v>
      </c>
      <c r="J107" s="619">
        <v>1145.7600000000002</v>
      </c>
      <c r="K107" s="640">
        <v>1</v>
      </c>
      <c r="L107" s="619">
        <v>28</v>
      </c>
      <c r="M107" s="620">
        <v>1145.7600000000002</v>
      </c>
    </row>
    <row r="108" spans="1:13" ht="14.4" customHeight="1" x14ac:dyDescent="0.3">
      <c r="A108" s="615" t="s">
        <v>476</v>
      </c>
      <c r="B108" s="616" t="s">
        <v>2380</v>
      </c>
      <c r="C108" s="616" t="s">
        <v>1830</v>
      </c>
      <c r="D108" s="616" t="s">
        <v>1831</v>
      </c>
      <c r="E108" s="616" t="s">
        <v>1800</v>
      </c>
      <c r="F108" s="619"/>
      <c r="G108" s="619"/>
      <c r="H108" s="640">
        <v>0</v>
      </c>
      <c r="I108" s="619">
        <v>88</v>
      </c>
      <c r="J108" s="619">
        <v>3600.96</v>
      </c>
      <c r="K108" s="640">
        <v>1</v>
      </c>
      <c r="L108" s="619">
        <v>88</v>
      </c>
      <c r="M108" s="620">
        <v>3600.96</v>
      </c>
    </row>
    <row r="109" spans="1:13" ht="14.4" customHeight="1" x14ac:dyDescent="0.3">
      <c r="A109" s="615" t="s">
        <v>476</v>
      </c>
      <c r="B109" s="616" t="s">
        <v>2380</v>
      </c>
      <c r="C109" s="616" t="s">
        <v>1833</v>
      </c>
      <c r="D109" s="616" t="s">
        <v>2383</v>
      </c>
      <c r="E109" s="616" t="s">
        <v>1800</v>
      </c>
      <c r="F109" s="619"/>
      <c r="G109" s="619"/>
      <c r="H109" s="640">
        <v>0</v>
      </c>
      <c r="I109" s="619">
        <v>29</v>
      </c>
      <c r="J109" s="619">
        <v>1194.2200000000003</v>
      </c>
      <c r="K109" s="640">
        <v>1</v>
      </c>
      <c r="L109" s="619">
        <v>29</v>
      </c>
      <c r="M109" s="620">
        <v>1194.2200000000003</v>
      </c>
    </row>
    <row r="110" spans="1:13" ht="14.4" customHeight="1" x14ac:dyDescent="0.3">
      <c r="A110" s="615" t="s">
        <v>476</v>
      </c>
      <c r="B110" s="616" t="s">
        <v>2380</v>
      </c>
      <c r="C110" s="616" t="s">
        <v>1836</v>
      </c>
      <c r="D110" s="616" t="s">
        <v>2384</v>
      </c>
      <c r="E110" s="616" t="s">
        <v>1800</v>
      </c>
      <c r="F110" s="619"/>
      <c r="G110" s="619"/>
      <c r="H110" s="640">
        <v>0</v>
      </c>
      <c r="I110" s="619">
        <v>28</v>
      </c>
      <c r="J110" s="619">
        <v>1153.04</v>
      </c>
      <c r="K110" s="640">
        <v>1</v>
      </c>
      <c r="L110" s="619">
        <v>28</v>
      </c>
      <c r="M110" s="620">
        <v>1153.04</v>
      </c>
    </row>
    <row r="111" spans="1:13" ht="14.4" customHeight="1" x14ac:dyDescent="0.3">
      <c r="A111" s="615" t="s">
        <v>476</v>
      </c>
      <c r="B111" s="616" t="s">
        <v>2380</v>
      </c>
      <c r="C111" s="616" t="s">
        <v>1793</v>
      </c>
      <c r="D111" s="616" t="s">
        <v>2385</v>
      </c>
      <c r="E111" s="616" t="s">
        <v>2386</v>
      </c>
      <c r="F111" s="619">
        <v>3</v>
      </c>
      <c r="G111" s="619">
        <v>549.60749999999996</v>
      </c>
      <c r="H111" s="640">
        <v>1</v>
      </c>
      <c r="I111" s="619"/>
      <c r="J111" s="619"/>
      <c r="K111" s="640">
        <v>0</v>
      </c>
      <c r="L111" s="619">
        <v>3</v>
      </c>
      <c r="M111" s="620">
        <v>549.60749999999996</v>
      </c>
    </row>
    <row r="112" spans="1:13" ht="14.4" customHeight="1" x14ac:dyDescent="0.3">
      <c r="A112" s="615" t="s">
        <v>476</v>
      </c>
      <c r="B112" s="616" t="s">
        <v>2380</v>
      </c>
      <c r="C112" s="616" t="s">
        <v>1857</v>
      </c>
      <c r="D112" s="616" t="s">
        <v>1858</v>
      </c>
      <c r="E112" s="616" t="s">
        <v>1840</v>
      </c>
      <c r="F112" s="619"/>
      <c r="G112" s="619"/>
      <c r="H112" s="640">
        <v>0</v>
      </c>
      <c r="I112" s="619">
        <v>12</v>
      </c>
      <c r="J112" s="619">
        <v>1627.1982138913063</v>
      </c>
      <c r="K112" s="640">
        <v>1</v>
      </c>
      <c r="L112" s="619">
        <v>12</v>
      </c>
      <c r="M112" s="620">
        <v>1627.1982138913063</v>
      </c>
    </row>
    <row r="113" spans="1:13" ht="14.4" customHeight="1" x14ac:dyDescent="0.3">
      <c r="A113" s="615" t="s">
        <v>476</v>
      </c>
      <c r="B113" s="616" t="s">
        <v>2380</v>
      </c>
      <c r="C113" s="616" t="s">
        <v>1845</v>
      </c>
      <c r="D113" s="616" t="s">
        <v>1824</v>
      </c>
      <c r="E113" s="616" t="s">
        <v>1846</v>
      </c>
      <c r="F113" s="619"/>
      <c r="G113" s="619"/>
      <c r="H113" s="640">
        <v>0</v>
      </c>
      <c r="I113" s="619">
        <v>144</v>
      </c>
      <c r="J113" s="619">
        <v>19962.720421967388</v>
      </c>
      <c r="K113" s="640">
        <v>1</v>
      </c>
      <c r="L113" s="619">
        <v>144</v>
      </c>
      <c r="M113" s="620">
        <v>19962.720421967388</v>
      </c>
    </row>
    <row r="114" spans="1:13" ht="14.4" customHeight="1" x14ac:dyDescent="0.3">
      <c r="A114" s="615" t="s">
        <v>476</v>
      </c>
      <c r="B114" s="616" t="s">
        <v>2380</v>
      </c>
      <c r="C114" s="616" t="s">
        <v>1803</v>
      </c>
      <c r="D114" s="616" t="s">
        <v>2387</v>
      </c>
      <c r="E114" s="616" t="s">
        <v>1800</v>
      </c>
      <c r="F114" s="619">
        <v>27</v>
      </c>
      <c r="G114" s="619">
        <v>734.33221448523966</v>
      </c>
      <c r="H114" s="640">
        <v>1</v>
      </c>
      <c r="I114" s="619"/>
      <c r="J114" s="619"/>
      <c r="K114" s="640">
        <v>0</v>
      </c>
      <c r="L114" s="619">
        <v>27</v>
      </c>
      <c r="M114" s="620">
        <v>734.33221448523966</v>
      </c>
    </row>
    <row r="115" spans="1:13" ht="14.4" customHeight="1" x14ac:dyDescent="0.3">
      <c r="A115" s="615" t="s">
        <v>476</v>
      </c>
      <c r="B115" s="616" t="s">
        <v>2380</v>
      </c>
      <c r="C115" s="616" t="s">
        <v>1798</v>
      </c>
      <c r="D115" s="616" t="s">
        <v>2388</v>
      </c>
      <c r="E115" s="616" t="s">
        <v>1800</v>
      </c>
      <c r="F115" s="619">
        <v>22</v>
      </c>
      <c r="G115" s="619">
        <v>598.36701168950435</v>
      </c>
      <c r="H115" s="640">
        <v>1</v>
      </c>
      <c r="I115" s="619"/>
      <c r="J115" s="619"/>
      <c r="K115" s="640">
        <v>0</v>
      </c>
      <c r="L115" s="619">
        <v>22</v>
      </c>
      <c r="M115" s="620">
        <v>598.36701168950435</v>
      </c>
    </row>
    <row r="116" spans="1:13" ht="14.4" customHeight="1" x14ac:dyDescent="0.3">
      <c r="A116" s="615" t="s">
        <v>476</v>
      </c>
      <c r="B116" s="616" t="s">
        <v>2380</v>
      </c>
      <c r="C116" s="616" t="s">
        <v>1801</v>
      </c>
      <c r="D116" s="616" t="s">
        <v>2389</v>
      </c>
      <c r="E116" s="616" t="s">
        <v>1800</v>
      </c>
      <c r="F116" s="619">
        <v>18</v>
      </c>
      <c r="G116" s="619">
        <v>489.52938132193282</v>
      </c>
      <c r="H116" s="640">
        <v>1</v>
      </c>
      <c r="I116" s="619"/>
      <c r="J116" s="619"/>
      <c r="K116" s="640">
        <v>0</v>
      </c>
      <c r="L116" s="619">
        <v>18</v>
      </c>
      <c r="M116" s="620">
        <v>489.52938132193282</v>
      </c>
    </row>
    <row r="117" spans="1:13" ht="14.4" customHeight="1" x14ac:dyDescent="0.3">
      <c r="A117" s="615" t="s">
        <v>476</v>
      </c>
      <c r="B117" s="616" t="s">
        <v>2380</v>
      </c>
      <c r="C117" s="616" t="s">
        <v>1838</v>
      </c>
      <c r="D117" s="616" t="s">
        <v>1839</v>
      </c>
      <c r="E117" s="616" t="s">
        <v>1840</v>
      </c>
      <c r="F117" s="619"/>
      <c r="G117" s="619"/>
      <c r="H117" s="640">
        <v>0</v>
      </c>
      <c r="I117" s="619">
        <v>1</v>
      </c>
      <c r="J117" s="619">
        <v>148.96</v>
      </c>
      <c r="K117" s="640">
        <v>1</v>
      </c>
      <c r="L117" s="619">
        <v>1</v>
      </c>
      <c r="M117" s="620">
        <v>148.96</v>
      </c>
    </row>
    <row r="118" spans="1:13" ht="14.4" customHeight="1" x14ac:dyDescent="0.3">
      <c r="A118" s="615" t="s">
        <v>476</v>
      </c>
      <c r="B118" s="616" t="s">
        <v>2380</v>
      </c>
      <c r="C118" s="616" t="s">
        <v>1860</v>
      </c>
      <c r="D118" s="616" t="s">
        <v>1861</v>
      </c>
      <c r="E118" s="616" t="s">
        <v>1849</v>
      </c>
      <c r="F118" s="619"/>
      <c r="G118" s="619"/>
      <c r="H118" s="640">
        <v>0</v>
      </c>
      <c r="I118" s="619">
        <v>13</v>
      </c>
      <c r="J118" s="619">
        <v>1455.3500080988053</v>
      </c>
      <c r="K118" s="640">
        <v>1</v>
      </c>
      <c r="L118" s="619">
        <v>13</v>
      </c>
      <c r="M118" s="620">
        <v>1455.3500080988053</v>
      </c>
    </row>
    <row r="119" spans="1:13" ht="14.4" customHeight="1" x14ac:dyDescent="0.3">
      <c r="A119" s="615" t="s">
        <v>476</v>
      </c>
      <c r="B119" s="616" t="s">
        <v>2380</v>
      </c>
      <c r="C119" s="616" t="s">
        <v>1847</v>
      </c>
      <c r="D119" s="616" t="s">
        <v>1848</v>
      </c>
      <c r="E119" s="616" t="s">
        <v>1849</v>
      </c>
      <c r="F119" s="619"/>
      <c r="G119" s="619"/>
      <c r="H119" s="640">
        <v>0</v>
      </c>
      <c r="I119" s="619">
        <v>11</v>
      </c>
      <c r="J119" s="619">
        <v>1231.450642757786</v>
      </c>
      <c r="K119" s="640">
        <v>1</v>
      </c>
      <c r="L119" s="619">
        <v>11</v>
      </c>
      <c r="M119" s="620">
        <v>1231.450642757786</v>
      </c>
    </row>
    <row r="120" spans="1:13" ht="14.4" customHeight="1" x14ac:dyDescent="0.3">
      <c r="A120" s="615" t="s">
        <v>476</v>
      </c>
      <c r="B120" s="616" t="s">
        <v>2380</v>
      </c>
      <c r="C120" s="616" t="s">
        <v>1850</v>
      </c>
      <c r="D120" s="616" t="s">
        <v>1851</v>
      </c>
      <c r="E120" s="616" t="s">
        <v>1849</v>
      </c>
      <c r="F120" s="619"/>
      <c r="G120" s="619"/>
      <c r="H120" s="640">
        <v>0</v>
      </c>
      <c r="I120" s="619">
        <v>10</v>
      </c>
      <c r="J120" s="619">
        <v>1119.4998559678054</v>
      </c>
      <c r="K120" s="640">
        <v>1</v>
      </c>
      <c r="L120" s="619">
        <v>10</v>
      </c>
      <c r="M120" s="620">
        <v>1119.4998559678054</v>
      </c>
    </row>
    <row r="121" spans="1:13" ht="14.4" customHeight="1" x14ac:dyDescent="0.3">
      <c r="A121" s="615" t="s">
        <v>476</v>
      </c>
      <c r="B121" s="616" t="s">
        <v>2380</v>
      </c>
      <c r="C121" s="616" t="s">
        <v>1853</v>
      </c>
      <c r="D121" s="616" t="s">
        <v>2390</v>
      </c>
      <c r="E121" s="616" t="s">
        <v>1849</v>
      </c>
      <c r="F121" s="619"/>
      <c r="G121" s="619"/>
      <c r="H121" s="640">
        <v>0</v>
      </c>
      <c r="I121" s="619">
        <v>9</v>
      </c>
      <c r="J121" s="619">
        <v>1007.5500000000001</v>
      </c>
      <c r="K121" s="640">
        <v>1</v>
      </c>
      <c r="L121" s="619">
        <v>9</v>
      </c>
      <c r="M121" s="620">
        <v>1007.5500000000001</v>
      </c>
    </row>
    <row r="122" spans="1:13" ht="14.4" customHeight="1" x14ac:dyDescent="0.3">
      <c r="A122" s="615" t="s">
        <v>476</v>
      </c>
      <c r="B122" s="616" t="s">
        <v>2380</v>
      </c>
      <c r="C122" s="616" t="s">
        <v>1865</v>
      </c>
      <c r="D122" s="616" t="s">
        <v>1866</v>
      </c>
      <c r="E122" s="616" t="s">
        <v>1864</v>
      </c>
      <c r="F122" s="619"/>
      <c r="G122" s="619"/>
      <c r="H122" s="640">
        <v>0</v>
      </c>
      <c r="I122" s="619">
        <v>30</v>
      </c>
      <c r="J122" s="619">
        <v>3680.7000000000003</v>
      </c>
      <c r="K122" s="640">
        <v>1</v>
      </c>
      <c r="L122" s="619">
        <v>30</v>
      </c>
      <c r="M122" s="620">
        <v>3680.7000000000003</v>
      </c>
    </row>
    <row r="123" spans="1:13" ht="14.4" customHeight="1" x14ac:dyDescent="0.3">
      <c r="A123" s="615" t="s">
        <v>476</v>
      </c>
      <c r="B123" s="616" t="s">
        <v>2380</v>
      </c>
      <c r="C123" s="616" t="s">
        <v>1862</v>
      </c>
      <c r="D123" s="616" t="s">
        <v>1863</v>
      </c>
      <c r="E123" s="616" t="s">
        <v>1864</v>
      </c>
      <c r="F123" s="619"/>
      <c r="G123" s="619"/>
      <c r="H123" s="640">
        <v>0</v>
      </c>
      <c r="I123" s="619">
        <v>38</v>
      </c>
      <c r="J123" s="619">
        <v>4662.245585661778</v>
      </c>
      <c r="K123" s="640">
        <v>1</v>
      </c>
      <c r="L123" s="619">
        <v>38</v>
      </c>
      <c r="M123" s="620">
        <v>4662.245585661778</v>
      </c>
    </row>
    <row r="124" spans="1:13" ht="14.4" customHeight="1" x14ac:dyDescent="0.3">
      <c r="A124" s="615" t="s">
        <v>476</v>
      </c>
      <c r="B124" s="616" t="s">
        <v>2380</v>
      </c>
      <c r="C124" s="616" t="s">
        <v>1867</v>
      </c>
      <c r="D124" s="616" t="s">
        <v>1868</v>
      </c>
      <c r="E124" s="616" t="s">
        <v>1864</v>
      </c>
      <c r="F124" s="619"/>
      <c r="G124" s="619"/>
      <c r="H124" s="640">
        <v>0</v>
      </c>
      <c r="I124" s="619">
        <v>28</v>
      </c>
      <c r="J124" s="619">
        <v>3639.1600000000003</v>
      </c>
      <c r="K124" s="640">
        <v>1</v>
      </c>
      <c r="L124" s="619">
        <v>28</v>
      </c>
      <c r="M124" s="620">
        <v>3639.1600000000003</v>
      </c>
    </row>
    <row r="125" spans="1:13" ht="14.4" customHeight="1" x14ac:dyDescent="0.3">
      <c r="A125" s="615" t="s">
        <v>476</v>
      </c>
      <c r="B125" s="616" t="s">
        <v>2380</v>
      </c>
      <c r="C125" s="616" t="s">
        <v>1872</v>
      </c>
      <c r="D125" s="616" t="s">
        <v>1873</v>
      </c>
      <c r="E125" s="616" t="s">
        <v>1800</v>
      </c>
      <c r="F125" s="619"/>
      <c r="G125" s="619"/>
      <c r="H125" s="640">
        <v>0</v>
      </c>
      <c r="I125" s="619">
        <v>8</v>
      </c>
      <c r="J125" s="619">
        <v>245.36000000000004</v>
      </c>
      <c r="K125" s="640">
        <v>1</v>
      </c>
      <c r="L125" s="619">
        <v>8</v>
      </c>
      <c r="M125" s="620">
        <v>245.36000000000004</v>
      </c>
    </row>
    <row r="126" spans="1:13" ht="14.4" customHeight="1" thickBot="1" x14ac:dyDescent="0.35">
      <c r="A126" s="621" t="s">
        <v>476</v>
      </c>
      <c r="B126" s="622" t="s">
        <v>2380</v>
      </c>
      <c r="C126" s="622" t="s">
        <v>1869</v>
      </c>
      <c r="D126" s="622" t="s">
        <v>1870</v>
      </c>
      <c r="E126" s="622" t="s">
        <v>1800</v>
      </c>
      <c r="F126" s="625"/>
      <c r="G126" s="625"/>
      <c r="H126" s="633">
        <v>0</v>
      </c>
      <c r="I126" s="625">
        <v>8</v>
      </c>
      <c r="J126" s="625">
        <v>245.36</v>
      </c>
      <c r="K126" s="633">
        <v>1</v>
      </c>
      <c r="L126" s="625">
        <v>8</v>
      </c>
      <c r="M126" s="626">
        <v>245.36</v>
      </c>
    </row>
  </sheetData>
  <autoFilter ref="A5:M374"/>
  <mergeCells count="4">
    <mergeCell ref="F4:H4"/>
    <mergeCell ref="I4:K4"/>
    <mergeCell ref="L4:M4"/>
    <mergeCell ref="A1:M1"/>
  </mergeCells>
  <conditionalFormatting sqref="H3 H6:H1048576">
    <cfRule type="cellIs" dxfId="43" priority="4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7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445" customWidth="1"/>
    <col min="2" max="2" width="5.44140625" style="318" bestFit="1" customWidth="1"/>
    <col min="3" max="3" width="6.109375" style="318" bestFit="1" customWidth="1"/>
    <col min="4" max="4" width="7.44140625" style="318" bestFit="1" customWidth="1"/>
    <col min="5" max="5" width="6.21875" style="318" bestFit="1" customWidth="1"/>
    <col min="6" max="6" width="6.33203125" style="321" bestFit="1" customWidth="1"/>
    <col min="7" max="7" width="6.109375" style="321" bestFit="1" customWidth="1"/>
    <col min="8" max="8" width="7.44140625" style="321" bestFit="1" customWidth="1"/>
    <col min="9" max="9" width="6.21875" style="321" bestFit="1" customWidth="1"/>
    <col min="10" max="10" width="5.44140625" style="318" bestFit="1" customWidth="1"/>
    <col min="11" max="11" width="6.109375" style="318" bestFit="1" customWidth="1"/>
    <col min="12" max="12" width="7.44140625" style="318" bestFit="1" customWidth="1"/>
    <col min="13" max="13" width="6.21875" style="318" bestFit="1" customWidth="1"/>
    <col min="14" max="14" width="5.33203125" style="321" bestFit="1" customWidth="1"/>
    <col min="15" max="15" width="6.109375" style="321" bestFit="1" customWidth="1"/>
    <col min="16" max="16" width="7.44140625" style="321" bestFit="1" customWidth="1"/>
    <col min="17" max="17" width="6.21875" style="321" bestFit="1" customWidth="1"/>
    <col min="18" max="16384" width="8.88671875" style="238"/>
  </cols>
  <sheetData>
    <row r="1" spans="1:17" ht="18.600000000000001" customHeight="1" thickBot="1" x14ac:dyDescent="0.4">
      <c r="A1" s="492" t="s">
        <v>232</v>
      </c>
      <c r="B1" s="492"/>
      <c r="C1" s="492"/>
      <c r="D1" s="492"/>
      <c r="E1" s="492"/>
      <c r="F1" s="455"/>
      <c r="G1" s="455"/>
      <c r="H1" s="455"/>
      <c r="I1" s="455"/>
      <c r="J1" s="485"/>
      <c r="K1" s="485"/>
      <c r="L1" s="485"/>
      <c r="M1" s="485"/>
      <c r="N1" s="485"/>
      <c r="O1" s="485"/>
      <c r="P1" s="485"/>
      <c r="Q1" s="485"/>
    </row>
    <row r="2" spans="1:17" ht="14.4" customHeight="1" thickBot="1" x14ac:dyDescent="0.35">
      <c r="A2" s="360" t="s">
        <v>280</v>
      </c>
      <c r="B2" s="325"/>
      <c r="C2" s="325"/>
      <c r="D2" s="325"/>
      <c r="E2" s="325"/>
    </row>
    <row r="3" spans="1:17" ht="14.4" customHeight="1" thickBot="1" x14ac:dyDescent="0.35">
      <c r="A3" s="434" t="s">
        <v>3</v>
      </c>
      <c r="B3" s="438">
        <f>SUM(B6:B1048576)</f>
        <v>1859</v>
      </c>
      <c r="C3" s="439">
        <f>SUM(C6:C1048576)</f>
        <v>702</v>
      </c>
      <c r="D3" s="439">
        <f>SUM(D6:D1048576)</f>
        <v>1025</v>
      </c>
      <c r="E3" s="440">
        <f>SUM(E6:E1048576)</f>
        <v>0</v>
      </c>
      <c r="F3" s="437">
        <f>IF(SUM($B3:$E3)=0,"",B3/SUM($B3:$E3))</f>
        <v>0.51840490797546013</v>
      </c>
      <c r="G3" s="435">
        <f t="shared" ref="G3:I3" si="0">IF(SUM($B3:$E3)=0,"",C3/SUM($B3:$E3))</f>
        <v>0.19576129392080313</v>
      </c>
      <c r="H3" s="435">
        <f t="shared" si="0"/>
        <v>0.28583379810373677</v>
      </c>
      <c r="I3" s="436">
        <f t="shared" si="0"/>
        <v>0</v>
      </c>
      <c r="J3" s="439">
        <f>SUM(J6:J1048576)</f>
        <v>110</v>
      </c>
      <c r="K3" s="439">
        <f>SUM(K6:K1048576)</f>
        <v>267</v>
      </c>
      <c r="L3" s="439">
        <f>SUM(L6:L1048576)</f>
        <v>1025</v>
      </c>
      <c r="M3" s="440">
        <f>SUM(M6:M1048576)</f>
        <v>0</v>
      </c>
      <c r="N3" s="437">
        <f>IF(SUM($J3:$M3)=0,"",J3/SUM($J3:$M3))</f>
        <v>7.8459343794579167E-2</v>
      </c>
      <c r="O3" s="435">
        <f t="shared" ref="O3:Q3" si="1">IF(SUM($J3:$M3)=0,"",K3/SUM($J3:$M3))</f>
        <v>0.19044222539229672</v>
      </c>
      <c r="P3" s="435">
        <f t="shared" si="1"/>
        <v>0.73109843081312409</v>
      </c>
      <c r="Q3" s="436">
        <f t="shared" si="1"/>
        <v>0</v>
      </c>
    </row>
    <row r="4" spans="1:17" ht="14.4" customHeight="1" thickBot="1" x14ac:dyDescent="0.35">
      <c r="A4" s="433"/>
      <c r="B4" s="505" t="s">
        <v>234</v>
      </c>
      <c r="C4" s="506"/>
      <c r="D4" s="506"/>
      <c r="E4" s="507"/>
      <c r="F4" s="502" t="s">
        <v>239</v>
      </c>
      <c r="G4" s="503"/>
      <c r="H4" s="503"/>
      <c r="I4" s="504"/>
      <c r="J4" s="505" t="s">
        <v>240</v>
      </c>
      <c r="K4" s="506"/>
      <c r="L4" s="506"/>
      <c r="M4" s="507"/>
      <c r="N4" s="502" t="s">
        <v>241</v>
      </c>
      <c r="O4" s="503"/>
      <c r="P4" s="503"/>
      <c r="Q4" s="504"/>
    </row>
    <row r="5" spans="1:17" ht="14.4" customHeight="1" thickBot="1" x14ac:dyDescent="0.35">
      <c r="A5" s="650" t="s">
        <v>233</v>
      </c>
      <c r="B5" s="651" t="s">
        <v>235</v>
      </c>
      <c r="C5" s="651" t="s">
        <v>236</v>
      </c>
      <c r="D5" s="651" t="s">
        <v>237</v>
      </c>
      <c r="E5" s="652" t="s">
        <v>238</v>
      </c>
      <c r="F5" s="653" t="s">
        <v>235</v>
      </c>
      <c r="G5" s="654" t="s">
        <v>236</v>
      </c>
      <c r="H5" s="654" t="s">
        <v>237</v>
      </c>
      <c r="I5" s="655" t="s">
        <v>238</v>
      </c>
      <c r="J5" s="651" t="s">
        <v>235</v>
      </c>
      <c r="K5" s="651" t="s">
        <v>236</v>
      </c>
      <c r="L5" s="651" t="s">
        <v>237</v>
      </c>
      <c r="M5" s="652" t="s">
        <v>238</v>
      </c>
      <c r="N5" s="653" t="s">
        <v>235</v>
      </c>
      <c r="O5" s="654" t="s">
        <v>236</v>
      </c>
      <c r="P5" s="654" t="s">
        <v>237</v>
      </c>
      <c r="Q5" s="655" t="s">
        <v>238</v>
      </c>
    </row>
    <row r="6" spans="1:17" ht="14.4" customHeight="1" x14ac:dyDescent="0.3">
      <c r="A6" s="658" t="s">
        <v>2392</v>
      </c>
      <c r="B6" s="662"/>
      <c r="C6" s="613"/>
      <c r="D6" s="613"/>
      <c r="E6" s="614"/>
      <c r="F6" s="660"/>
      <c r="G6" s="632"/>
      <c r="H6" s="632"/>
      <c r="I6" s="664"/>
      <c r="J6" s="662"/>
      <c r="K6" s="613"/>
      <c r="L6" s="613"/>
      <c r="M6" s="614"/>
      <c r="N6" s="660"/>
      <c r="O6" s="632"/>
      <c r="P6" s="632"/>
      <c r="Q6" s="656"/>
    </row>
    <row r="7" spans="1:17" ht="14.4" customHeight="1" thickBot="1" x14ac:dyDescent="0.35">
      <c r="A7" s="659" t="s">
        <v>2393</v>
      </c>
      <c r="B7" s="663">
        <v>1859</v>
      </c>
      <c r="C7" s="625">
        <v>702</v>
      </c>
      <c r="D7" s="625">
        <v>1025</v>
      </c>
      <c r="E7" s="626"/>
      <c r="F7" s="661">
        <v>0.51840490797546013</v>
      </c>
      <c r="G7" s="633">
        <v>0.19576129392080313</v>
      </c>
      <c r="H7" s="633">
        <v>0.28583379810373677</v>
      </c>
      <c r="I7" s="665">
        <v>0</v>
      </c>
      <c r="J7" s="663">
        <v>110</v>
      </c>
      <c r="K7" s="625">
        <v>267</v>
      </c>
      <c r="L7" s="625">
        <v>1025</v>
      </c>
      <c r="M7" s="626"/>
      <c r="N7" s="661">
        <v>7.8459343794579167E-2</v>
      </c>
      <c r="O7" s="633">
        <v>0.19044222539229672</v>
      </c>
      <c r="P7" s="633">
        <v>0.73109843081312409</v>
      </c>
      <c r="Q7" s="657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42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34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319" customWidth="1"/>
    <col min="2" max="2" width="61.109375" style="319" customWidth="1"/>
    <col min="3" max="3" width="9.5546875" style="238" customWidth="1"/>
    <col min="4" max="4" width="9.5546875" style="320" customWidth="1"/>
    <col min="5" max="5" width="2.21875" style="320" customWidth="1"/>
    <col min="6" max="6" width="9.5546875" style="321" customWidth="1"/>
    <col min="7" max="7" width="9.5546875" style="318" customWidth="1"/>
    <col min="8" max="9" width="9.5546875" style="238" customWidth="1"/>
    <col min="10" max="10" width="0" style="238" hidden="1" customWidth="1"/>
    <col min="11" max="16384" width="8.88671875" style="238"/>
  </cols>
  <sheetData>
    <row r="1" spans="1:10" ht="18.600000000000001" customHeight="1" thickBot="1" x14ac:dyDescent="0.4">
      <c r="A1" s="483" t="s">
        <v>159</v>
      </c>
      <c r="B1" s="484"/>
      <c r="C1" s="484"/>
      <c r="D1" s="484"/>
      <c r="E1" s="484"/>
      <c r="F1" s="484"/>
      <c r="G1" s="455"/>
      <c r="H1" s="485"/>
      <c r="I1" s="485"/>
    </row>
    <row r="2" spans="1:10" ht="14.4" customHeight="1" thickBot="1" x14ac:dyDescent="0.35">
      <c r="A2" s="360" t="s">
        <v>280</v>
      </c>
      <c r="B2" s="317"/>
      <c r="C2" s="317"/>
      <c r="D2" s="317"/>
      <c r="E2" s="317"/>
      <c r="F2" s="317"/>
    </row>
    <row r="3" spans="1:10" ht="14.4" customHeight="1" thickBot="1" x14ac:dyDescent="0.35">
      <c r="A3" s="360"/>
      <c r="B3" s="317"/>
      <c r="C3" s="420">
        <v>2014</v>
      </c>
      <c r="D3" s="421">
        <v>2015</v>
      </c>
      <c r="E3" s="11"/>
      <c r="F3" s="478">
        <v>2016</v>
      </c>
      <c r="G3" s="479"/>
      <c r="H3" s="479"/>
      <c r="I3" s="480"/>
    </row>
    <row r="4" spans="1:10" ht="14.4" customHeight="1" thickBot="1" x14ac:dyDescent="0.35">
      <c r="A4" s="425" t="s">
        <v>0</v>
      </c>
      <c r="B4" s="426" t="s">
        <v>229</v>
      </c>
      <c r="C4" s="481" t="s">
        <v>81</v>
      </c>
      <c r="D4" s="482"/>
      <c r="E4" s="427"/>
      <c r="F4" s="422" t="s">
        <v>81</v>
      </c>
      <c r="G4" s="423" t="s">
        <v>82</v>
      </c>
      <c r="H4" s="423" t="s">
        <v>56</v>
      </c>
      <c r="I4" s="424" t="s">
        <v>83</v>
      </c>
    </row>
    <row r="5" spans="1:10" ht="14.4" customHeight="1" x14ac:dyDescent="0.3">
      <c r="A5" s="597" t="s">
        <v>471</v>
      </c>
      <c r="B5" s="598" t="s">
        <v>472</v>
      </c>
      <c r="C5" s="599" t="s">
        <v>473</v>
      </c>
      <c r="D5" s="599" t="s">
        <v>473</v>
      </c>
      <c r="E5" s="599"/>
      <c r="F5" s="599" t="s">
        <v>473</v>
      </c>
      <c r="G5" s="599" t="s">
        <v>473</v>
      </c>
      <c r="H5" s="599" t="s">
        <v>473</v>
      </c>
      <c r="I5" s="600" t="s">
        <v>473</v>
      </c>
      <c r="J5" s="601" t="s">
        <v>61</v>
      </c>
    </row>
    <row r="6" spans="1:10" ht="14.4" customHeight="1" x14ac:dyDescent="0.3">
      <c r="A6" s="597" t="s">
        <v>471</v>
      </c>
      <c r="B6" s="598" t="s">
        <v>303</v>
      </c>
      <c r="C6" s="599">
        <v>133.24777999999998</v>
      </c>
      <c r="D6" s="599">
        <v>282.89859999999999</v>
      </c>
      <c r="E6" s="599"/>
      <c r="F6" s="599">
        <v>252.69101999999998</v>
      </c>
      <c r="G6" s="599">
        <v>350.00003159781977</v>
      </c>
      <c r="H6" s="599">
        <v>-97.30901159781979</v>
      </c>
      <c r="I6" s="600">
        <v>0.72197427767767675</v>
      </c>
      <c r="J6" s="601" t="s">
        <v>1</v>
      </c>
    </row>
    <row r="7" spans="1:10" ht="14.4" customHeight="1" x14ac:dyDescent="0.3">
      <c r="A7" s="597" t="s">
        <v>471</v>
      </c>
      <c r="B7" s="598" t="s">
        <v>304</v>
      </c>
      <c r="C7" s="599">
        <v>0.15515999999999999</v>
      </c>
      <c r="D7" s="599">
        <v>1.1046899999999999</v>
      </c>
      <c r="E7" s="599"/>
      <c r="F7" s="599">
        <v>0</v>
      </c>
      <c r="G7" s="599">
        <v>0.58333338599608342</v>
      </c>
      <c r="H7" s="599">
        <v>-0.58333338599608342</v>
      </c>
      <c r="I7" s="600">
        <v>0</v>
      </c>
      <c r="J7" s="601" t="s">
        <v>1</v>
      </c>
    </row>
    <row r="8" spans="1:10" ht="14.4" customHeight="1" x14ac:dyDescent="0.3">
      <c r="A8" s="597" t="s">
        <v>471</v>
      </c>
      <c r="B8" s="598" t="s">
        <v>305</v>
      </c>
      <c r="C8" s="599">
        <v>237.85957999999999</v>
      </c>
      <c r="D8" s="599">
        <v>207.30484999999996</v>
      </c>
      <c r="E8" s="599"/>
      <c r="F8" s="599">
        <v>256.05932000000001</v>
      </c>
      <c r="G8" s="599">
        <v>221.66668667861899</v>
      </c>
      <c r="H8" s="599">
        <v>34.392633321381027</v>
      </c>
      <c r="I8" s="600">
        <v>1.1551547227808967</v>
      </c>
      <c r="J8" s="601" t="s">
        <v>1</v>
      </c>
    </row>
    <row r="9" spans="1:10" ht="14.4" customHeight="1" x14ac:dyDescent="0.3">
      <c r="A9" s="597" t="s">
        <v>471</v>
      </c>
      <c r="B9" s="598" t="s">
        <v>306</v>
      </c>
      <c r="C9" s="599">
        <v>1060.465740000001</v>
      </c>
      <c r="D9" s="599">
        <v>1224.6532200000011</v>
      </c>
      <c r="E9" s="599"/>
      <c r="F9" s="599">
        <v>1302.82411</v>
      </c>
      <c r="G9" s="599">
        <v>1314.2501186498132</v>
      </c>
      <c r="H9" s="599">
        <v>-11.426008649813184</v>
      </c>
      <c r="I9" s="600">
        <v>0.99130606230300244</v>
      </c>
      <c r="J9" s="601" t="s">
        <v>1</v>
      </c>
    </row>
    <row r="10" spans="1:10" ht="14.4" customHeight="1" x14ac:dyDescent="0.3">
      <c r="A10" s="597" t="s">
        <v>471</v>
      </c>
      <c r="B10" s="598" t="s">
        <v>307</v>
      </c>
      <c r="C10" s="599">
        <v>61.253999999999991</v>
      </c>
      <c r="D10" s="599">
        <v>62.113959999999992</v>
      </c>
      <c r="E10" s="599"/>
      <c r="F10" s="599">
        <v>79.523319999999998</v>
      </c>
      <c r="G10" s="599">
        <v>52.500004739672583</v>
      </c>
      <c r="H10" s="599">
        <v>27.023315260327415</v>
      </c>
      <c r="I10" s="600">
        <v>1.5147297680128924</v>
      </c>
      <c r="J10" s="601" t="s">
        <v>1</v>
      </c>
    </row>
    <row r="11" spans="1:10" ht="14.4" customHeight="1" x14ac:dyDescent="0.3">
      <c r="A11" s="597" t="s">
        <v>471</v>
      </c>
      <c r="B11" s="598" t="s">
        <v>308</v>
      </c>
      <c r="C11" s="599">
        <v>0</v>
      </c>
      <c r="D11" s="599">
        <v>17.863940000000003</v>
      </c>
      <c r="E11" s="599"/>
      <c r="F11" s="599">
        <v>7.0171199999999994</v>
      </c>
      <c r="G11" s="599">
        <v>11.666667719926918</v>
      </c>
      <c r="H11" s="599">
        <v>-4.6495477199269191</v>
      </c>
      <c r="I11" s="600">
        <v>0.60146737427128472</v>
      </c>
      <c r="J11" s="601" t="s">
        <v>1</v>
      </c>
    </row>
    <row r="12" spans="1:10" ht="14.4" customHeight="1" x14ac:dyDescent="0.3">
      <c r="A12" s="597" t="s">
        <v>471</v>
      </c>
      <c r="B12" s="598" t="s">
        <v>309</v>
      </c>
      <c r="C12" s="599">
        <v>11.822850000000001</v>
      </c>
      <c r="D12" s="599">
        <v>17.428439999999998</v>
      </c>
      <c r="E12" s="599"/>
      <c r="F12" s="599">
        <v>16.529949999999999</v>
      </c>
      <c r="G12" s="599">
        <v>14.583334649909084</v>
      </c>
      <c r="H12" s="599">
        <v>1.9466153500909158</v>
      </c>
      <c r="I12" s="600">
        <v>1.1334821833841036</v>
      </c>
      <c r="J12" s="601" t="s">
        <v>1</v>
      </c>
    </row>
    <row r="13" spans="1:10" ht="14.4" customHeight="1" x14ac:dyDescent="0.3">
      <c r="A13" s="597" t="s">
        <v>471</v>
      </c>
      <c r="B13" s="598" t="s">
        <v>310</v>
      </c>
      <c r="C13" s="599">
        <v>99.644999999999996</v>
      </c>
      <c r="D13" s="599">
        <v>125.45759999999999</v>
      </c>
      <c r="E13" s="599"/>
      <c r="F13" s="599">
        <v>113.00326</v>
      </c>
      <c r="G13" s="599">
        <v>105.00000947934575</v>
      </c>
      <c r="H13" s="599">
        <v>8.0032505206542481</v>
      </c>
      <c r="I13" s="600">
        <v>1.0762214266488095</v>
      </c>
      <c r="J13" s="601" t="s">
        <v>1</v>
      </c>
    </row>
    <row r="14" spans="1:10" ht="14.4" customHeight="1" x14ac:dyDescent="0.3">
      <c r="A14" s="597" t="s">
        <v>471</v>
      </c>
      <c r="B14" s="598" t="s">
        <v>311</v>
      </c>
      <c r="C14" s="599">
        <v>88.683089999999993</v>
      </c>
      <c r="D14" s="599">
        <v>133.90738999999999</v>
      </c>
      <c r="E14" s="599"/>
      <c r="F14" s="599">
        <v>86.346240000000009</v>
      </c>
      <c r="G14" s="599">
        <v>116.66667719927324</v>
      </c>
      <c r="H14" s="599">
        <v>-30.320437199273229</v>
      </c>
      <c r="I14" s="600">
        <v>0.74011056175462842</v>
      </c>
      <c r="J14" s="601" t="s">
        <v>1</v>
      </c>
    </row>
    <row r="15" spans="1:10" ht="14.4" customHeight="1" x14ac:dyDescent="0.3">
      <c r="A15" s="597" t="s">
        <v>471</v>
      </c>
      <c r="B15" s="598" t="s">
        <v>312</v>
      </c>
      <c r="C15" s="599" t="s">
        <v>473</v>
      </c>
      <c r="D15" s="599">
        <v>84.291270000000011</v>
      </c>
      <c r="E15" s="599"/>
      <c r="F15" s="599">
        <v>108.03442</v>
      </c>
      <c r="G15" s="599">
        <v>91.583341601429424</v>
      </c>
      <c r="H15" s="599">
        <v>16.451078398570573</v>
      </c>
      <c r="I15" s="600">
        <v>1.1796295932306733</v>
      </c>
      <c r="J15" s="601" t="s">
        <v>1</v>
      </c>
    </row>
    <row r="16" spans="1:10" ht="14.4" customHeight="1" x14ac:dyDescent="0.3">
      <c r="A16" s="597" t="s">
        <v>471</v>
      </c>
      <c r="B16" s="598" t="s">
        <v>313</v>
      </c>
      <c r="C16" s="599">
        <v>2.0136500000000002</v>
      </c>
      <c r="D16" s="599">
        <v>1.41018</v>
      </c>
      <c r="E16" s="599"/>
      <c r="F16" s="599">
        <v>2.2866300000000002</v>
      </c>
      <c r="G16" s="599">
        <v>2.3333335439849168</v>
      </c>
      <c r="H16" s="599">
        <v>-4.6703543984916607E-2</v>
      </c>
      <c r="I16" s="600">
        <v>0.97998419724204744</v>
      </c>
      <c r="J16" s="601" t="s">
        <v>1</v>
      </c>
    </row>
    <row r="17" spans="1:10" ht="14.4" customHeight="1" x14ac:dyDescent="0.3">
      <c r="A17" s="597" t="s">
        <v>471</v>
      </c>
      <c r="B17" s="598" t="s">
        <v>474</v>
      </c>
      <c r="C17" s="599">
        <v>1695.146850000001</v>
      </c>
      <c r="D17" s="599">
        <v>2158.4341400000008</v>
      </c>
      <c r="E17" s="599"/>
      <c r="F17" s="599">
        <v>2224.3153900000002</v>
      </c>
      <c r="G17" s="599">
        <v>2280.8335392457893</v>
      </c>
      <c r="H17" s="599">
        <v>-56.518149245789118</v>
      </c>
      <c r="I17" s="600">
        <v>0.97522039716038278</v>
      </c>
      <c r="J17" s="601" t="s">
        <v>475</v>
      </c>
    </row>
    <row r="19" spans="1:10" ht="14.4" customHeight="1" x14ac:dyDescent="0.3">
      <c r="A19" s="597" t="s">
        <v>471</v>
      </c>
      <c r="B19" s="598" t="s">
        <v>472</v>
      </c>
      <c r="C19" s="599" t="s">
        <v>473</v>
      </c>
      <c r="D19" s="599" t="s">
        <v>473</v>
      </c>
      <c r="E19" s="599"/>
      <c r="F19" s="599" t="s">
        <v>473</v>
      </c>
      <c r="G19" s="599" t="s">
        <v>473</v>
      </c>
      <c r="H19" s="599" t="s">
        <v>473</v>
      </c>
      <c r="I19" s="600" t="s">
        <v>473</v>
      </c>
      <c r="J19" s="601" t="s">
        <v>61</v>
      </c>
    </row>
    <row r="20" spans="1:10" ht="14.4" customHeight="1" x14ac:dyDescent="0.3">
      <c r="A20" s="597" t="s">
        <v>476</v>
      </c>
      <c r="B20" s="598" t="s">
        <v>477</v>
      </c>
      <c r="C20" s="599" t="s">
        <v>473</v>
      </c>
      <c r="D20" s="599" t="s">
        <v>473</v>
      </c>
      <c r="E20" s="599"/>
      <c r="F20" s="599" t="s">
        <v>473</v>
      </c>
      <c r="G20" s="599" t="s">
        <v>473</v>
      </c>
      <c r="H20" s="599" t="s">
        <v>473</v>
      </c>
      <c r="I20" s="600" t="s">
        <v>473</v>
      </c>
      <c r="J20" s="601" t="s">
        <v>0</v>
      </c>
    </row>
    <row r="21" spans="1:10" ht="14.4" customHeight="1" x14ac:dyDescent="0.3">
      <c r="A21" s="597" t="s">
        <v>476</v>
      </c>
      <c r="B21" s="598" t="s">
        <v>303</v>
      </c>
      <c r="C21" s="599">
        <v>133.24777999999998</v>
      </c>
      <c r="D21" s="599">
        <v>282.89859999999999</v>
      </c>
      <c r="E21" s="599"/>
      <c r="F21" s="599">
        <v>252.69101999999998</v>
      </c>
      <c r="G21" s="599">
        <v>350.00003159781977</v>
      </c>
      <c r="H21" s="599">
        <v>-97.30901159781979</v>
      </c>
      <c r="I21" s="600">
        <v>0.72197427767767675</v>
      </c>
      <c r="J21" s="601" t="s">
        <v>1</v>
      </c>
    </row>
    <row r="22" spans="1:10" ht="14.4" customHeight="1" x14ac:dyDescent="0.3">
      <c r="A22" s="597" t="s">
        <v>476</v>
      </c>
      <c r="B22" s="598" t="s">
        <v>304</v>
      </c>
      <c r="C22" s="599">
        <v>0.15515999999999999</v>
      </c>
      <c r="D22" s="599">
        <v>1.1046899999999999</v>
      </c>
      <c r="E22" s="599"/>
      <c r="F22" s="599">
        <v>0</v>
      </c>
      <c r="G22" s="599">
        <v>0.58333338599608342</v>
      </c>
      <c r="H22" s="599">
        <v>-0.58333338599608342</v>
      </c>
      <c r="I22" s="600">
        <v>0</v>
      </c>
      <c r="J22" s="601" t="s">
        <v>1</v>
      </c>
    </row>
    <row r="23" spans="1:10" ht="14.4" customHeight="1" x14ac:dyDescent="0.3">
      <c r="A23" s="597" t="s">
        <v>476</v>
      </c>
      <c r="B23" s="598" t="s">
        <v>305</v>
      </c>
      <c r="C23" s="599">
        <v>237.85957999999999</v>
      </c>
      <c r="D23" s="599">
        <v>207.30484999999996</v>
      </c>
      <c r="E23" s="599"/>
      <c r="F23" s="599">
        <v>256.05932000000001</v>
      </c>
      <c r="G23" s="599">
        <v>221.66668667861899</v>
      </c>
      <c r="H23" s="599">
        <v>34.392633321381027</v>
      </c>
      <c r="I23" s="600">
        <v>1.1551547227808967</v>
      </c>
      <c r="J23" s="601" t="s">
        <v>1</v>
      </c>
    </row>
    <row r="24" spans="1:10" ht="14.4" customHeight="1" x14ac:dyDescent="0.3">
      <c r="A24" s="597" t="s">
        <v>476</v>
      </c>
      <c r="B24" s="598" t="s">
        <v>306</v>
      </c>
      <c r="C24" s="599">
        <v>1060.465740000001</v>
      </c>
      <c r="D24" s="599">
        <v>1224.6532200000011</v>
      </c>
      <c r="E24" s="599"/>
      <c r="F24" s="599">
        <v>1302.82411</v>
      </c>
      <c r="G24" s="599">
        <v>1314.2501186498132</v>
      </c>
      <c r="H24" s="599">
        <v>-11.426008649813184</v>
      </c>
      <c r="I24" s="600">
        <v>0.99130606230300244</v>
      </c>
      <c r="J24" s="601" t="s">
        <v>1</v>
      </c>
    </row>
    <row r="25" spans="1:10" ht="14.4" customHeight="1" x14ac:dyDescent="0.3">
      <c r="A25" s="597" t="s">
        <v>476</v>
      </c>
      <c r="B25" s="598" t="s">
        <v>307</v>
      </c>
      <c r="C25" s="599">
        <v>61.253999999999991</v>
      </c>
      <c r="D25" s="599">
        <v>62.113959999999992</v>
      </c>
      <c r="E25" s="599"/>
      <c r="F25" s="599">
        <v>79.523319999999998</v>
      </c>
      <c r="G25" s="599">
        <v>52.500004739672583</v>
      </c>
      <c r="H25" s="599">
        <v>27.023315260327415</v>
      </c>
      <c r="I25" s="600">
        <v>1.5147297680128924</v>
      </c>
      <c r="J25" s="601" t="s">
        <v>1</v>
      </c>
    </row>
    <row r="26" spans="1:10" ht="14.4" customHeight="1" x14ac:dyDescent="0.3">
      <c r="A26" s="597" t="s">
        <v>476</v>
      </c>
      <c r="B26" s="598" t="s">
        <v>308</v>
      </c>
      <c r="C26" s="599">
        <v>0</v>
      </c>
      <c r="D26" s="599">
        <v>17.863940000000003</v>
      </c>
      <c r="E26" s="599"/>
      <c r="F26" s="599">
        <v>7.0171199999999994</v>
      </c>
      <c r="G26" s="599">
        <v>11.666667719926918</v>
      </c>
      <c r="H26" s="599">
        <v>-4.6495477199269191</v>
      </c>
      <c r="I26" s="600">
        <v>0.60146737427128472</v>
      </c>
      <c r="J26" s="601" t="s">
        <v>1</v>
      </c>
    </row>
    <row r="27" spans="1:10" ht="14.4" customHeight="1" x14ac:dyDescent="0.3">
      <c r="A27" s="597" t="s">
        <v>476</v>
      </c>
      <c r="B27" s="598" t="s">
        <v>309</v>
      </c>
      <c r="C27" s="599">
        <v>11.822850000000001</v>
      </c>
      <c r="D27" s="599">
        <v>17.428439999999998</v>
      </c>
      <c r="E27" s="599"/>
      <c r="F27" s="599">
        <v>16.529949999999999</v>
      </c>
      <c r="G27" s="599">
        <v>14.583334649909084</v>
      </c>
      <c r="H27" s="599">
        <v>1.9466153500909158</v>
      </c>
      <c r="I27" s="600">
        <v>1.1334821833841036</v>
      </c>
      <c r="J27" s="601" t="s">
        <v>1</v>
      </c>
    </row>
    <row r="28" spans="1:10" ht="14.4" customHeight="1" x14ac:dyDescent="0.3">
      <c r="A28" s="597" t="s">
        <v>476</v>
      </c>
      <c r="B28" s="598" t="s">
        <v>310</v>
      </c>
      <c r="C28" s="599">
        <v>99.644999999999996</v>
      </c>
      <c r="D28" s="599">
        <v>125.45759999999999</v>
      </c>
      <c r="E28" s="599"/>
      <c r="F28" s="599">
        <v>113.00326</v>
      </c>
      <c r="G28" s="599">
        <v>105.00000947934575</v>
      </c>
      <c r="H28" s="599">
        <v>8.0032505206542481</v>
      </c>
      <c r="I28" s="600">
        <v>1.0762214266488095</v>
      </c>
      <c r="J28" s="601" t="s">
        <v>1</v>
      </c>
    </row>
    <row r="29" spans="1:10" ht="14.4" customHeight="1" x14ac:dyDescent="0.3">
      <c r="A29" s="597" t="s">
        <v>476</v>
      </c>
      <c r="B29" s="598" t="s">
        <v>311</v>
      </c>
      <c r="C29" s="599">
        <v>88.683089999999993</v>
      </c>
      <c r="D29" s="599">
        <v>133.90738999999999</v>
      </c>
      <c r="E29" s="599"/>
      <c r="F29" s="599">
        <v>86.346240000000009</v>
      </c>
      <c r="G29" s="599">
        <v>116.66667719927324</v>
      </c>
      <c r="H29" s="599">
        <v>-30.320437199273229</v>
      </c>
      <c r="I29" s="600">
        <v>0.74011056175462842</v>
      </c>
      <c r="J29" s="601" t="s">
        <v>1</v>
      </c>
    </row>
    <row r="30" spans="1:10" ht="14.4" customHeight="1" x14ac:dyDescent="0.3">
      <c r="A30" s="597" t="s">
        <v>476</v>
      </c>
      <c r="B30" s="598" t="s">
        <v>312</v>
      </c>
      <c r="C30" s="599" t="s">
        <v>473</v>
      </c>
      <c r="D30" s="599">
        <v>84.291270000000011</v>
      </c>
      <c r="E30" s="599"/>
      <c r="F30" s="599">
        <v>108.03442</v>
      </c>
      <c r="G30" s="599">
        <v>91.583341601429424</v>
      </c>
      <c r="H30" s="599">
        <v>16.451078398570573</v>
      </c>
      <c r="I30" s="600">
        <v>1.1796295932306733</v>
      </c>
      <c r="J30" s="601" t="s">
        <v>1</v>
      </c>
    </row>
    <row r="31" spans="1:10" ht="14.4" customHeight="1" x14ac:dyDescent="0.3">
      <c r="A31" s="597" t="s">
        <v>476</v>
      </c>
      <c r="B31" s="598" t="s">
        <v>313</v>
      </c>
      <c r="C31" s="599">
        <v>2.0136500000000002</v>
      </c>
      <c r="D31" s="599">
        <v>1.41018</v>
      </c>
      <c r="E31" s="599"/>
      <c r="F31" s="599">
        <v>2.2866300000000002</v>
      </c>
      <c r="G31" s="599">
        <v>2.3333335439849168</v>
      </c>
      <c r="H31" s="599">
        <v>-4.6703543984916607E-2</v>
      </c>
      <c r="I31" s="600">
        <v>0.97998419724204744</v>
      </c>
      <c r="J31" s="601" t="s">
        <v>1</v>
      </c>
    </row>
    <row r="32" spans="1:10" ht="14.4" customHeight="1" x14ac:dyDescent="0.3">
      <c r="A32" s="597" t="s">
        <v>476</v>
      </c>
      <c r="B32" s="598" t="s">
        <v>478</v>
      </c>
      <c r="C32" s="599">
        <v>1695.146850000001</v>
      </c>
      <c r="D32" s="599">
        <v>2158.4341400000008</v>
      </c>
      <c r="E32" s="599"/>
      <c r="F32" s="599">
        <v>2224.3153900000002</v>
      </c>
      <c r="G32" s="599">
        <v>2280.8335392457893</v>
      </c>
      <c r="H32" s="599">
        <v>-56.518149245789118</v>
      </c>
      <c r="I32" s="600">
        <v>0.97522039716038278</v>
      </c>
      <c r="J32" s="601" t="s">
        <v>479</v>
      </c>
    </row>
    <row r="33" spans="1:10" ht="14.4" customHeight="1" x14ac:dyDescent="0.3">
      <c r="A33" s="597" t="s">
        <v>473</v>
      </c>
      <c r="B33" s="598" t="s">
        <v>473</v>
      </c>
      <c r="C33" s="599" t="s">
        <v>473</v>
      </c>
      <c r="D33" s="599" t="s">
        <v>473</v>
      </c>
      <c r="E33" s="599"/>
      <c r="F33" s="599" t="s">
        <v>473</v>
      </c>
      <c r="G33" s="599" t="s">
        <v>473</v>
      </c>
      <c r="H33" s="599" t="s">
        <v>473</v>
      </c>
      <c r="I33" s="600" t="s">
        <v>473</v>
      </c>
      <c r="J33" s="601" t="s">
        <v>480</v>
      </c>
    </row>
    <row r="34" spans="1:10" ht="14.4" customHeight="1" x14ac:dyDescent="0.3">
      <c r="A34" s="597" t="s">
        <v>471</v>
      </c>
      <c r="B34" s="598" t="s">
        <v>474</v>
      </c>
      <c r="C34" s="599">
        <v>1695.146850000001</v>
      </c>
      <c r="D34" s="599">
        <v>2158.4341400000008</v>
      </c>
      <c r="E34" s="599"/>
      <c r="F34" s="599">
        <v>2224.3153900000002</v>
      </c>
      <c r="G34" s="599">
        <v>2280.8335392457893</v>
      </c>
      <c r="H34" s="599">
        <v>-56.518149245789118</v>
      </c>
      <c r="I34" s="600">
        <v>0.97522039716038278</v>
      </c>
      <c r="J34" s="601" t="s">
        <v>475</v>
      </c>
    </row>
  </sheetData>
  <mergeCells count="3">
    <mergeCell ref="A1:I1"/>
    <mergeCell ref="F3:I3"/>
    <mergeCell ref="C4:D4"/>
  </mergeCells>
  <conditionalFormatting sqref="F18 F35:F65537">
    <cfRule type="cellIs" dxfId="41" priority="18" stopIfTrue="1" operator="greaterThan">
      <formula>1</formula>
    </cfRule>
  </conditionalFormatting>
  <conditionalFormatting sqref="H5:H17">
    <cfRule type="expression" dxfId="40" priority="14">
      <formula>$H5&gt;0</formula>
    </cfRule>
  </conditionalFormatting>
  <conditionalFormatting sqref="I5:I17">
    <cfRule type="expression" dxfId="39" priority="15">
      <formula>$I5&gt;1</formula>
    </cfRule>
  </conditionalFormatting>
  <conditionalFormatting sqref="B5:B17">
    <cfRule type="expression" dxfId="38" priority="11">
      <formula>OR($J5="NS",$J5="SumaNS",$J5="Účet")</formula>
    </cfRule>
  </conditionalFormatting>
  <conditionalFormatting sqref="F5:I17 B5:D17">
    <cfRule type="expression" dxfId="37" priority="17">
      <formula>AND($J5&lt;&gt;"",$J5&lt;&gt;"mezeraKL")</formula>
    </cfRule>
  </conditionalFormatting>
  <conditionalFormatting sqref="B5:D17 F5:I17">
    <cfRule type="expression" dxfId="36" priority="12">
      <formula>OR($J5="KL",$J5="SumaKL")</formula>
    </cfRule>
    <cfRule type="expression" priority="16" stopIfTrue="1">
      <formula>OR($J5="mezeraNS",$J5="mezeraKL")</formula>
    </cfRule>
  </conditionalFormatting>
  <conditionalFormatting sqref="B5:D17 F5:I17">
    <cfRule type="expression" dxfId="35" priority="13">
      <formula>OR($J5="SumaNS",$J5="NS")</formula>
    </cfRule>
  </conditionalFormatting>
  <conditionalFormatting sqref="A5:A17">
    <cfRule type="expression" dxfId="34" priority="9">
      <formula>AND($J5&lt;&gt;"mezeraKL",$J5&lt;&gt;"")</formula>
    </cfRule>
  </conditionalFormatting>
  <conditionalFormatting sqref="A5:A17">
    <cfRule type="expression" dxfId="33" priority="10">
      <formula>AND($J5&lt;&gt;"",$J5&lt;&gt;"mezeraKL")</formula>
    </cfRule>
  </conditionalFormatting>
  <conditionalFormatting sqref="H19:H34">
    <cfRule type="expression" dxfId="32" priority="5">
      <formula>$H19&gt;0</formula>
    </cfRule>
  </conditionalFormatting>
  <conditionalFormatting sqref="A19:A34">
    <cfRule type="expression" dxfId="31" priority="2">
      <formula>AND($J19&lt;&gt;"mezeraKL",$J19&lt;&gt;"")</formula>
    </cfRule>
  </conditionalFormatting>
  <conditionalFormatting sqref="I19:I34">
    <cfRule type="expression" dxfId="30" priority="6">
      <formula>$I19&gt;1</formula>
    </cfRule>
  </conditionalFormatting>
  <conditionalFormatting sqref="B19:B34">
    <cfRule type="expression" dxfId="29" priority="1">
      <formula>OR($J19="NS",$J19="SumaNS",$J19="Účet")</formula>
    </cfRule>
  </conditionalFormatting>
  <conditionalFormatting sqref="A19:D34 F19:I34">
    <cfRule type="expression" dxfId="28" priority="8">
      <formula>AND($J19&lt;&gt;"",$J19&lt;&gt;"mezeraKL")</formula>
    </cfRule>
  </conditionalFormatting>
  <conditionalFormatting sqref="B19:D34 F19:I34">
    <cfRule type="expression" dxfId="27" priority="3">
      <formula>OR($J19="KL",$J19="SumaKL")</formula>
    </cfRule>
    <cfRule type="expression" priority="7" stopIfTrue="1">
      <formula>OR($J19="mezeraNS",$J19="mezeraKL")</formula>
    </cfRule>
  </conditionalFormatting>
  <conditionalFormatting sqref="B19:D34 F19:I34">
    <cfRule type="expression" dxfId="26" priority="4">
      <formula>OR($J19="SumaNS",$J19="NS")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300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238" hidden="1" customWidth="1" outlineLevel="1"/>
    <col min="2" max="2" width="28.33203125" style="238" hidden="1" customWidth="1" outlineLevel="1"/>
    <col min="3" max="3" width="5.33203125" style="320" bestFit="1" customWidth="1" collapsed="1"/>
    <col min="4" max="4" width="18.77734375" style="324" customWidth="1"/>
    <col min="5" max="5" width="9" style="320" bestFit="1" customWidth="1"/>
    <col min="6" max="6" width="18.77734375" style="324" customWidth="1"/>
    <col min="7" max="7" width="12.44140625" style="320" hidden="1" customWidth="1" outlineLevel="1"/>
    <col min="8" max="8" width="25.77734375" style="320" customWidth="1" collapsed="1"/>
    <col min="9" max="9" width="7.77734375" style="318" customWidth="1"/>
    <col min="10" max="10" width="10" style="318" customWidth="1"/>
    <col min="11" max="11" width="11.109375" style="318" customWidth="1"/>
    <col min="12" max="16384" width="8.88671875" style="238"/>
  </cols>
  <sheetData>
    <row r="1" spans="1:11" ht="18.600000000000001" customHeight="1" thickBot="1" x14ac:dyDescent="0.4">
      <c r="A1" s="490" t="s">
        <v>3006</v>
      </c>
      <c r="B1" s="455"/>
      <c r="C1" s="455"/>
      <c r="D1" s="455"/>
      <c r="E1" s="455"/>
      <c r="F1" s="455"/>
      <c r="G1" s="455"/>
      <c r="H1" s="455"/>
      <c r="I1" s="455"/>
      <c r="J1" s="455"/>
      <c r="K1" s="455"/>
    </row>
    <row r="2" spans="1:11" ht="14.4" customHeight="1" thickBot="1" x14ac:dyDescent="0.35">
      <c r="A2" s="360" t="s">
        <v>280</v>
      </c>
      <c r="B2" s="66"/>
      <c r="C2" s="322"/>
      <c r="D2" s="322"/>
      <c r="E2" s="322"/>
      <c r="F2" s="322"/>
      <c r="G2" s="322"/>
      <c r="H2" s="322"/>
      <c r="I2" s="323"/>
      <c r="J2" s="323"/>
      <c r="K2" s="323"/>
    </row>
    <row r="3" spans="1:11" ht="14.4" customHeight="1" thickBot="1" x14ac:dyDescent="0.35">
      <c r="A3" s="66"/>
      <c r="B3" s="66"/>
      <c r="C3" s="486"/>
      <c r="D3" s="487"/>
      <c r="E3" s="487"/>
      <c r="F3" s="487"/>
      <c r="G3" s="487"/>
      <c r="H3" s="251" t="s">
        <v>142</v>
      </c>
      <c r="I3" s="192">
        <f>IF(J3&lt;&gt;0,K3/J3,0)</f>
        <v>5.5963976549329439</v>
      </c>
      <c r="J3" s="192">
        <f>SUBTOTAL(9,J5:J1048576)</f>
        <v>397430</v>
      </c>
      <c r="K3" s="193">
        <f>SUBTOTAL(9,K5:K1048576)</f>
        <v>2224176.3199999998</v>
      </c>
    </row>
    <row r="4" spans="1:11" s="319" customFormat="1" ht="14.4" customHeight="1" thickBot="1" x14ac:dyDescent="0.35">
      <c r="A4" s="602" t="s">
        <v>4</v>
      </c>
      <c r="B4" s="603" t="s">
        <v>5</v>
      </c>
      <c r="C4" s="603" t="s">
        <v>0</v>
      </c>
      <c r="D4" s="603" t="s">
        <v>6</v>
      </c>
      <c r="E4" s="603" t="s">
        <v>7</v>
      </c>
      <c r="F4" s="603" t="s">
        <v>1</v>
      </c>
      <c r="G4" s="603" t="s">
        <v>77</v>
      </c>
      <c r="H4" s="604" t="s">
        <v>11</v>
      </c>
      <c r="I4" s="605" t="s">
        <v>165</v>
      </c>
      <c r="J4" s="605" t="s">
        <v>13</v>
      </c>
      <c r="K4" s="606" t="s">
        <v>176</v>
      </c>
    </row>
    <row r="5" spans="1:11" ht="14.4" customHeight="1" x14ac:dyDescent="0.3">
      <c r="A5" s="609" t="s">
        <v>471</v>
      </c>
      <c r="B5" s="610" t="s">
        <v>2151</v>
      </c>
      <c r="C5" s="611" t="s">
        <v>476</v>
      </c>
      <c r="D5" s="612" t="s">
        <v>2152</v>
      </c>
      <c r="E5" s="611" t="s">
        <v>2986</v>
      </c>
      <c r="F5" s="612" t="s">
        <v>2987</v>
      </c>
      <c r="G5" s="611" t="s">
        <v>2394</v>
      </c>
      <c r="H5" s="611" t="s">
        <v>2395</v>
      </c>
      <c r="I5" s="613">
        <v>4.8428571428571434</v>
      </c>
      <c r="J5" s="613">
        <v>550</v>
      </c>
      <c r="K5" s="614">
        <v>2664</v>
      </c>
    </row>
    <row r="6" spans="1:11" ht="14.4" customHeight="1" x14ac:dyDescent="0.3">
      <c r="A6" s="615" t="s">
        <v>471</v>
      </c>
      <c r="B6" s="616" t="s">
        <v>2151</v>
      </c>
      <c r="C6" s="617" t="s">
        <v>476</v>
      </c>
      <c r="D6" s="618" t="s">
        <v>2152</v>
      </c>
      <c r="E6" s="617" t="s">
        <v>2986</v>
      </c>
      <c r="F6" s="618" t="s">
        <v>2987</v>
      </c>
      <c r="G6" s="617" t="s">
        <v>2396</v>
      </c>
      <c r="H6" s="617" t="s">
        <v>2397</v>
      </c>
      <c r="I6" s="619">
        <v>93.728000000000009</v>
      </c>
      <c r="J6" s="619">
        <v>46</v>
      </c>
      <c r="K6" s="620">
        <v>4311.4800000000005</v>
      </c>
    </row>
    <row r="7" spans="1:11" ht="14.4" customHeight="1" x14ac:dyDescent="0.3">
      <c r="A7" s="615" t="s">
        <v>471</v>
      </c>
      <c r="B7" s="616" t="s">
        <v>2151</v>
      </c>
      <c r="C7" s="617" t="s">
        <v>476</v>
      </c>
      <c r="D7" s="618" t="s">
        <v>2152</v>
      </c>
      <c r="E7" s="617" t="s">
        <v>2986</v>
      </c>
      <c r="F7" s="618" t="s">
        <v>2987</v>
      </c>
      <c r="G7" s="617" t="s">
        <v>2398</v>
      </c>
      <c r="H7" s="617" t="s">
        <v>2399</v>
      </c>
      <c r="I7" s="619">
        <v>2.5033333333333334</v>
      </c>
      <c r="J7" s="619">
        <v>60</v>
      </c>
      <c r="K7" s="620">
        <v>150.19999999999999</v>
      </c>
    </row>
    <row r="8" spans="1:11" ht="14.4" customHeight="1" x14ac:dyDescent="0.3">
      <c r="A8" s="615" t="s">
        <v>471</v>
      </c>
      <c r="B8" s="616" t="s">
        <v>2151</v>
      </c>
      <c r="C8" s="617" t="s">
        <v>476</v>
      </c>
      <c r="D8" s="618" t="s">
        <v>2152</v>
      </c>
      <c r="E8" s="617" t="s">
        <v>2986</v>
      </c>
      <c r="F8" s="618" t="s">
        <v>2987</v>
      </c>
      <c r="G8" s="617" t="s">
        <v>2400</v>
      </c>
      <c r="H8" s="617" t="s">
        <v>2401</v>
      </c>
      <c r="I8" s="619">
        <v>3.2675000000000001</v>
      </c>
      <c r="J8" s="619">
        <v>100</v>
      </c>
      <c r="K8" s="620">
        <v>326.60000000000002</v>
      </c>
    </row>
    <row r="9" spans="1:11" ht="14.4" customHeight="1" x14ac:dyDescent="0.3">
      <c r="A9" s="615" t="s">
        <v>471</v>
      </c>
      <c r="B9" s="616" t="s">
        <v>2151</v>
      </c>
      <c r="C9" s="617" t="s">
        <v>476</v>
      </c>
      <c r="D9" s="618" t="s">
        <v>2152</v>
      </c>
      <c r="E9" s="617" t="s">
        <v>2986</v>
      </c>
      <c r="F9" s="618" t="s">
        <v>2987</v>
      </c>
      <c r="G9" s="617" t="s">
        <v>2402</v>
      </c>
      <c r="H9" s="617" t="s">
        <v>2403</v>
      </c>
      <c r="I9" s="619">
        <v>3.9666666666666668</v>
      </c>
      <c r="J9" s="619">
        <v>60</v>
      </c>
      <c r="K9" s="620">
        <v>238.00000000000003</v>
      </c>
    </row>
    <row r="10" spans="1:11" ht="14.4" customHeight="1" x14ac:dyDescent="0.3">
      <c r="A10" s="615" t="s">
        <v>471</v>
      </c>
      <c r="B10" s="616" t="s">
        <v>2151</v>
      </c>
      <c r="C10" s="617" t="s">
        <v>476</v>
      </c>
      <c r="D10" s="618" t="s">
        <v>2152</v>
      </c>
      <c r="E10" s="617" t="s">
        <v>2986</v>
      </c>
      <c r="F10" s="618" t="s">
        <v>2987</v>
      </c>
      <c r="G10" s="617" t="s">
        <v>2404</v>
      </c>
      <c r="H10" s="617" t="s">
        <v>2405</v>
      </c>
      <c r="I10" s="619">
        <v>2.1800000000000002</v>
      </c>
      <c r="J10" s="619">
        <v>40</v>
      </c>
      <c r="K10" s="620">
        <v>87.2</v>
      </c>
    </row>
    <row r="11" spans="1:11" ht="14.4" customHeight="1" x14ac:dyDescent="0.3">
      <c r="A11" s="615" t="s">
        <v>471</v>
      </c>
      <c r="B11" s="616" t="s">
        <v>2151</v>
      </c>
      <c r="C11" s="617" t="s">
        <v>476</v>
      </c>
      <c r="D11" s="618" t="s">
        <v>2152</v>
      </c>
      <c r="E11" s="617" t="s">
        <v>2986</v>
      </c>
      <c r="F11" s="618" t="s">
        <v>2987</v>
      </c>
      <c r="G11" s="617" t="s">
        <v>2406</v>
      </c>
      <c r="H11" s="617" t="s">
        <v>2407</v>
      </c>
      <c r="I11" s="619">
        <v>2.88</v>
      </c>
      <c r="J11" s="619">
        <v>40</v>
      </c>
      <c r="K11" s="620">
        <v>115.2</v>
      </c>
    </row>
    <row r="12" spans="1:11" ht="14.4" customHeight="1" x14ac:dyDescent="0.3">
      <c r="A12" s="615" t="s">
        <v>471</v>
      </c>
      <c r="B12" s="616" t="s">
        <v>2151</v>
      </c>
      <c r="C12" s="617" t="s">
        <v>476</v>
      </c>
      <c r="D12" s="618" t="s">
        <v>2152</v>
      </c>
      <c r="E12" s="617" t="s">
        <v>2986</v>
      </c>
      <c r="F12" s="618" t="s">
        <v>2987</v>
      </c>
      <c r="G12" s="617" t="s">
        <v>2408</v>
      </c>
      <c r="H12" s="617" t="s">
        <v>2409</v>
      </c>
      <c r="I12" s="619">
        <v>4.3</v>
      </c>
      <c r="J12" s="619">
        <v>20</v>
      </c>
      <c r="K12" s="620">
        <v>86</v>
      </c>
    </row>
    <row r="13" spans="1:11" ht="14.4" customHeight="1" x14ac:dyDescent="0.3">
      <c r="A13" s="615" t="s">
        <v>471</v>
      </c>
      <c r="B13" s="616" t="s">
        <v>2151</v>
      </c>
      <c r="C13" s="617" t="s">
        <v>476</v>
      </c>
      <c r="D13" s="618" t="s">
        <v>2152</v>
      </c>
      <c r="E13" s="617" t="s">
        <v>2986</v>
      </c>
      <c r="F13" s="618" t="s">
        <v>2987</v>
      </c>
      <c r="G13" s="617" t="s">
        <v>2410</v>
      </c>
      <c r="H13" s="617" t="s">
        <v>2411</v>
      </c>
      <c r="I13" s="619">
        <v>9.2957142857142845</v>
      </c>
      <c r="J13" s="619">
        <v>250</v>
      </c>
      <c r="K13" s="620">
        <v>2324.2799999999997</v>
      </c>
    </row>
    <row r="14" spans="1:11" ht="14.4" customHeight="1" x14ac:dyDescent="0.3">
      <c r="A14" s="615" t="s">
        <v>471</v>
      </c>
      <c r="B14" s="616" t="s">
        <v>2151</v>
      </c>
      <c r="C14" s="617" t="s">
        <v>476</v>
      </c>
      <c r="D14" s="618" t="s">
        <v>2152</v>
      </c>
      <c r="E14" s="617" t="s">
        <v>2986</v>
      </c>
      <c r="F14" s="618" t="s">
        <v>2987</v>
      </c>
      <c r="G14" s="617" t="s">
        <v>2412</v>
      </c>
      <c r="H14" s="617" t="s">
        <v>2413</v>
      </c>
      <c r="I14" s="619">
        <v>67.760000000000005</v>
      </c>
      <c r="J14" s="619">
        <v>19</v>
      </c>
      <c r="K14" s="620">
        <v>1287.44</v>
      </c>
    </row>
    <row r="15" spans="1:11" ht="14.4" customHeight="1" x14ac:dyDescent="0.3">
      <c r="A15" s="615" t="s">
        <v>471</v>
      </c>
      <c r="B15" s="616" t="s">
        <v>2151</v>
      </c>
      <c r="C15" s="617" t="s">
        <v>476</v>
      </c>
      <c r="D15" s="618" t="s">
        <v>2152</v>
      </c>
      <c r="E15" s="617" t="s">
        <v>2986</v>
      </c>
      <c r="F15" s="618" t="s">
        <v>2987</v>
      </c>
      <c r="G15" s="617" t="s">
        <v>2414</v>
      </c>
      <c r="H15" s="617" t="s">
        <v>2415</v>
      </c>
      <c r="I15" s="619">
        <v>3.56</v>
      </c>
      <c r="J15" s="619">
        <v>20</v>
      </c>
      <c r="K15" s="620">
        <v>71.2</v>
      </c>
    </row>
    <row r="16" spans="1:11" ht="14.4" customHeight="1" x14ac:dyDescent="0.3">
      <c r="A16" s="615" t="s">
        <v>471</v>
      </c>
      <c r="B16" s="616" t="s">
        <v>2151</v>
      </c>
      <c r="C16" s="617" t="s">
        <v>476</v>
      </c>
      <c r="D16" s="618" t="s">
        <v>2152</v>
      </c>
      <c r="E16" s="617" t="s">
        <v>2986</v>
      </c>
      <c r="F16" s="618" t="s">
        <v>2987</v>
      </c>
      <c r="G16" s="617" t="s">
        <v>2416</v>
      </c>
      <c r="H16" s="617" t="s">
        <v>2417</v>
      </c>
      <c r="I16" s="619">
        <v>210.63499999999999</v>
      </c>
      <c r="J16" s="619">
        <v>2</v>
      </c>
      <c r="K16" s="620">
        <v>421.27</v>
      </c>
    </row>
    <row r="17" spans="1:11" ht="14.4" customHeight="1" x14ac:dyDescent="0.3">
      <c r="A17" s="615" t="s">
        <v>471</v>
      </c>
      <c r="B17" s="616" t="s">
        <v>2151</v>
      </c>
      <c r="C17" s="617" t="s">
        <v>476</v>
      </c>
      <c r="D17" s="618" t="s">
        <v>2152</v>
      </c>
      <c r="E17" s="617" t="s">
        <v>2986</v>
      </c>
      <c r="F17" s="618" t="s">
        <v>2987</v>
      </c>
      <c r="G17" s="617" t="s">
        <v>2418</v>
      </c>
      <c r="H17" s="617" t="s">
        <v>2419</v>
      </c>
      <c r="I17" s="619">
        <v>0.42124999999999996</v>
      </c>
      <c r="J17" s="619">
        <v>19000</v>
      </c>
      <c r="K17" s="620">
        <v>8010</v>
      </c>
    </row>
    <row r="18" spans="1:11" ht="14.4" customHeight="1" x14ac:dyDescent="0.3">
      <c r="A18" s="615" t="s">
        <v>471</v>
      </c>
      <c r="B18" s="616" t="s">
        <v>2151</v>
      </c>
      <c r="C18" s="617" t="s">
        <v>476</v>
      </c>
      <c r="D18" s="618" t="s">
        <v>2152</v>
      </c>
      <c r="E18" s="617" t="s">
        <v>2986</v>
      </c>
      <c r="F18" s="618" t="s">
        <v>2987</v>
      </c>
      <c r="G18" s="617" t="s">
        <v>2420</v>
      </c>
      <c r="H18" s="617" t="s">
        <v>2421</v>
      </c>
      <c r="I18" s="619">
        <v>28.731111111111108</v>
      </c>
      <c r="J18" s="619">
        <v>574</v>
      </c>
      <c r="K18" s="620">
        <v>16491.740000000002</v>
      </c>
    </row>
    <row r="19" spans="1:11" ht="14.4" customHeight="1" x14ac:dyDescent="0.3">
      <c r="A19" s="615" t="s">
        <v>471</v>
      </c>
      <c r="B19" s="616" t="s">
        <v>2151</v>
      </c>
      <c r="C19" s="617" t="s">
        <v>476</v>
      </c>
      <c r="D19" s="618" t="s">
        <v>2152</v>
      </c>
      <c r="E19" s="617" t="s">
        <v>2986</v>
      </c>
      <c r="F19" s="618" t="s">
        <v>2987</v>
      </c>
      <c r="G19" s="617" t="s">
        <v>2422</v>
      </c>
      <c r="H19" s="617" t="s">
        <v>2423</v>
      </c>
      <c r="I19" s="619">
        <v>46.32</v>
      </c>
      <c r="J19" s="619">
        <v>36</v>
      </c>
      <c r="K19" s="620">
        <v>1667.52</v>
      </c>
    </row>
    <row r="20" spans="1:11" ht="14.4" customHeight="1" x14ac:dyDescent="0.3">
      <c r="A20" s="615" t="s">
        <v>471</v>
      </c>
      <c r="B20" s="616" t="s">
        <v>2151</v>
      </c>
      <c r="C20" s="617" t="s">
        <v>476</v>
      </c>
      <c r="D20" s="618" t="s">
        <v>2152</v>
      </c>
      <c r="E20" s="617" t="s">
        <v>2986</v>
      </c>
      <c r="F20" s="618" t="s">
        <v>2987</v>
      </c>
      <c r="G20" s="617" t="s">
        <v>2424</v>
      </c>
      <c r="H20" s="617" t="s">
        <v>2425</v>
      </c>
      <c r="I20" s="619">
        <v>6.2399999999999993</v>
      </c>
      <c r="J20" s="619">
        <v>205</v>
      </c>
      <c r="K20" s="620">
        <v>1279.5</v>
      </c>
    </row>
    <row r="21" spans="1:11" ht="14.4" customHeight="1" x14ac:dyDescent="0.3">
      <c r="A21" s="615" t="s">
        <v>471</v>
      </c>
      <c r="B21" s="616" t="s">
        <v>2151</v>
      </c>
      <c r="C21" s="617" t="s">
        <v>476</v>
      </c>
      <c r="D21" s="618" t="s">
        <v>2152</v>
      </c>
      <c r="E21" s="617" t="s">
        <v>2986</v>
      </c>
      <c r="F21" s="618" t="s">
        <v>2987</v>
      </c>
      <c r="G21" s="617" t="s">
        <v>2426</v>
      </c>
      <c r="H21" s="617" t="s">
        <v>2427</v>
      </c>
      <c r="I21" s="619">
        <v>3.01</v>
      </c>
      <c r="J21" s="619">
        <v>1000</v>
      </c>
      <c r="K21" s="620">
        <v>3010</v>
      </c>
    </row>
    <row r="22" spans="1:11" ht="14.4" customHeight="1" x14ac:dyDescent="0.3">
      <c r="A22" s="615" t="s">
        <v>471</v>
      </c>
      <c r="B22" s="616" t="s">
        <v>2151</v>
      </c>
      <c r="C22" s="617" t="s">
        <v>476</v>
      </c>
      <c r="D22" s="618" t="s">
        <v>2152</v>
      </c>
      <c r="E22" s="617" t="s">
        <v>2986</v>
      </c>
      <c r="F22" s="618" t="s">
        <v>2987</v>
      </c>
      <c r="G22" s="617" t="s">
        <v>2428</v>
      </c>
      <c r="H22" s="617" t="s">
        <v>2429</v>
      </c>
      <c r="I22" s="619">
        <v>0.88</v>
      </c>
      <c r="J22" s="619">
        <v>2500</v>
      </c>
      <c r="K22" s="620">
        <v>2200</v>
      </c>
    </row>
    <row r="23" spans="1:11" ht="14.4" customHeight="1" x14ac:dyDescent="0.3">
      <c r="A23" s="615" t="s">
        <v>471</v>
      </c>
      <c r="B23" s="616" t="s">
        <v>2151</v>
      </c>
      <c r="C23" s="617" t="s">
        <v>476</v>
      </c>
      <c r="D23" s="618" t="s">
        <v>2152</v>
      </c>
      <c r="E23" s="617" t="s">
        <v>2986</v>
      </c>
      <c r="F23" s="618" t="s">
        <v>2987</v>
      </c>
      <c r="G23" s="617" t="s">
        <v>2430</v>
      </c>
      <c r="H23" s="617" t="s">
        <v>2431</v>
      </c>
      <c r="I23" s="619">
        <v>1.4216666666666666</v>
      </c>
      <c r="J23" s="619">
        <v>1200</v>
      </c>
      <c r="K23" s="620">
        <v>1707.1399999999999</v>
      </c>
    </row>
    <row r="24" spans="1:11" ht="14.4" customHeight="1" x14ac:dyDescent="0.3">
      <c r="A24" s="615" t="s">
        <v>471</v>
      </c>
      <c r="B24" s="616" t="s">
        <v>2151</v>
      </c>
      <c r="C24" s="617" t="s">
        <v>476</v>
      </c>
      <c r="D24" s="618" t="s">
        <v>2152</v>
      </c>
      <c r="E24" s="617" t="s">
        <v>2986</v>
      </c>
      <c r="F24" s="618" t="s">
        <v>2987</v>
      </c>
      <c r="G24" s="617" t="s">
        <v>2432</v>
      </c>
      <c r="H24" s="617" t="s">
        <v>2433</v>
      </c>
      <c r="I24" s="619">
        <v>0.15</v>
      </c>
      <c r="J24" s="619">
        <v>100</v>
      </c>
      <c r="K24" s="620">
        <v>15</v>
      </c>
    </row>
    <row r="25" spans="1:11" ht="14.4" customHeight="1" x14ac:dyDescent="0.3">
      <c r="A25" s="615" t="s">
        <v>471</v>
      </c>
      <c r="B25" s="616" t="s">
        <v>2151</v>
      </c>
      <c r="C25" s="617" t="s">
        <v>476</v>
      </c>
      <c r="D25" s="618" t="s">
        <v>2152</v>
      </c>
      <c r="E25" s="617" t="s">
        <v>2986</v>
      </c>
      <c r="F25" s="618" t="s">
        <v>2987</v>
      </c>
      <c r="G25" s="617" t="s">
        <v>2434</v>
      </c>
      <c r="H25" s="617" t="s">
        <v>2435</v>
      </c>
      <c r="I25" s="619">
        <v>86.38</v>
      </c>
      <c r="J25" s="619">
        <v>60</v>
      </c>
      <c r="K25" s="620">
        <v>5182.57</v>
      </c>
    </row>
    <row r="26" spans="1:11" ht="14.4" customHeight="1" x14ac:dyDescent="0.3">
      <c r="A26" s="615" t="s">
        <v>471</v>
      </c>
      <c r="B26" s="616" t="s">
        <v>2151</v>
      </c>
      <c r="C26" s="617" t="s">
        <v>476</v>
      </c>
      <c r="D26" s="618" t="s">
        <v>2152</v>
      </c>
      <c r="E26" s="617" t="s">
        <v>2986</v>
      </c>
      <c r="F26" s="618" t="s">
        <v>2987</v>
      </c>
      <c r="G26" s="617" t="s">
        <v>2436</v>
      </c>
      <c r="H26" s="617" t="s">
        <v>2437</v>
      </c>
      <c r="I26" s="619">
        <v>233.79</v>
      </c>
      <c r="J26" s="619">
        <v>20</v>
      </c>
      <c r="K26" s="620">
        <v>4675.8999999999996</v>
      </c>
    </row>
    <row r="27" spans="1:11" ht="14.4" customHeight="1" x14ac:dyDescent="0.3">
      <c r="A27" s="615" t="s">
        <v>471</v>
      </c>
      <c r="B27" s="616" t="s">
        <v>2151</v>
      </c>
      <c r="C27" s="617" t="s">
        <v>476</v>
      </c>
      <c r="D27" s="618" t="s">
        <v>2152</v>
      </c>
      <c r="E27" s="617" t="s">
        <v>2986</v>
      </c>
      <c r="F27" s="618" t="s">
        <v>2987</v>
      </c>
      <c r="G27" s="617" t="s">
        <v>2438</v>
      </c>
      <c r="H27" s="617" t="s">
        <v>2439</v>
      </c>
      <c r="I27" s="619">
        <v>0.434</v>
      </c>
      <c r="J27" s="619">
        <v>8000</v>
      </c>
      <c r="K27" s="620">
        <v>3460</v>
      </c>
    </row>
    <row r="28" spans="1:11" ht="14.4" customHeight="1" x14ac:dyDescent="0.3">
      <c r="A28" s="615" t="s">
        <v>471</v>
      </c>
      <c r="B28" s="616" t="s">
        <v>2151</v>
      </c>
      <c r="C28" s="617" t="s">
        <v>476</v>
      </c>
      <c r="D28" s="618" t="s">
        <v>2152</v>
      </c>
      <c r="E28" s="617" t="s">
        <v>2986</v>
      </c>
      <c r="F28" s="618" t="s">
        <v>2987</v>
      </c>
      <c r="G28" s="617" t="s">
        <v>2440</v>
      </c>
      <c r="H28" s="617" t="s">
        <v>2441</v>
      </c>
      <c r="I28" s="619">
        <v>25.552500000000002</v>
      </c>
      <c r="J28" s="619">
        <v>96</v>
      </c>
      <c r="K28" s="620">
        <v>2452.94</v>
      </c>
    </row>
    <row r="29" spans="1:11" ht="14.4" customHeight="1" x14ac:dyDescent="0.3">
      <c r="A29" s="615" t="s">
        <v>471</v>
      </c>
      <c r="B29" s="616" t="s">
        <v>2151</v>
      </c>
      <c r="C29" s="617" t="s">
        <v>476</v>
      </c>
      <c r="D29" s="618" t="s">
        <v>2152</v>
      </c>
      <c r="E29" s="617" t="s">
        <v>2986</v>
      </c>
      <c r="F29" s="618" t="s">
        <v>2987</v>
      </c>
      <c r="G29" s="617" t="s">
        <v>2442</v>
      </c>
      <c r="H29" s="617" t="s">
        <v>2443</v>
      </c>
      <c r="I29" s="619">
        <v>22.147272727272732</v>
      </c>
      <c r="J29" s="619">
        <v>750</v>
      </c>
      <c r="K29" s="620">
        <v>16610.5</v>
      </c>
    </row>
    <row r="30" spans="1:11" ht="14.4" customHeight="1" x14ac:dyDescent="0.3">
      <c r="A30" s="615" t="s">
        <v>471</v>
      </c>
      <c r="B30" s="616" t="s">
        <v>2151</v>
      </c>
      <c r="C30" s="617" t="s">
        <v>476</v>
      </c>
      <c r="D30" s="618" t="s">
        <v>2152</v>
      </c>
      <c r="E30" s="617" t="s">
        <v>2986</v>
      </c>
      <c r="F30" s="618" t="s">
        <v>2987</v>
      </c>
      <c r="G30" s="617" t="s">
        <v>2444</v>
      </c>
      <c r="H30" s="617" t="s">
        <v>2445</v>
      </c>
      <c r="I30" s="619">
        <v>30.175454545454553</v>
      </c>
      <c r="J30" s="619">
        <v>575</v>
      </c>
      <c r="K30" s="620">
        <v>17350.75</v>
      </c>
    </row>
    <row r="31" spans="1:11" ht="14.4" customHeight="1" x14ac:dyDescent="0.3">
      <c r="A31" s="615" t="s">
        <v>471</v>
      </c>
      <c r="B31" s="616" t="s">
        <v>2151</v>
      </c>
      <c r="C31" s="617" t="s">
        <v>476</v>
      </c>
      <c r="D31" s="618" t="s">
        <v>2152</v>
      </c>
      <c r="E31" s="617" t="s">
        <v>2986</v>
      </c>
      <c r="F31" s="618" t="s">
        <v>2987</v>
      </c>
      <c r="G31" s="617" t="s">
        <v>2446</v>
      </c>
      <c r="H31" s="617" t="s">
        <v>2447</v>
      </c>
      <c r="I31" s="619">
        <v>272.43</v>
      </c>
      <c r="J31" s="619">
        <v>6</v>
      </c>
      <c r="K31" s="620">
        <v>1634.6</v>
      </c>
    </row>
    <row r="32" spans="1:11" ht="14.4" customHeight="1" x14ac:dyDescent="0.3">
      <c r="A32" s="615" t="s">
        <v>471</v>
      </c>
      <c r="B32" s="616" t="s">
        <v>2151</v>
      </c>
      <c r="C32" s="617" t="s">
        <v>476</v>
      </c>
      <c r="D32" s="618" t="s">
        <v>2152</v>
      </c>
      <c r="E32" s="617" t="s">
        <v>2986</v>
      </c>
      <c r="F32" s="618" t="s">
        <v>2987</v>
      </c>
      <c r="G32" s="617" t="s">
        <v>2448</v>
      </c>
      <c r="H32" s="617" t="s">
        <v>2449</v>
      </c>
      <c r="I32" s="619">
        <v>1.25</v>
      </c>
      <c r="J32" s="619">
        <v>4500</v>
      </c>
      <c r="K32" s="620">
        <v>5642.82</v>
      </c>
    </row>
    <row r="33" spans="1:11" ht="14.4" customHeight="1" x14ac:dyDescent="0.3">
      <c r="A33" s="615" t="s">
        <v>471</v>
      </c>
      <c r="B33" s="616" t="s">
        <v>2151</v>
      </c>
      <c r="C33" s="617" t="s">
        <v>476</v>
      </c>
      <c r="D33" s="618" t="s">
        <v>2152</v>
      </c>
      <c r="E33" s="617" t="s">
        <v>2986</v>
      </c>
      <c r="F33" s="618" t="s">
        <v>2987</v>
      </c>
      <c r="G33" s="617" t="s">
        <v>2450</v>
      </c>
      <c r="H33" s="617" t="s">
        <v>2451</v>
      </c>
      <c r="I33" s="619">
        <v>13.053999999999998</v>
      </c>
      <c r="J33" s="619">
        <v>640</v>
      </c>
      <c r="K33" s="620">
        <v>8346.3000000000011</v>
      </c>
    </row>
    <row r="34" spans="1:11" ht="14.4" customHeight="1" x14ac:dyDescent="0.3">
      <c r="A34" s="615" t="s">
        <v>471</v>
      </c>
      <c r="B34" s="616" t="s">
        <v>2151</v>
      </c>
      <c r="C34" s="617" t="s">
        <v>476</v>
      </c>
      <c r="D34" s="618" t="s">
        <v>2152</v>
      </c>
      <c r="E34" s="617" t="s">
        <v>2986</v>
      </c>
      <c r="F34" s="618" t="s">
        <v>2987</v>
      </c>
      <c r="G34" s="617" t="s">
        <v>2452</v>
      </c>
      <c r="H34" s="617" t="s">
        <v>2453</v>
      </c>
      <c r="I34" s="619">
        <v>1.38</v>
      </c>
      <c r="J34" s="619">
        <v>150</v>
      </c>
      <c r="K34" s="620">
        <v>207</v>
      </c>
    </row>
    <row r="35" spans="1:11" ht="14.4" customHeight="1" x14ac:dyDescent="0.3">
      <c r="A35" s="615" t="s">
        <v>471</v>
      </c>
      <c r="B35" s="616" t="s">
        <v>2151</v>
      </c>
      <c r="C35" s="617" t="s">
        <v>476</v>
      </c>
      <c r="D35" s="618" t="s">
        <v>2152</v>
      </c>
      <c r="E35" s="617" t="s">
        <v>2986</v>
      </c>
      <c r="F35" s="618" t="s">
        <v>2987</v>
      </c>
      <c r="G35" s="617" t="s">
        <v>2454</v>
      </c>
      <c r="H35" s="617" t="s">
        <v>2455</v>
      </c>
      <c r="I35" s="619">
        <v>8.59</v>
      </c>
      <c r="J35" s="619">
        <v>480</v>
      </c>
      <c r="K35" s="620">
        <v>4123.2</v>
      </c>
    </row>
    <row r="36" spans="1:11" ht="14.4" customHeight="1" x14ac:dyDescent="0.3">
      <c r="A36" s="615" t="s">
        <v>471</v>
      </c>
      <c r="B36" s="616" t="s">
        <v>2151</v>
      </c>
      <c r="C36" s="617" t="s">
        <v>476</v>
      </c>
      <c r="D36" s="618" t="s">
        <v>2152</v>
      </c>
      <c r="E36" s="617" t="s">
        <v>2986</v>
      </c>
      <c r="F36" s="618" t="s">
        <v>2987</v>
      </c>
      <c r="G36" s="617" t="s">
        <v>2456</v>
      </c>
      <c r="H36" s="617" t="s">
        <v>2457</v>
      </c>
      <c r="I36" s="619">
        <v>3.9400000000000004</v>
      </c>
      <c r="J36" s="619">
        <v>3940</v>
      </c>
      <c r="K36" s="620">
        <v>15540.859999999997</v>
      </c>
    </row>
    <row r="37" spans="1:11" ht="14.4" customHeight="1" x14ac:dyDescent="0.3">
      <c r="A37" s="615" t="s">
        <v>471</v>
      </c>
      <c r="B37" s="616" t="s">
        <v>2151</v>
      </c>
      <c r="C37" s="617" t="s">
        <v>476</v>
      </c>
      <c r="D37" s="618" t="s">
        <v>2152</v>
      </c>
      <c r="E37" s="617" t="s">
        <v>2986</v>
      </c>
      <c r="F37" s="618" t="s">
        <v>2987</v>
      </c>
      <c r="G37" s="617" t="s">
        <v>2458</v>
      </c>
      <c r="H37" s="617" t="s">
        <v>2459</v>
      </c>
      <c r="I37" s="619">
        <v>0.44</v>
      </c>
      <c r="J37" s="619">
        <v>3300</v>
      </c>
      <c r="K37" s="620">
        <v>1452</v>
      </c>
    </row>
    <row r="38" spans="1:11" ht="14.4" customHeight="1" x14ac:dyDescent="0.3">
      <c r="A38" s="615" t="s">
        <v>471</v>
      </c>
      <c r="B38" s="616" t="s">
        <v>2151</v>
      </c>
      <c r="C38" s="617" t="s">
        <v>476</v>
      </c>
      <c r="D38" s="618" t="s">
        <v>2152</v>
      </c>
      <c r="E38" s="617" t="s">
        <v>2986</v>
      </c>
      <c r="F38" s="618" t="s">
        <v>2987</v>
      </c>
      <c r="G38" s="617" t="s">
        <v>2460</v>
      </c>
      <c r="H38" s="617" t="s">
        <v>2461</v>
      </c>
      <c r="I38" s="619">
        <v>347.31</v>
      </c>
      <c r="J38" s="619">
        <v>8</v>
      </c>
      <c r="K38" s="620">
        <v>2778.48</v>
      </c>
    </row>
    <row r="39" spans="1:11" ht="14.4" customHeight="1" x14ac:dyDescent="0.3">
      <c r="A39" s="615" t="s">
        <v>471</v>
      </c>
      <c r="B39" s="616" t="s">
        <v>2151</v>
      </c>
      <c r="C39" s="617" t="s">
        <v>476</v>
      </c>
      <c r="D39" s="618" t="s">
        <v>2152</v>
      </c>
      <c r="E39" s="617" t="s">
        <v>2986</v>
      </c>
      <c r="F39" s="618" t="s">
        <v>2987</v>
      </c>
      <c r="G39" s="617" t="s">
        <v>2462</v>
      </c>
      <c r="H39" s="617" t="s">
        <v>2463</v>
      </c>
      <c r="I39" s="619">
        <v>8.5774999999999988</v>
      </c>
      <c r="J39" s="619">
        <v>372</v>
      </c>
      <c r="K39" s="620">
        <v>3190.8</v>
      </c>
    </row>
    <row r="40" spans="1:11" ht="14.4" customHeight="1" x14ac:dyDescent="0.3">
      <c r="A40" s="615" t="s">
        <v>471</v>
      </c>
      <c r="B40" s="616" t="s">
        <v>2151</v>
      </c>
      <c r="C40" s="617" t="s">
        <v>476</v>
      </c>
      <c r="D40" s="618" t="s">
        <v>2152</v>
      </c>
      <c r="E40" s="617" t="s">
        <v>2986</v>
      </c>
      <c r="F40" s="618" t="s">
        <v>2987</v>
      </c>
      <c r="G40" s="617" t="s">
        <v>2464</v>
      </c>
      <c r="H40" s="617" t="s">
        <v>2465</v>
      </c>
      <c r="I40" s="619">
        <v>27.875</v>
      </c>
      <c r="J40" s="619">
        <v>58</v>
      </c>
      <c r="K40" s="620">
        <v>1616.78</v>
      </c>
    </row>
    <row r="41" spans="1:11" ht="14.4" customHeight="1" x14ac:dyDescent="0.3">
      <c r="A41" s="615" t="s">
        <v>471</v>
      </c>
      <c r="B41" s="616" t="s">
        <v>2151</v>
      </c>
      <c r="C41" s="617" t="s">
        <v>476</v>
      </c>
      <c r="D41" s="618" t="s">
        <v>2152</v>
      </c>
      <c r="E41" s="617" t="s">
        <v>2986</v>
      </c>
      <c r="F41" s="618" t="s">
        <v>2987</v>
      </c>
      <c r="G41" s="617" t="s">
        <v>2466</v>
      </c>
      <c r="H41" s="617" t="s">
        <v>2467</v>
      </c>
      <c r="I41" s="619">
        <v>0.63</v>
      </c>
      <c r="J41" s="619">
        <v>6000</v>
      </c>
      <c r="K41" s="620">
        <v>3780</v>
      </c>
    </row>
    <row r="42" spans="1:11" ht="14.4" customHeight="1" x14ac:dyDescent="0.3">
      <c r="A42" s="615" t="s">
        <v>471</v>
      </c>
      <c r="B42" s="616" t="s">
        <v>2151</v>
      </c>
      <c r="C42" s="617" t="s">
        <v>476</v>
      </c>
      <c r="D42" s="618" t="s">
        <v>2152</v>
      </c>
      <c r="E42" s="617" t="s">
        <v>2986</v>
      </c>
      <c r="F42" s="618" t="s">
        <v>2987</v>
      </c>
      <c r="G42" s="617" t="s">
        <v>2468</v>
      </c>
      <c r="H42" s="617" t="s">
        <v>2469</v>
      </c>
      <c r="I42" s="619">
        <v>159.55000000000001</v>
      </c>
      <c r="J42" s="619">
        <v>20</v>
      </c>
      <c r="K42" s="620">
        <v>3191.04</v>
      </c>
    </row>
    <row r="43" spans="1:11" ht="14.4" customHeight="1" x14ac:dyDescent="0.3">
      <c r="A43" s="615" t="s">
        <v>471</v>
      </c>
      <c r="B43" s="616" t="s">
        <v>2151</v>
      </c>
      <c r="C43" s="617" t="s">
        <v>476</v>
      </c>
      <c r="D43" s="618" t="s">
        <v>2152</v>
      </c>
      <c r="E43" s="617" t="s">
        <v>2986</v>
      </c>
      <c r="F43" s="618" t="s">
        <v>2987</v>
      </c>
      <c r="G43" s="617" t="s">
        <v>2470</v>
      </c>
      <c r="H43" s="617" t="s">
        <v>2471</v>
      </c>
      <c r="I43" s="619">
        <v>3.246</v>
      </c>
      <c r="J43" s="619">
        <v>700</v>
      </c>
      <c r="K43" s="620">
        <v>2272</v>
      </c>
    </row>
    <row r="44" spans="1:11" ht="14.4" customHeight="1" x14ac:dyDescent="0.3">
      <c r="A44" s="615" t="s">
        <v>471</v>
      </c>
      <c r="B44" s="616" t="s">
        <v>2151</v>
      </c>
      <c r="C44" s="617" t="s">
        <v>476</v>
      </c>
      <c r="D44" s="618" t="s">
        <v>2152</v>
      </c>
      <c r="E44" s="617" t="s">
        <v>2986</v>
      </c>
      <c r="F44" s="618" t="s">
        <v>2987</v>
      </c>
      <c r="G44" s="617" t="s">
        <v>2472</v>
      </c>
      <c r="H44" s="617" t="s">
        <v>2473</v>
      </c>
      <c r="I44" s="619">
        <v>1.29</v>
      </c>
      <c r="J44" s="619">
        <v>9585</v>
      </c>
      <c r="K44" s="620">
        <v>12364.65</v>
      </c>
    </row>
    <row r="45" spans="1:11" ht="14.4" customHeight="1" x14ac:dyDescent="0.3">
      <c r="A45" s="615" t="s">
        <v>471</v>
      </c>
      <c r="B45" s="616" t="s">
        <v>2151</v>
      </c>
      <c r="C45" s="617" t="s">
        <v>476</v>
      </c>
      <c r="D45" s="618" t="s">
        <v>2152</v>
      </c>
      <c r="E45" s="617" t="s">
        <v>2986</v>
      </c>
      <c r="F45" s="618" t="s">
        <v>2987</v>
      </c>
      <c r="G45" s="617" t="s">
        <v>2474</v>
      </c>
      <c r="H45" s="617" t="s">
        <v>2475</v>
      </c>
      <c r="I45" s="619">
        <v>9.0183333333333326</v>
      </c>
      <c r="J45" s="619">
        <v>530</v>
      </c>
      <c r="K45" s="620">
        <v>4779.6000000000004</v>
      </c>
    </row>
    <row r="46" spans="1:11" ht="14.4" customHeight="1" x14ac:dyDescent="0.3">
      <c r="A46" s="615" t="s">
        <v>471</v>
      </c>
      <c r="B46" s="616" t="s">
        <v>2151</v>
      </c>
      <c r="C46" s="617" t="s">
        <v>476</v>
      </c>
      <c r="D46" s="618" t="s">
        <v>2152</v>
      </c>
      <c r="E46" s="617" t="s">
        <v>2986</v>
      </c>
      <c r="F46" s="618" t="s">
        <v>2987</v>
      </c>
      <c r="G46" s="617" t="s">
        <v>2476</v>
      </c>
      <c r="H46" s="617" t="s">
        <v>2477</v>
      </c>
      <c r="I46" s="619">
        <v>46</v>
      </c>
      <c r="J46" s="619">
        <v>5</v>
      </c>
      <c r="K46" s="620">
        <v>230</v>
      </c>
    </row>
    <row r="47" spans="1:11" ht="14.4" customHeight="1" x14ac:dyDescent="0.3">
      <c r="A47" s="615" t="s">
        <v>471</v>
      </c>
      <c r="B47" s="616" t="s">
        <v>2151</v>
      </c>
      <c r="C47" s="617" t="s">
        <v>476</v>
      </c>
      <c r="D47" s="618" t="s">
        <v>2152</v>
      </c>
      <c r="E47" s="617" t="s">
        <v>2986</v>
      </c>
      <c r="F47" s="618" t="s">
        <v>2987</v>
      </c>
      <c r="G47" s="617" t="s">
        <v>2478</v>
      </c>
      <c r="H47" s="617" t="s">
        <v>2479</v>
      </c>
      <c r="I47" s="619">
        <v>29.9</v>
      </c>
      <c r="J47" s="619">
        <v>30</v>
      </c>
      <c r="K47" s="620">
        <v>897</v>
      </c>
    </row>
    <row r="48" spans="1:11" ht="14.4" customHeight="1" x14ac:dyDescent="0.3">
      <c r="A48" s="615" t="s">
        <v>471</v>
      </c>
      <c r="B48" s="616" t="s">
        <v>2151</v>
      </c>
      <c r="C48" s="617" t="s">
        <v>476</v>
      </c>
      <c r="D48" s="618" t="s">
        <v>2152</v>
      </c>
      <c r="E48" s="617" t="s">
        <v>2986</v>
      </c>
      <c r="F48" s="618" t="s">
        <v>2987</v>
      </c>
      <c r="G48" s="617" t="s">
        <v>2480</v>
      </c>
      <c r="H48" s="617" t="s">
        <v>2481</v>
      </c>
      <c r="I48" s="619">
        <v>123.185</v>
      </c>
      <c r="J48" s="619">
        <v>20</v>
      </c>
      <c r="K48" s="620">
        <v>2463.6800000000003</v>
      </c>
    </row>
    <row r="49" spans="1:11" ht="14.4" customHeight="1" x14ac:dyDescent="0.3">
      <c r="A49" s="615" t="s">
        <v>471</v>
      </c>
      <c r="B49" s="616" t="s">
        <v>2151</v>
      </c>
      <c r="C49" s="617" t="s">
        <v>476</v>
      </c>
      <c r="D49" s="618" t="s">
        <v>2152</v>
      </c>
      <c r="E49" s="617" t="s">
        <v>2986</v>
      </c>
      <c r="F49" s="618" t="s">
        <v>2987</v>
      </c>
      <c r="G49" s="617" t="s">
        <v>2482</v>
      </c>
      <c r="H49" s="617" t="s">
        <v>2483</v>
      </c>
      <c r="I49" s="619">
        <v>7.51</v>
      </c>
      <c r="J49" s="619">
        <v>128</v>
      </c>
      <c r="K49" s="620">
        <v>961.28</v>
      </c>
    </row>
    <row r="50" spans="1:11" ht="14.4" customHeight="1" x14ac:dyDescent="0.3">
      <c r="A50" s="615" t="s">
        <v>471</v>
      </c>
      <c r="B50" s="616" t="s">
        <v>2151</v>
      </c>
      <c r="C50" s="617" t="s">
        <v>476</v>
      </c>
      <c r="D50" s="618" t="s">
        <v>2152</v>
      </c>
      <c r="E50" s="617" t="s">
        <v>2986</v>
      </c>
      <c r="F50" s="618" t="s">
        <v>2987</v>
      </c>
      <c r="G50" s="617" t="s">
        <v>2484</v>
      </c>
      <c r="H50" s="617" t="s">
        <v>2485</v>
      </c>
      <c r="I50" s="619">
        <v>0.85714285714285732</v>
      </c>
      <c r="J50" s="619">
        <v>1300</v>
      </c>
      <c r="K50" s="620">
        <v>1114</v>
      </c>
    </row>
    <row r="51" spans="1:11" ht="14.4" customHeight="1" x14ac:dyDescent="0.3">
      <c r="A51" s="615" t="s">
        <v>471</v>
      </c>
      <c r="B51" s="616" t="s">
        <v>2151</v>
      </c>
      <c r="C51" s="617" t="s">
        <v>476</v>
      </c>
      <c r="D51" s="618" t="s">
        <v>2152</v>
      </c>
      <c r="E51" s="617" t="s">
        <v>2986</v>
      </c>
      <c r="F51" s="618" t="s">
        <v>2987</v>
      </c>
      <c r="G51" s="617" t="s">
        <v>2486</v>
      </c>
      <c r="H51" s="617" t="s">
        <v>2487</v>
      </c>
      <c r="I51" s="619">
        <v>1.5171428571428571</v>
      </c>
      <c r="J51" s="619">
        <v>950</v>
      </c>
      <c r="K51" s="620">
        <v>1441</v>
      </c>
    </row>
    <row r="52" spans="1:11" ht="14.4" customHeight="1" x14ac:dyDescent="0.3">
      <c r="A52" s="615" t="s">
        <v>471</v>
      </c>
      <c r="B52" s="616" t="s">
        <v>2151</v>
      </c>
      <c r="C52" s="617" t="s">
        <v>476</v>
      </c>
      <c r="D52" s="618" t="s">
        <v>2152</v>
      </c>
      <c r="E52" s="617" t="s">
        <v>2986</v>
      </c>
      <c r="F52" s="618" t="s">
        <v>2987</v>
      </c>
      <c r="G52" s="617" t="s">
        <v>2488</v>
      </c>
      <c r="H52" s="617" t="s">
        <v>2489</v>
      </c>
      <c r="I52" s="619">
        <v>2.063333333333333</v>
      </c>
      <c r="J52" s="619">
        <v>400</v>
      </c>
      <c r="K52" s="620">
        <v>825</v>
      </c>
    </row>
    <row r="53" spans="1:11" ht="14.4" customHeight="1" x14ac:dyDescent="0.3">
      <c r="A53" s="615" t="s">
        <v>471</v>
      </c>
      <c r="B53" s="616" t="s">
        <v>2151</v>
      </c>
      <c r="C53" s="617" t="s">
        <v>476</v>
      </c>
      <c r="D53" s="618" t="s">
        <v>2152</v>
      </c>
      <c r="E53" s="617" t="s">
        <v>2986</v>
      </c>
      <c r="F53" s="618" t="s">
        <v>2987</v>
      </c>
      <c r="G53" s="617" t="s">
        <v>2490</v>
      </c>
      <c r="H53" s="617" t="s">
        <v>2491</v>
      </c>
      <c r="I53" s="619">
        <v>733.68</v>
      </c>
      <c r="J53" s="619">
        <v>1</v>
      </c>
      <c r="K53" s="620">
        <v>733.68</v>
      </c>
    </row>
    <row r="54" spans="1:11" ht="14.4" customHeight="1" x14ac:dyDescent="0.3">
      <c r="A54" s="615" t="s">
        <v>471</v>
      </c>
      <c r="B54" s="616" t="s">
        <v>2151</v>
      </c>
      <c r="C54" s="617" t="s">
        <v>476</v>
      </c>
      <c r="D54" s="618" t="s">
        <v>2152</v>
      </c>
      <c r="E54" s="617" t="s">
        <v>2986</v>
      </c>
      <c r="F54" s="618" t="s">
        <v>2987</v>
      </c>
      <c r="G54" s="617" t="s">
        <v>2492</v>
      </c>
      <c r="H54" s="617" t="s">
        <v>2493</v>
      </c>
      <c r="I54" s="619">
        <v>66.72</v>
      </c>
      <c r="J54" s="619">
        <v>30</v>
      </c>
      <c r="K54" s="620">
        <v>2001.72</v>
      </c>
    </row>
    <row r="55" spans="1:11" ht="14.4" customHeight="1" x14ac:dyDescent="0.3">
      <c r="A55" s="615" t="s">
        <v>471</v>
      </c>
      <c r="B55" s="616" t="s">
        <v>2151</v>
      </c>
      <c r="C55" s="617" t="s">
        <v>476</v>
      </c>
      <c r="D55" s="618" t="s">
        <v>2152</v>
      </c>
      <c r="E55" s="617" t="s">
        <v>2986</v>
      </c>
      <c r="F55" s="618" t="s">
        <v>2987</v>
      </c>
      <c r="G55" s="617" t="s">
        <v>2494</v>
      </c>
      <c r="H55" s="617" t="s">
        <v>2495</v>
      </c>
      <c r="I55" s="619">
        <v>3.01</v>
      </c>
      <c r="J55" s="619">
        <v>50</v>
      </c>
      <c r="K55" s="620">
        <v>150.49</v>
      </c>
    </row>
    <row r="56" spans="1:11" ht="14.4" customHeight="1" x14ac:dyDescent="0.3">
      <c r="A56" s="615" t="s">
        <v>471</v>
      </c>
      <c r="B56" s="616" t="s">
        <v>2151</v>
      </c>
      <c r="C56" s="617" t="s">
        <v>476</v>
      </c>
      <c r="D56" s="618" t="s">
        <v>2152</v>
      </c>
      <c r="E56" s="617" t="s">
        <v>2986</v>
      </c>
      <c r="F56" s="618" t="s">
        <v>2987</v>
      </c>
      <c r="G56" s="617" t="s">
        <v>2496</v>
      </c>
      <c r="H56" s="617" t="s">
        <v>2497</v>
      </c>
      <c r="I56" s="619">
        <v>659.91</v>
      </c>
      <c r="J56" s="619">
        <v>24</v>
      </c>
      <c r="K56" s="620">
        <v>15837.8</v>
      </c>
    </row>
    <row r="57" spans="1:11" ht="14.4" customHeight="1" x14ac:dyDescent="0.3">
      <c r="A57" s="615" t="s">
        <v>471</v>
      </c>
      <c r="B57" s="616" t="s">
        <v>2151</v>
      </c>
      <c r="C57" s="617" t="s">
        <v>476</v>
      </c>
      <c r="D57" s="618" t="s">
        <v>2152</v>
      </c>
      <c r="E57" s="617" t="s">
        <v>2986</v>
      </c>
      <c r="F57" s="618" t="s">
        <v>2987</v>
      </c>
      <c r="G57" s="617" t="s">
        <v>2498</v>
      </c>
      <c r="H57" s="617" t="s">
        <v>2499</v>
      </c>
      <c r="I57" s="619">
        <v>834.62</v>
      </c>
      <c r="J57" s="619">
        <v>2</v>
      </c>
      <c r="K57" s="620">
        <v>1669.24</v>
      </c>
    </row>
    <row r="58" spans="1:11" ht="14.4" customHeight="1" x14ac:dyDescent="0.3">
      <c r="A58" s="615" t="s">
        <v>471</v>
      </c>
      <c r="B58" s="616" t="s">
        <v>2151</v>
      </c>
      <c r="C58" s="617" t="s">
        <v>476</v>
      </c>
      <c r="D58" s="618" t="s">
        <v>2152</v>
      </c>
      <c r="E58" s="617" t="s">
        <v>2986</v>
      </c>
      <c r="F58" s="618" t="s">
        <v>2987</v>
      </c>
      <c r="G58" s="617" t="s">
        <v>2500</v>
      </c>
      <c r="H58" s="617" t="s">
        <v>2501</v>
      </c>
      <c r="I58" s="619">
        <v>9.7771428571428576</v>
      </c>
      <c r="J58" s="619">
        <v>280</v>
      </c>
      <c r="K58" s="620">
        <v>2736.95</v>
      </c>
    </row>
    <row r="59" spans="1:11" ht="14.4" customHeight="1" x14ac:dyDescent="0.3">
      <c r="A59" s="615" t="s">
        <v>471</v>
      </c>
      <c r="B59" s="616" t="s">
        <v>2151</v>
      </c>
      <c r="C59" s="617" t="s">
        <v>476</v>
      </c>
      <c r="D59" s="618" t="s">
        <v>2152</v>
      </c>
      <c r="E59" s="617" t="s">
        <v>2986</v>
      </c>
      <c r="F59" s="618" t="s">
        <v>2987</v>
      </c>
      <c r="G59" s="617" t="s">
        <v>2502</v>
      </c>
      <c r="H59" s="617" t="s">
        <v>2503</v>
      </c>
      <c r="I59" s="619">
        <v>185.976</v>
      </c>
      <c r="J59" s="619">
        <v>60</v>
      </c>
      <c r="K59" s="620">
        <v>11158.56</v>
      </c>
    </row>
    <row r="60" spans="1:11" ht="14.4" customHeight="1" x14ac:dyDescent="0.3">
      <c r="A60" s="615" t="s">
        <v>471</v>
      </c>
      <c r="B60" s="616" t="s">
        <v>2151</v>
      </c>
      <c r="C60" s="617" t="s">
        <v>476</v>
      </c>
      <c r="D60" s="618" t="s">
        <v>2152</v>
      </c>
      <c r="E60" s="617" t="s">
        <v>2986</v>
      </c>
      <c r="F60" s="618" t="s">
        <v>2987</v>
      </c>
      <c r="G60" s="617" t="s">
        <v>2504</v>
      </c>
      <c r="H60" s="617" t="s">
        <v>2505</v>
      </c>
      <c r="I60" s="619">
        <v>2.67</v>
      </c>
      <c r="J60" s="619">
        <v>45</v>
      </c>
      <c r="K60" s="620">
        <v>120.15</v>
      </c>
    </row>
    <row r="61" spans="1:11" ht="14.4" customHeight="1" x14ac:dyDescent="0.3">
      <c r="A61" s="615" t="s">
        <v>471</v>
      </c>
      <c r="B61" s="616" t="s">
        <v>2151</v>
      </c>
      <c r="C61" s="617" t="s">
        <v>476</v>
      </c>
      <c r="D61" s="618" t="s">
        <v>2152</v>
      </c>
      <c r="E61" s="617" t="s">
        <v>2986</v>
      </c>
      <c r="F61" s="618" t="s">
        <v>2987</v>
      </c>
      <c r="G61" s="617" t="s">
        <v>2506</v>
      </c>
      <c r="H61" s="617" t="s">
        <v>2507</v>
      </c>
      <c r="I61" s="619">
        <v>5.2739999999999991</v>
      </c>
      <c r="J61" s="619">
        <v>450</v>
      </c>
      <c r="K61" s="620">
        <v>2373.5</v>
      </c>
    </row>
    <row r="62" spans="1:11" ht="14.4" customHeight="1" x14ac:dyDescent="0.3">
      <c r="A62" s="615" t="s">
        <v>471</v>
      </c>
      <c r="B62" s="616" t="s">
        <v>2151</v>
      </c>
      <c r="C62" s="617" t="s">
        <v>476</v>
      </c>
      <c r="D62" s="618" t="s">
        <v>2152</v>
      </c>
      <c r="E62" s="617" t="s">
        <v>2986</v>
      </c>
      <c r="F62" s="618" t="s">
        <v>2987</v>
      </c>
      <c r="G62" s="617" t="s">
        <v>2508</v>
      </c>
      <c r="H62" s="617" t="s">
        <v>2509</v>
      </c>
      <c r="I62" s="619">
        <v>314.80500000000001</v>
      </c>
      <c r="J62" s="619">
        <v>4</v>
      </c>
      <c r="K62" s="620">
        <v>1259.23</v>
      </c>
    </row>
    <row r="63" spans="1:11" ht="14.4" customHeight="1" x14ac:dyDescent="0.3">
      <c r="A63" s="615" t="s">
        <v>471</v>
      </c>
      <c r="B63" s="616" t="s">
        <v>2151</v>
      </c>
      <c r="C63" s="617" t="s">
        <v>476</v>
      </c>
      <c r="D63" s="618" t="s">
        <v>2152</v>
      </c>
      <c r="E63" s="617" t="s">
        <v>2986</v>
      </c>
      <c r="F63" s="618" t="s">
        <v>2987</v>
      </c>
      <c r="G63" s="617" t="s">
        <v>2510</v>
      </c>
      <c r="H63" s="617" t="s">
        <v>2511</v>
      </c>
      <c r="I63" s="619">
        <v>118.91000000000001</v>
      </c>
      <c r="J63" s="619">
        <v>70</v>
      </c>
      <c r="K63" s="620">
        <v>8304.380000000001</v>
      </c>
    </row>
    <row r="64" spans="1:11" ht="14.4" customHeight="1" x14ac:dyDescent="0.3">
      <c r="A64" s="615" t="s">
        <v>471</v>
      </c>
      <c r="B64" s="616" t="s">
        <v>2151</v>
      </c>
      <c r="C64" s="617" t="s">
        <v>476</v>
      </c>
      <c r="D64" s="618" t="s">
        <v>2152</v>
      </c>
      <c r="E64" s="617" t="s">
        <v>2986</v>
      </c>
      <c r="F64" s="618" t="s">
        <v>2987</v>
      </c>
      <c r="G64" s="617" t="s">
        <v>2512</v>
      </c>
      <c r="H64" s="617" t="s">
        <v>2513</v>
      </c>
      <c r="I64" s="619">
        <v>5.8639999999999999</v>
      </c>
      <c r="J64" s="619">
        <v>500</v>
      </c>
      <c r="K64" s="620">
        <v>2933</v>
      </c>
    </row>
    <row r="65" spans="1:11" ht="14.4" customHeight="1" x14ac:dyDescent="0.3">
      <c r="A65" s="615" t="s">
        <v>471</v>
      </c>
      <c r="B65" s="616" t="s">
        <v>2151</v>
      </c>
      <c r="C65" s="617" t="s">
        <v>476</v>
      </c>
      <c r="D65" s="618" t="s">
        <v>2152</v>
      </c>
      <c r="E65" s="617" t="s">
        <v>2986</v>
      </c>
      <c r="F65" s="618" t="s">
        <v>2987</v>
      </c>
      <c r="G65" s="617" t="s">
        <v>2514</v>
      </c>
      <c r="H65" s="617" t="s">
        <v>2515</v>
      </c>
      <c r="I65" s="619">
        <v>153</v>
      </c>
      <c r="J65" s="619">
        <v>20</v>
      </c>
      <c r="K65" s="620">
        <v>3059.96</v>
      </c>
    </row>
    <row r="66" spans="1:11" ht="14.4" customHeight="1" x14ac:dyDescent="0.3">
      <c r="A66" s="615" t="s">
        <v>471</v>
      </c>
      <c r="B66" s="616" t="s">
        <v>2151</v>
      </c>
      <c r="C66" s="617" t="s">
        <v>476</v>
      </c>
      <c r="D66" s="618" t="s">
        <v>2152</v>
      </c>
      <c r="E66" s="617" t="s">
        <v>2986</v>
      </c>
      <c r="F66" s="618" t="s">
        <v>2987</v>
      </c>
      <c r="G66" s="617" t="s">
        <v>2516</v>
      </c>
      <c r="H66" s="617" t="s">
        <v>2517</v>
      </c>
      <c r="I66" s="619">
        <v>314.8</v>
      </c>
      <c r="J66" s="619">
        <v>5</v>
      </c>
      <c r="K66" s="620">
        <v>1574</v>
      </c>
    </row>
    <row r="67" spans="1:11" ht="14.4" customHeight="1" x14ac:dyDescent="0.3">
      <c r="A67" s="615" t="s">
        <v>471</v>
      </c>
      <c r="B67" s="616" t="s">
        <v>2151</v>
      </c>
      <c r="C67" s="617" t="s">
        <v>476</v>
      </c>
      <c r="D67" s="618" t="s">
        <v>2152</v>
      </c>
      <c r="E67" s="617" t="s">
        <v>2986</v>
      </c>
      <c r="F67" s="618" t="s">
        <v>2987</v>
      </c>
      <c r="G67" s="617" t="s">
        <v>2518</v>
      </c>
      <c r="H67" s="617" t="s">
        <v>2519</v>
      </c>
      <c r="I67" s="619">
        <v>8.7716666666666665</v>
      </c>
      <c r="J67" s="619">
        <v>1440</v>
      </c>
      <c r="K67" s="620">
        <v>12635.270000000002</v>
      </c>
    </row>
    <row r="68" spans="1:11" ht="14.4" customHeight="1" x14ac:dyDescent="0.3">
      <c r="A68" s="615" t="s">
        <v>471</v>
      </c>
      <c r="B68" s="616" t="s">
        <v>2151</v>
      </c>
      <c r="C68" s="617" t="s">
        <v>476</v>
      </c>
      <c r="D68" s="618" t="s">
        <v>2152</v>
      </c>
      <c r="E68" s="617" t="s">
        <v>2986</v>
      </c>
      <c r="F68" s="618" t="s">
        <v>2987</v>
      </c>
      <c r="G68" s="617" t="s">
        <v>2520</v>
      </c>
      <c r="H68" s="617" t="s">
        <v>2521</v>
      </c>
      <c r="I68" s="619">
        <v>314.8</v>
      </c>
      <c r="J68" s="619">
        <v>5</v>
      </c>
      <c r="K68" s="620">
        <v>1574</v>
      </c>
    </row>
    <row r="69" spans="1:11" ht="14.4" customHeight="1" x14ac:dyDescent="0.3">
      <c r="A69" s="615" t="s">
        <v>471</v>
      </c>
      <c r="B69" s="616" t="s">
        <v>2151</v>
      </c>
      <c r="C69" s="617" t="s">
        <v>476</v>
      </c>
      <c r="D69" s="618" t="s">
        <v>2152</v>
      </c>
      <c r="E69" s="617" t="s">
        <v>2986</v>
      </c>
      <c r="F69" s="618" t="s">
        <v>2987</v>
      </c>
      <c r="G69" s="617" t="s">
        <v>2522</v>
      </c>
      <c r="H69" s="617" t="s">
        <v>2523</v>
      </c>
      <c r="I69" s="619">
        <v>2.9</v>
      </c>
      <c r="J69" s="619">
        <v>300</v>
      </c>
      <c r="K69" s="620">
        <v>869.40000000000009</v>
      </c>
    </row>
    <row r="70" spans="1:11" ht="14.4" customHeight="1" x14ac:dyDescent="0.3">
      <c r="A70" s="615" t="s">
        <v>471</v>
      </c>
      <c r="B70" s="616" t="s">
        <v>2151</v>
      </c>
      <c r="C70" s="617" t="s">
        <v>476</v>
      </c>
      <c r="D70" s="618" t="s">
        <v>2152</v>
      </c>
      <c r="E70" s="617" t="s">
        <v>2986</v>
      </c>
      <c r="F70" s="618" t="s">
        <v>2987</v>
      </c>
      <c r="G70" s="617" t="s">
        <v>2524</v>
      </c>
      <c r="H70" s="617" t="s">
        <v>2525</v>
      </c>
      <c r="I70" s="619">
        <v>1.18</v>
      </c>
      <c r="J70" s="619">
        <v>100</v>
      </c>
      <c r="K70" s="620">
        <v>118</v>
      </c>
    </row>
    <row r="71" spans="1:11" ht="14.4" customHeight="1" x14ac:dyDescent="0.3">
      <c r="A71" s="615" t="s">
        <v>471</v>
      </c>
      <c r="B71" s="616" t="s">
        <v>2151</v>
      </c>
      <c r="C71" s="617" t="s">
        <v>476</v>
      </c>
      <c r="D71" s="618" t="s">
        <v>2152</v>
      </c>
      <c r="E71" s="617" t="s">
        <v>2986</v>
      </c>
      <c r="F71" s="618" t="s">
        <v>2987</v>
      </c>
      <c r="G71" s="617" t="s">
        <v>2526</v>
      </c>
      <c r="H71" s="617" t="s">
        <v>2527</v>
      </c>
      <c r="I71" s="619">
        <v>10.523333333333332</v>
      </c>
      <c r="J71" s="619">
        <v>90</v>
      </c>
      <c r="K71" s="620">
        <v>947.1</v>
      </c>
    </row>
    <row r="72" spans="1:11" ht="14.4" customHeight="1" x14ac:dyDescent="0.3">
      <c r="A72" s="615" t="s">
        <v>471</v>
      </c>
      <c r="B72" s="616" t="s">
        <v>2151</v>
      </c>
      <c r="C72" s="617" t="s">
        <v>476</v>
      </c>
      <c r="D72" s="618" t="s">
        <v>2152</v>
      </c>
      <c r="E72" s="617" t="s">
        <v>2986</v>
      </c>
      <c r="F72" s="618" t="s">
        <v>2987</v>
      </c>
      <c r="G72" s="617" t="s">
        <v>2528</v>
      </c>
      <c r="H72" s="617" t="s">
        <v>2529</v>
      </c>
      <c r="I72" s="619">
        <v>8.625</v>
      </c>
      <c r="J72" s="619">
        <v>60</v>
      </c>
      <c r="K72" s="620">
        <v>517.5</v>
      </c>
    </row>
    <row r="73" spans="1:11" ht="14.4" customHeight="1" x14ac:dyDescent="0.3">
      <c r="A73" s="615" t="s">
        <v>471</v>
      </c>
      <c r="B73" s="616" t="s">
        <v>2151</v>
      </c>
      <c r="C73" s="617" t="s">
        <v>476</v>
      </c>
      <c r="D73" s="618" t="s">
        <v>2152</v>
      </c>
      <c r="E73" s="617" t="s">
        <v>2986</v>
      </c>
      <c r="F73" s="618" t="s">
        <v>2987</v>
      </c>
      <c r="G73" s="617" t="s">
        <v>2530</v>
      </c>
      <c r="H73" s="617" t="s">
        <v>2531</v>
      </c>
      <c r="I73" s="619">
        <v>7.59</v>
      </c>
      <c r="J73" s="619">
        <v>21</v>
      </c>
      <c r="K73" s="620">
        <v>159.38999999999999</v>
      </c>
    </row>
    <row r="74" spans="1:11" ht="14.4" customHeight="1" x14ac:dyDescent="0.3">
      <c r="A74" s="615" t="s">
        <v>471</v>
      </c>
      <c r="B74" s="616" t="s">
        <v>2151</v>
      </c>
      <c r="C74" s="617" t="s">
        <v>476</v>
      </c>
      <c r="D74" s="618" t="s">
        <v>2152</v>
      </c>
      <c r="E74" s="617" t="s">
        <v>2986</v>
      </c>
      <c r="F74" s="618" t="s">
        <v>2987</v>
      </c>
      <c r="G74" s="617" t="s">
        <v>2532</v>
      </c>
      <c r="H74" s="617" t="s">
        <v>2533</v>
      </c>
      <c r="I74" s="619">
        <v>11.83</v>
      </c>
      <c r="J74" s="619">
        <v>300</v>
      </c>
      <c r="K74" s="620">
        <v>3549.95</v>
      </c>
    </row>
    <row r="75" spans="1:11" ht="14.4" customHeight="1" x14ac:dyDescent="0.3">
      <c r="A75" s="615" t="s">
        <v>471</v>
      </c>
      <c r="B75" s="616" t="s">
        <v>2151</v>
      </c>
      <c r="C75" s="617" t="s">
        <v>476</v>
      </c>
      <c r="D75" s="618" t="s">
        <v>2152</v>
      </c>
      <c r="E75" s="617" t="s">
        <v>2986</v>
      </c>
      <c r="F75" s="618" t="s">
        <v>2987</v>
      </c>
      <c r="G75" s="617" t="s">
        <v>2534</v>
      </c>
      <c r="H75" s="617" t="s">
        <v>2535</v>
      </c>
      <c r="I75" s="619">
        <v>99.71</v>
      </c>
      <c r="J75" s="619">
        <v>30</v>
      </c>
      <c r="K75" s="620">
        <v>2991.16</v>
      </c>
    </row>
    <row r="76" spans="1:11" ht="14.4" customHeight="1" x14ac:dyDescent="0.3">
      <c r="A76" s="615" t="s">
        <v>471</v>
      </c>
      <c r="B76" s="616" t="s">
        <v>2151</v>
      </c>
      <c r="C76" s="617" t="s">
        <v>476</v>
      </c>
      <c r="D76" s="618" t="s">
        <v>2152</v>
      </c>
      <c r="E76" s="617" t="s">
        <v>2986</v>
      </c>
      <c r="F76" s="618" t="s">
        <v>2987</v>
      </c>
      <c r="G76" s="617" t="s">
        <v>2536</v>
      </c>
      <c r="H76" s="617" t="s">
        <v>2537</v>
      </c>
      <c r="I76" s="619">
        <v>124.55</v>
      </c>
      <c r="J76" s="619">
        <v>30</v>
      </c>
      <c r="K76" s="620">
        <v>3736.37</v>
      </c>
    </row>
    <row r="77" spans="1:11" ht="14.4" customHeight="1" x14ac:dyDescent="0.3">
      <c r="A77" s="615" t="s">
        <v>471</v>
      </c>
      <c r="B77" s="616" t="s">
        <v>2151</v>
      </c>
      <c r="C77" s="617" t="s">
        <v>476</v>
      </c>
      <c r="D77" s="618" t="s">
        <v>2152</v>
      </c>
      <c r="E77" s="617" t="s">
        <v>2988</v>
      </c>
      <c r="F77" s="618" t="s">
        <v>2989</v>
      </c>
      <c r="G77" s="617" t="s">
        <v>2538</v>
      </c>
      <c r="H77" s="617" t="s">
        <v>2539</v>
      </c>
      <c r="I77" s="619">
        <v>471.9</v>
      </c>
      <c r="J77" s="619">
        <v>10</v>
      </c>
      <c r="K77" s="620">
        <v>4719</v>
      </c>
    </row>
    <row r="78" spans="1:11" ht="14.4" customHeight="1" x14ac:dyDescent="0.3">
      <c r="A78" s="615" t="s">
        <v>471</v>
      </c>
      <c r="B78" s="616" t="s">
        <v>2151</v>
      </c>
      <c r="C78" s="617" t="s">
        <v>476</v>
      </c>
      <c r="D78" s="618" t="s">
        <v>2152</v>
      </c>
      <c r="E78" s="617" t="s">
        <v>2988</v>
      </c>
      <c r="F78" s="618" t="s">
        <v>2989</v>
      </c>
      <c r="G78" s="617" t="s">
        <v>2540</v>
      </c>
      <c r="H78" s="617" t="s">
        <v>2541</v>
      </c>
      <c r="I78" s="619">
        <v>2299</v>
      </c>
      <c r="J78" s="619">
        <v>9</v>
      </c>
      <c r="K78" s="620">
        <v>20691</v>
      </c>
    </row>
    <row r="79" spans="1:11" ht="14.4" customHeight="1" x14ac:dyDescent="0.3">
      <c r="A79" s="615" t="s">
        <v>471</v>
      </c>
      <c r="B79" s="616" t="s">
        <v>2151</v>
      </c>
      <c r="C79" s="617" t="s">
        <v>476</v>
      </c>
      <c r="D79" s="618" t="s">
        <v>2152</v>
      </c>
      <c r="E79" s="617" t="s">
        <v>2988</v>
      </c>
      <c r="F79" s="618" t="s">
        <v>2989</v>
      </c>
      <c r="G79" s="617" t="s">
        <v>2542</v>
      </c>
      <c r="H79" s="617" t="s">
        <v>2543</v>
      </c>
      <c r="I79" s="619">
        <v>268.61999999999995</v>
      </c>
      <c r="J79" s="619">
        <v>520</v>
      </c>
      <c r="K79" s="620">
        <v>139682.4</v>
      </c>
    </row>
    <row r="80" spans="1:11" ht="14.4" customHeight="1" x14ac:dyDescent="0.3">
      <c r="A80" s="615" t="s">
        <v>471</v>
      </c>
      <c r="B80" s="616" t="s">
        <v>2151</v>
      </c>
      <c r="C80" s="617" t="s">
        <v>476</v>
      </c>
      <c r="D80" s="618" t="s">
        <v>2152</v>
      </c>
      <c r="E80" s="617" t="s">
        <v>2988</v>
      </c>
      <c r="F80" s="618" t="s">
        <v>2989</v>
      </c>
      <c r="G80" s="617" t="s">
        <v>2544</v>
      </c>
      <c r="H80" s="617" t="s">
        <v>2545</v>
      </c>
      <c r="I80" s="619">
        <v>58.37</v>
      </c>
      <c r="J80" s="619">
        <v>230</v>
      </c>
      <c r="K80" s="620">
        <v>13425.16</v>
      </c>
    </row>
    <row r="81" spans="1:11" ht="14.4" customHeight="1" x14ac:dyDescent="0.3">
      <c r="A81" s="615" t="s">
        <v>471</v>
      </c>
      <c r="B81" s="616" t="s">
        <v>2151</v>
      </c>
      <c r="C81" s="617" t="s">
        <v>476</v>
      </c>
      <c r="D81" s="618" t="s">
        <v>2152</v>
      </c>
      <c r="E81" s="617" t="s">
        <v>2988</v>
      </c>
      <c r="F81" s="618" t="s">
        <v>2989</v>
      </c>
      <c r="G81" s="617" t="s">
        <v>2546</v>
      </c>
      <c r="H81" s="617" t="s">
        <v>2547</v>
      </c>
      <c r="I81" s="619">
        <v>37.51</v>
      </c>
      <c r="J81" s="619">
        <v>1372</v>
      </c>
      <c r="K81" s="620">
        <v>51463.719999999994</v>
      </c>
    </row>
    <row r="82" spans="1:11" ht="14.4" customHeight="1" x14ac:dyDescent="0.3">
      <c r="A82" s="615" t="s">
        <v>471</v>
      </c>
      <c r="B82" s="616" t="s">
        <v>2151</v>
      </c>
      <c r="C82" s="617" t="s">
        <v>476</v>
      </c>
      <c r="D82" s="618" t="s">
        <v>2152</v>
      </c>
      <c r="E82" s="617" t="s">
        <v>2988</v>
      </c>
      <c r="F82" s="618" t="s">
        <v>2989</v>
      </c>
      <c r="G82" s="617" t="s">
        <v>2548</v>
      </c>
      <c r="H82" s="617" t="s">
        <v>2549</v>
      </c>
      <c r="I82" s="619">
        <v>0.25800000000000001</v>
      </c>
      <c r="J82" s="619">
        <v>500</v>
      </c>
      <c r="K82" s="620">
        <v>129</v>
      </c>
    </row>
    <row r="83" spans="1:11" ht="14.4" customHeight="1" x14ac:dyDescent="0.3">
      <c r="A83" s="615" t="s">
        <v>471</v>
      </c>
      <c r="B83" s="616" t="s">
        <v>2151</v>
      </c>
      <c r="C83" s="617" t="s">
        <v>476</v>
      </c>
      <c r="D83" s="618" t="s">
        <v>2152</v>
      </c>
      <c r="E83" s="617" t="s">
        <v>2988</v>
      </c>
      <c r="F83" s="618" t="s">
        <v>2989</v>
      </c>
      <c r="G83" s="617" t="s">
        <v>2550</v>
      </c>
      <c r="H83" s="617" t="s">
        <v>2551</v>
      </c>
      <c r="I83" s="619">
        <v>11.144285714285715</v>
      </c>
      <c r="J83" s="619">
        <v>3000</v>
      </c>
      <c r="K83" s="620">
        <v>33434.800000000003</v>
      </c>
    </row>
    <row r="84" spans="1:11" ht="14.4" customHeight="1" x14ac:dyDescent="0.3">
      <c r="A84" s="615" t="s">
        <v>471</v>
      </c>
      <c r="B84" s="616" t="s">
        <v>2151</v>
      </c>
      <c r="C84" s="617" t="s">
        <v>476</v>
      </c>
      <c r="D84" s="618" t="s">
        <v>2152</v>
      </c>
      <c r="E84" s="617" t="s">
        <v>2988</v>
      </c>
      <c r="F84" s="618" t="s">
        <v>2989</v>
      </c>
      <c r="G84" s="617" t="s">
        <v>2552</v>
      </c>
      <c r="H84" s="617" t="s">
        <v>2553</v>
      </c>
      <c r="I84" s="619">
        <v>1.0923076923076922</v>
      </c>
      <c r="J84" s="619">
        <v>17600</v>
      </c>
      <c r="K84" s="620">
        <v>19221</v>
      </c>
    </row>
    <row r="85" spans="1:11" ht="14.4" customHeight="1" x14ac:dyDescent="0.3">
      <c r="A85" s="615" t="s">
        <v>471</v>
      </c>
      <c r="B85" s="616" t="s">
        <v>2151</v>
      </c>
      <c r="C85" s="617" t="s">
        <v>476</v>
      </c>
      <c r="D85" s="618" t="s">
        <v>2152</v>
      </c>
      <c r="E85" s="617" t="s">
        <v>2988</v>
      </c>
      <c r="F85" s="618" t="s">
        <v>2989</v>
      </c>
      <c r="G85" s="617" t="s">
        <v>2554</v>
      </c>
      <c r="H85" s="617" t="s">
        <v>2555</v>
      </c>
      <c r="I85" s="619">
        <v>1.6733333333333331</v>
      </c>
      <c r="J85" s="619">
        <v>14940</v>
      </c>
      <c r="K85" s="620">
        <v>25008.48</v>
      </c>
    </row>
    <row r="86" spans="1:11" ht="14.4" customHeight="1" x14ac:dyDescent="0.3">
      <c r="A86" s="615" t="s">
        <v>471</v>
      </c>
      <c r="B86" s="616" t="s">
        <v>2151</v>
      </c>
      <c r="C86" s="617" t="s">
        <v>476</v>
      </c>
      <c r="D86" s="618" t="s">
        <v>2152</v>
      </c>
      <c r="E86" s="617" t="s">
        <v>2988</v>
      </c>
      <c r="F86" s="618" t="s">
        <v>2989</v>
      </c>
      <c r="G86" s="617" t="s">
        <v>2556</v>
      </c>
      <c r="H86" s="617" t="s">
        <v>2557</v>
      </c>
      <c r="I86" s="619">
        <v>0.47699999999999998</v>
      </c>
      <c r="J86" s="619">
        <v>14000</v>
      </c>
      <c r="K86" s="620">
        <v>6680</v>
      </c>
    </row>
    <row r="87" spans="1:11" ht="14.4" customHeight="1" x14ac:dyDescent="0.3">
      <c r="A87" s="615" t="s">
        <v>471</v>
      </c>
      <c r="B87" s="616" t="s">
        <v>2151</v>
      </c>
      <c r="C87" s="617" t="s">
        <v>476</v>
      </c>
      <c r="D87" s="618" t="s">
        <v>2152</v>
      </c>
      <c r="E87" s="617" t="s">
        <v>2988</v>
      </c>
      <c r="F87" s="618" t="s">
        <v>2989</v>
      </c>
      <c r="G87" s="617" t="s">
        <v>2558</v>
      </c>
      <c r="H87" s="617" t="s">
        <v>2559</v>
      </c>
      <c r="I87" s="619">
        <v>0.67</v>
      </c>
      <c r="J87" s="619">
        <v>8500</v>
      </c>
      <c r="K87" s="620">
        <v>5695</v>
      </c>
    </row>
    <row r="88" spans="1:11" ht="14.4" customHeight="1" x14ac:dyDescent="0.3">
      <c r="A88" s="615" t="s">
        <v>471</v>
      </c>
      <c r="B88" s="616" t="s">
        <v>2151</v>
      </c>
      <c r="C88" s="617" t="s">
        <v>476</v>
      </c>
      <c r="D88" s="618" t="s">
        <v>2152</v>
      </c>
      <c r="E88" s="617" t="s">
        <v>2988</v>
      </c>
      <c r="F88" s="618" t="s">
        <v>2989</v>
      </c>
      <c r="G88" s="617" t="s">
        <v>2560</v>
      </c>
      <c r="H88" s="617" t="s">
        <v>2561</v>
      </c>
      <c r="I88" s="619">
        <v>3.1375000000000002</v>
      </c>
      <c r="J88" s="619">
        <v>850</v>
      </c>
      <c r="K88" s="620">
        <v>2666</v>
      </c>
    </row>
    <row r="89" spans="1:11" ht="14.4" customHeight="1" x14ac:dyDescent="0.3">
      <c r="A89" s="615" t="s">
        <v>471</v>
      </c>
      <c r="B89" s="616" t="s">
        <v>2151</v>
      </c>
      <c r="C89" s="617" t="s">
        <v>476</v>
      </c>
      <c r="D89" s="618" t="s">
        <v>2152</v>
      </c>
      <c r="E89" s="617" t="s">
        <v>2988</v>
      </c>
      <c r="F89" s="618" t="s">
        <v>2989</v>
      </c>
      <c r="G89" s="617" t="s">
        <v>2562</v>
      </c>
      <c r="H89" s="617" t="s">
        <v>2563</v>
      </c>
      <c r="I89" s="619">
        <v>6.29</v>
      </c>
      <c r="J89" s="619">
        <v>5</v>
      </c>
      <c r="K89" s="620">
        <v>31.45</v>
      </c>
    </row>
    <row r="90" spans="1:11" ht="14.4" customHeight="1" x14ac:dyDescent="0.3">
      <c r="A90" s="615" t="s">
        <v>471</v>
      </c>
      <c r="B90" s="616" t="s">
        <v>2151</v>
      </c>
      <c r="C90" s="617" t="s">
        <v>476</v>
      </c>
      <c r="D90" s="618" t="s">
        <v>2152</v>
      </c>
      <c r="E90" s="617" t="s">
        <v>2988</v>
      </c>
      <c r="F90" s="618" t="s">
        <v>2989</v>
      </c>
      <c r="G90" s="617" t="s">
        <v>2564</v>
      </c>
      <c r="H90" s="617" t="s">
        <v>2565</v>
      </c>
      <c r="I90" s="619">
        <v>23.35</v>
      </c>
      <c r="J90" s="619">
        <v>40</v>
      </c>
      <c r="K90" s="620">
        <v>934.12</v>
      </c>
    </row>
    <row r="91" spans="1:11" ht="14.4" customHeight="1" x14ac:dyDescent="0.3">
      <c r="A91" s="615" t="s">
        <v>471</v>
      </c>
      <c r="B91" s="616" t="s">
        <v>2151</v>
      </c>
      <c r="C91" s="617" t="s">
        <v>476</v>
      </c>
      <c r="D91" s="618" t="s">
        <v>2152</v>
      </c>
      <c r="E91" s="617" t="s">
        <v>2988</v>
      </c>
      <c r="F91" s="618" t="s">
        <v>2989</v>
      </c>
      <c r="G91" s="617" t="s">
        <v>2566</v>
      </c>
      <c r="H91" s="617" t="s">
        <v>2567</v>
      </c>
      <c r="I91" s="619">
        <v>6.293333333333333</v>
      </c>
      <c r="J91" s="619">
        <v>15</v>
      </c>
      <c r="K91" s="620">
        <v>94.4</v>
      </c>
    </row>
    <row r="92" spans="1:11" ht="14.4" customHeight="1" x14ac:dyDescent="0.3">
      <c r="A92" s="615" t="s">
        <v>471</v>
      </c>
      <c r="B92" s="616" t="s">
        <v>2151</v>
      </c>
      <c r="C92" s="617" t="s">
        <v>476</v>
      </c>
      <c r="D92" s="618" t="s">
        <v>2152</v>
      </c>
      <c r="E92" s="617" t="s">
        <v>2988</v>
      </c>
      <c r="F92" s="618" t="s">
        <v>2989</v>
      </c>
      <c r="G92" s="617" t="s">
        <v>2568</v>
      </c>
      <c r="H92" s="617" t="s">
        <v>2569</v>
      </c>
      <c r="I92" s="619">
        <v>6.2949999999999999</v>
      </c>
      <c r="J92" s="619">
        <v>10</v>
      </c>
      <c r="K92" s="620">
        <v>62.95</v>
      </c>
    </row>
    <row r="93" spans="1:11" ht="14.4" customHeight="1" x14ac:dyDescent="0.3">
      <c r="A93" s="615" t="s">
        <v>471</v>
      </c>
      <c r="B93" s="616" t="s">
        <v>2151</v>
      </c>
      <c r="C93" s="617" t="s">
        <v>476</v>
      </c>
      <c r="D93" s="618" t="s">
        <v>2152</v>
      </c>
      <c r="E93" s="617" t="s">
        <v>2988</v>
      </c>
      <c r="F93" s="618" t="s">
        <v>2989</v>
      </c>
      <c r="G93" s="617" t="s">
        <v>2570</v>
      </c>
      <c r="H93" s="617" t="s">
        <v>2571</v>
      </c>
      <c r="I93" s="619">
        <v>6.2333333333333343</v>
      </c>
      <c r="J93" s="619">
        <v>1330</v>
      </c>
      <c r="K93" s="620">
        <v>8291.4</v>
      </c>
    </row>
    <row r="94" spans="1:11" ht="14.4" customHeight="1" x14ac:dyDescent="0.3">
      <c r="A94" s="615" t="s">
        <v>471</v>
      </c>
      <c r="B94" s="616" t="s">
        <v>2151</v>
      </c>
      <c r="C94" s="617" t="s">
        <v>476</v>
      </c>
      <c r="D94" s="618" t="s">
        <v>2152</v>
      </c>
      <c r="E94" s="617" t="s">
        <v>2988</v>
      </c>
      <c r="F94" s="618" t="s">
        <v>2989</v>
      </c>
      <c r="G94" s="617" t="s">
        <v>2572</v>
      </c>
      <c r="H94" s="617" t="s">
        <v>2573</v>
      </c>
      <c r="I94" s="619">
        <v>204.40799999999999</v>
      </c>
      <c r="J94" s="619">
        <v>270</v>
      </c>
      <c r="K94" s="620">
        <v>55190.2</v>
      </c>
    </row>
    <row r="95" spans="1:11" ht="14.4" customHeight="1" x14ac:dyDescent="0.3">
      <c r="A95" s="615" t="s">
        <v>471</v>
      </c>
      <c r="B95" s="616" t="s">
        <v>2151</v>
      </c>
      <c r="C95" s="617" t="s">
        <v>476</v>
      </c>
      <c r="D95" s="618" t="s">
        <v>2152</v>
      </c>
      <c r="E95" s="617" t="s">
        <v>2988</v>
      </c>
      <c r="F95" s="618" t="s">
        <v>2989</v>
      </c>
      <c r="G95" s="617" t="s">
        <v>2574</v>
      </c>
      <c r="H95" s="617" t="s">
        <v>2575</v>
      </c>
      <c r="I95" s="619">
        <v>6.1714285714285717</v>
      </c>
      <c r="J95" s="619">
        <v>1800</v>
      </c>
      <c r="K95" s="620">
        <v>11108.5</v>
      </c>
    </row>
    <row r="96" spans="1:11" ht="14.4" customHeight="1" x14ac:dyDescent="0.3">
      <c r="A96" s="615" t="s">
        <v>471</v>
      </c>
      <c r="B96" s="616" t="s">
        <v>2151</v>
      </c>
      <c r="C96" s="617" t="s">
        <v>476</v>
      </c>
      <c r="D96" s="618" t="s">
        <v>2152</v>
      </c>
      <c r="E96" s="617" t="s">
        <v>2988</v>
      </c>
      <c r="F96" s="618" t="s">
        <v>2989</v>
      </c>
      <c r="G96" s="617" t="s">
        <v>2576</v>
      </c>
      <c r="H96" s="617" t="s">
        <v>2577</v>
      </c>
      <c r="I96" s="619">
        <v>45.5</v>
      </c>
      <c r="J96" s="619">
        <v>140</v>
      </c>
      <c r="K96" s="620">
        <v>6369.43</v>
      </c>
    </row>
    <row r="97" spans="1:11" ht="14.4" customHeight="1" x14ac:dyDescent="0.3">
      <c r="A97" s="615" t="s">
        <v>471</v>
      </c>
      <c r="B97" s="616" t="s">
        <v>2151</v>
      </c>
      <c r="C97" s="617" t="s">
        <v>476</v>
      </c>
      <c r="D97" s="618" t="s">
        <v>2152</v>
      </c>
      <c r="E97" s="617" t="s">
        <v>2988</v>
      </c>
      <c r="F97" s="618" t="s">
        <v>2989</v>
      </c>
      <c r="G97" s="617" t="s">
        <v>2578</v>
      </c>
      <c r="H97" s="617" t="s">
        <v>2579</v>
      </c>
      <c r="I97" s="619">
        <v>646.76</v>
      </c>
      <c r="J97" s="619">
        <v>10</v>
      </c>
      <c r="K97" s="620">
        <v>6467.61</v>
      </c>
    </row>
    <row r="98" spans="1:11" ht="14.4" customHeight="1" x14ac:dyDescent="0.3">
      <c r="A98" s="615" t="s">
        <v>471</v>
      </c>
      <c r="B98" s="616" t="s">
        <v>2151</v>
      </c>
      <c r="C98" s="617" t="s">
        <v>476</v>
      </c>
      <c r="D98" s="618" t="s">
        <v>2152</v>
      </c>
      <c r="E98" s="617" t="s">
        <v>2988</v>
      </c>
      <c r="F98" s="618" t="s">
        <v>2989</v>
      </c>
      <c r="G98" s="617" t="s">
        <v>2580</v>
      </c>
      <c r="H98" s="617" t="s">
        <v>2581</v>
      </c>
      <c r="I98" s="619">
        <v>102.85000000000001</v>
      </c>
      <c r="J98" s="619">
        <v>116</v>
      </c>
      <c r="K98" s="620">
        <v>11930.6</v>
      </c>
    </row>
    <row r="99" spans="1:11" ht="14.4" customHeight="1" x14ac:dyDescent="0.3">
      <c r="A99" s="615" t="s">
        <v>471</v>
      </c>
      <c r="B99" s="616" t="s">
        <v>2151</v>
      </c>
      <c r="C99" s="617" t="s">
        <v>476</v>
      </c>
      <c r="D99" s="618" t="s">
        <v>2152</v>
      </c>
      <c r="E99" s="617" t="s">
        <v>2988</v>
      </c>
      <c r="F99" s="618" t="s">
        <v>2989</v>
      </c>
      <c r="G99" s="617" t="s">
        <v>2582</v>
      </c>
      <c r="H99" s="617" t="s">
        <v>2583</v>
      </c>
      <c r="I99" s="619">
        <v>17.899999999999999</v>
      </c>
      <c r="J99" s="619">
        <v>20</v>
      </c>
      <c r="K99" s="620">
        <v>358</v>
      </c>
    </row>
    <row r="100" spans="1:11" ht="14.4" customHeight="1" x14ac:dyDescent="0.3">
      <c r="A100" s="615" t="s">
        <v>471</v>
      </c>
      <c r="B100" s="616" t="s">
        <v>2151</v>
      </c>
      <c r="C100" s="617" t="s">
        <v>476</v>
      </c>
      <c r="D100" s="618" t="s">
        <v>2152</v>
      </c>
      <c r="E100" s="617" t="s">
        <v>2988</v>
      </c>
      <c r="F100" s="618" t="s">
        <v>2989</v>
      </c>
      <c r="G100" s="617" t="s">
        <v>2584</v>
      </c>
      <c r="H100" s="617" t="s">
        <v>2585</v>
      </c>
      <c r="I100" s="619">
        <v>17.899999999999999</v>
      </c>
      <c r="J100" s="619">
        <v>10</v>
      </c>
      <c r="K100" s="620">
        <v>179</v>
      </c>
    </row>
    <row r="101" spans="1:11" ht="14.4" customHeight="1" x14ac:dyDescent="0.3">
      <c r="A101" s="615" t="s">
        <v>471</v>
      </c>
      <c r="B101" s="616" t="s">
        <v>2151</v>
      </c>
      <c r="C101" s="617" t="s">
        <v>476</v>
      </c>
      <c r="D101" s="618" t="s">
        <v>2152</v>
      </c>
      <c r="E101" s="617" t="s">
        <v>2988</v>
      </c>
      <c r="F101" s="618" t="s">
        <v>2989</v>
      </c>
      <c r="G101" s="617" t="s">
        <v>2586</v>
      </c>
      <c r="H101" s="617" t="s">
        <v>2587</v>
      </c>
      <c r="I101" s="619">
        <v>108.87666666666667</v>
      </c>
      <c r="J101" s="619">
        <v>80</v>
      </c>
      <c r="K101" s="620">
        <v>8710.06</v>
      </c>
    </row>
    <row r="102" spans="1:11" ht="14.4" customHeight="1" x14ac:dyDescent="0.3">
      <c r="A102" s="615" t="s">
        <v>471</v>
      </c>
      <c r="B102" s="616" t="s">
        <v>2151</v>
      </c>
      <c r="C102" s="617" t="s">
        <v>476</v>
      </c>
      <c r="D102" s="618" t="s">
        <v>2152</v>
      </c>
      <c r="E102" s="617" t="s">
        <v>2988</v>
      </c>
      <c r="F102" s="618" t="s">
        <v>2989</v>
      </c>
      <c r="G102" s="617" t="s">
        <v>2588</v>
      </c>
      <c r="H102" s="617" t="s">
        <v>2589</v>
      </c>
      <c r="I102" s="619">
        <v>206.042</v>
      </c>
      <c r="J102" s="619">
        <v>60</v>
      </c>
      <c r="K102" s="620">
        <v>12362.52</v>
      </c>
    </row>
    <row r="103" spans="1:11" ht="14.4" customHeight="1" x14ac:dyDescent="0.3">
      <c r="A103" s="615" t="s">
        <v>471</v>
      </c>
      <c r="B103" s="616" t="s">
        <v>2151</v>
      </c>
      <c r="C103" s="617" t="s">
        <v>476</v>
      </c>
      <c r="D103" s="618" t="s">
        <v>2152</v>
      </c>
      <c r="E103" s="617" t="s">
        <v>2988</v>
      </c>
      <c r="F103" s="618" t="s">
        <v>2989</v>
      </c>
      <c r="G103" s="617" t="s">
        <v>2590</v>
      </c>
      <c r="H103" s="617" t="s">
        <v>2591</v>
      </c>
      <c r="I103" s="619">
        <v>16.450000000000003</v>
      </c>
      <c r="J103" s="619">
        <v>318</v>
      </c>
      <c r="K103" s="620">
        <v>5230.91</v>
      </c>
    </row>
    <row r="104" spans="1:11" ht="14.4" customHeight="1" x14ac:dyDescent="0.3">
      <c r="A104" s="615" t="s">
        <v>471</v>
      </c>
      <c r="B104" s="616" t="s">
        <v>2151</v>
      </c>
      <c r="C104" s="617" t="s">
        <v>476</v>
      </c>
      <c r="D104" s="618" t="s">
        <v>2152</v>
      </c>
      <c r="E104" s="617" t="s">
        <v>2988</v>
      </c>
      <c r="F104" s="618" t="s">
        <v>2989</v>
      </c>
      <c r="G104" s="617" t="s">
        <v>2592</v>
      </c>
      <c r="H104" s="617" t="s">
        <v>2593</v>
      </c>
      <c r="I104" s="619">
        <v>9.68</v>
      </c>
      <c r="J104" s="619">
        <v>15</v>
      </c>
      <c r="K104" s="620">
        <v>145.19999999999999</v>
      </c>
    </row>
    <row r="105" spans="1:11" ht="14.4" customHeight="1" x14ac:dyDescent="0.3">
      <c r="A105" s="615" t="s">
        <v>471</v>
      </c>
      <c r="B105" s="616" t="s">
        <v>2151</v>
      </c>
      <c r="C105" s="617" t="s">
        <v>476</v>
      </c>
      <c r="D105" s="618" t="s">
        <v>2152</v>
      </c>
      <c r="E105" s="617" t="s">
        <v>2988</v>
      </c>
      <c r="F105" s="618" t="s">
        <v>2989</v>
      </c>
      <c r="G105" s="617" t="s">
        <v>2594</v>
      </c>
      <c r="H105" s="617" t="s">
        <v>2595</v>
      </c>
      <c r="I105" s="619">
        <v>121</v>
      </c>
      <c r="J105" s="619">
        <v>62</v>
      </c>
      <c r="K105" s="620">
        <v>7502</v>
      </c>
    </row>
    <row r="106" spans="1:11" ht="14.4" customHeight="1" x14ac:dyDescent="0.3">
      <c r="A106" s="615" t="s">
        <v>471</v>
      </c>
      <c r="B106" s="616" t="s">
        <v>2151</v>
      </c>
      <c r="C106" s="617" t="s">
        <v>476</v>
      </c>
      <c r="D106" s="618" t="s">
        <v>2152</v>
      </c>
      <c r="E106" s="617" t="s">
        <v>2988</v>
      </c>
      <c r="F106" s="618" t="s">
        <v>2989</v>
      </c>
      <c r="G106" s="617" t="s">
        <v>2596</v>
      </c>
      <c r="H106" s="617" t="s">
        <v>2597</v>
      </c>
      <c r="I106" s="619">
        <v>1.81</v>
      </c>
      <c r="J106" s="619">
        <v>10</v>
      </c>
      <c r="K106" s="620">
        <v>18.100000000000001</v>
      </c>
    </row>
    <row r="107" spans="1:11" ht="14.4" customHeight="1" x14ac:dyDescent="0.3">
      <c r="A107" s="615" t="s">
        <v>471</v>
      </c>
      <c r="B107" s="616" t="s">
        <v>2151</v>
      </c>
      <c r="C107" s="617" t="s">
        <v>476</v>
      </c>
      <c r="D107" s="618" t="s">
        <v>2152</v>
      </c>
      <c r="E107" s="617" t="s">
        <v>2988</v>
      </c>
      <c r="F107" s="618" t="s">
        <v>2989</v>
      </c>
      <c r="G107" s="617" t="s">
        <v>2598</v>
      </c>
      <c r="H107" s="617" t="s">
        <v>2599</v>
      </c>
      <c r="I107" s="619">
        <v>1.895</v>
      </c>
      <c r="J107" s="619">
        <v>100</v>
      </c>
      <c r="K107" s="620">
        <v>189.5</v>
      </c>
    </row>
    <row r="108" spans="1:11" ht="14.4" customHeight="1" x14ac:dyDescent="0.3">
      <c r="A108" s="615" t="s">
        <v>471</v>
      </c>
      <c r="B108" s="616" t="s">
        <v>2151</v>
      </c>
      <c r="C108" s="617" t="s">
        <v>476</v>
      </c>
      <c r="D108" s="618" t="s">
        <v>2152</v>
      </c>
      <c r="E108" s="617" t="s">
        <v>2988</v>
      </c>
      <c r="F108" s="618" t="s">
        <v>2989</v>
      </c>
      <c r="G108" s="617" t="s">
        <v>2600</v>
      </c>
      <c r="H108" s="617" t="s">
        <v>2601</v>
      </c>
      <c r="I108" s="619">
        <v>1.9838461538461536</v>
      </c>
      <c r="J108" s="619">
        <v>3300</v>
      </c>
      <c r="K108" s="620">
        <v>6546.5</v>
      </c>
    </row>
    <row r="109" spans="1:11" ht="14.4" customHeight="1" x14ac:dyDescent="0.3">
      <c r="A109" s="615" t="s">
        <v>471</v>
      </c>
      <c r="B109" s="616" t="s">
        <v>2151</v>
      </c>
      <c r="C109" s="617" t="s">
        <v>476</v>
      </c>
      <c r="D109" s="618" t="s">
        <v>2152</v>
      </c>
      <c r="E109" s="617" t="s">
        <v>2988</v>
      </c>
      <c r="F109" s="618" t="s">
        <v>2989</v>
      </c>
      <c r="G109" s="617" t="s">
        <v>2602</v>
      </c>
      <c r="H109" s="617" t="s">
        <v>2603</v>
      </c>
      <c r="I109" s="619">
        <v>2.0460000000000003</v>
      </c>
      <c r="J109" s="619">
        <v>450</v>
      </c>
      <c r="K109" s="620">
        <v>920.5</v>
      </c>
    </row>
    <row r="110" spans="1:11" ht="14.4" customHeight="1" x14ac:dyDescent="0.3">
      <c r="A110" s="615" t="s">
        <v>471</v>
      </c>
      <c r="B110" s="616" t="s">
        <v>2151</v>
      </c>
      <c r="C110" s="617" t="s">
        <v>476</v>
      </c>
      <c r="D110" s="618" t="s">
        <v>2152</v>
      </c>
      <c r="E110" s="617" t="s">
        <v>2988</v>
      </c>
      <c r="F110" s="618" t="s">
        <v>2989</v>
      </c>
      <c r="G110" s="617" t="s">
        <v>2604</v>
      </c>
      <c r="H110" s="617" t="s">
        <v>2605</v>
      </c>
      <c r="I110" s="619">
        <v>3.0939999999999999</v>
      </c>
      <c r="J110" s="619">
        <v>600</v>
      </c>
      <c r="K110" s="620">
        <v>1856</v>
      </c>
    </row>
    <row r="111" spans="1:11" ht="14.4" customHeight="1" x14ac:dyDescent="0.3">
      <c r="A111" s="615" t="s">
        <v>471</v>
      </c>
      <c r="B111" s="616" t="s">
        <v>2151</v>
      </c>
      <c r="C111" s="617" t="s">
        <v>476</v>
      </c>
      <c r="D111" s="618" t="s">
        <v>2152</v>
      </c>
      <c r="E111" s="617" t="s">
        <v>2988</v>
      </c>
      <c r="F111" s="618" t="s">
        <v>2989</v>
      </c>
      <c r="G111" s="617" t="s">
        <v>2606</v>
      </c>
      <c r="H111" s="617" t="s">
        <v>2607</v>
      </c>
      <c r="I111" s="619">
        <v>1.9257142857142855</v>
      </c>
      <c r="J111" s="619">
        <v>550</v>
      </c>
      <c r="K111" s="620">
        <v>1059</v>
      </c>
    </row>
    <row r="112" spans="1:11" ht="14.4" customHeight="1" x14ac:dyDescent="0.3">
      <c r="A112" s="615" t="s">
        <v>471</v>
      </c>
      <c r="B112" s="616" t="s">
        <v>2151</v>
      </c>
      <c r="C112" s="617" t="s">
        <v>476</v>
      </c>
      <c r="D112" s="618" t="s">
        <v>2152</v>
      </c>
      <c r="E112" s="617" t="s">
        <v>2988</v>
      </c>
      <c r="F112" s="618" t="s">
        <v>2989</v>
      </c>
      <c r="G112" s="617" t="s">
        <v>2608</v>
      </c>
      <c r="H112" s="617" t="s">
        <v>2609</v>
      </c>
      <c r="I112" s="619">
        <v>2.5299999999999998</v>
      </c>
      <c r="J112" s="619">
        <v>50</v>
      </c>
      <c r="K112" s="620">
        <v>126.5</v>
      </c>
    </row>
    <row r="113" spans="1:11" ht="14.4" customHeight="1" x14ac:dyDescent="0.3">
      <c r="A113" s="615" t="s">
        <v>471</v>
      </c>
      <c r="B113" s="616" t="s">
        <v>2151</v>
      </c>
      <c r="C113" s="617" t="s">
        <v>476</v>
      </c>
      <c r="D113" s="618" t="s">
        <v>2152</v>
      </c>
      <c r="E113" s="617" t="s">
        <v>2988</v>
      </c>
      <c r="F113" s="618" t="s">
        <v>2989</v>
      </c>
      <c r="G113" s="617" t="s">
        <v>2610</v>
      </c>
      <c r="H113" s="617" t="s">
        <v>2611</v>
      </c>
      <c r="I113" s="619">
        <v>4.8150000000000004</v>
      </c>
      <c r="J113" s="619">
        <v>3600</v>
      </c>
      <c r="K113" s="620">
        <v>17334</v>
      </c>
    </row>
    <row r="114" spans="1:11" ht="14.4" customHeight="1" x14ac:dyDescent="0.3">
      <c r="A114" s="615" t="s">
        <v>471</v>
      </c>
      <c r="B114" s="616" t="s">
        <v>2151</v>
      </c>
      <c r="C114" s="617" t="s">
        <v>476</v>
      </c>
      <c r="D114" s="618" t="s">
        <v>2152</v>
      </c>
      <c r="E114" s="617" t="s">
        <v>2988</v>
      </c>
      <c r="F114" s="618" t="s">
        <v>2989</v>
      </c>
      <c r="G114" s="617" t="s">
        <v>2612</v>
      </c>
      <c r="H114" s="617" t="s">
        <v>2613</v>
      </c>
      <c r="I114" s="619">
        <v>0.02</v>
      </c>
      <c r="J114" s="619">
        <v>100</v>
      </c>
      <c r="K114" s="620">
        <v>2</v>
      </c>
    </row>
    <row r="115" spans="1:11" ht="14.4" customHeight="1" x14ac:dyDescent="0.3">
      <c r="A115" s="615" t="s">
        <v>471</v>
      </c>
      <c r="B115" s="616" t="s">
        <v>2151</v>
      </c>
      <c r="C115" s="617" t="s">
        <v>476</v>
      </c>
      <c r="D115" s="618" t="s">
        <v>2152</v>
      </c>
      <c r="E115" s="617" t="s">
        <v>2988</v>
      </c>
      <c r="F115" s="618" t="s">
        <v>2989</v>
      </c>
      <c r="G115" s="617" t="s">
        <v>2614</v>
      </c>
      <c r="H115" s="617" t="s">
        <v>2615</v>
      </c>
      <c r="I115" s="619">
        <v>1.9966666666666668</v>
      </c>
      <c r="J115" s="619">
        <v>125</v>
      </c>
      <c r="K115" s="620">
        <v>249.7</v>
      </c>
    </row>
    <row r="116" spans="1:11" ht="14.4" customHeight="1" x14ac:dyDescent="0.3">
      <c r="A116" s="615" t="s">
        <v>471</v>
      </c>
      <c r="B116" s="616" t="s">
        <v>2151</v>
      </c>
      <c r="C116" s="617" t="s">
        <v>476</v>
      </c>
      <c r="D116" s="618" t="s">
        <v>2152</v>
      </c>
      <c r="E116" s="617" t="s">
        <v>2988</v>
      </c>
      <c r="F116" s="618" t="s">
        <v>2989</v>
      </c>
      <c r="G116" s="617" t="s">
        <v>2616</v>
      </c>
      <c r="H116" s="617" t="s">
        <v>2617</v>
      </c>
      <c r="I116" s="619">
        <v>3.0728571428571425</v>
      </c>
      <c r="J116" s="619">
        <v>1500</v>
      </c>
      <c r="K116" s="620">
        <v>4608.5</v>
      </c>
    </row>
    <row r="117" spans="1:11" ht="14.4" customHeight="1" x14ac:dyDescent="0.3">
      <c r="A117" s="615" t="s">
        <v>471</v>
      </c>
      <c r="B117" s="616" t="s">
        <v>2151</v>
      </c>
      <c r="C117" s="617" t="s">
        <v>476</v>
      </c>
      <c r="D117" s="618" t="s">
        <v>2152</v>
      </c>
      <c r="E117" s="617" t="s">
        <v>2988</v>
      </c>
      <c r="F117" s="618" t="s">
        <v>2989</v>
      </c>
      <c r="G117" s="617" t="s">
        <v>2618</v>
      </c>
      <c r="H117" s="617" t="s">
        <v>2619</v>
      </c>
      <c r="I117" s="619">
        <v>2.1658333333333335</v>
      </c>
      <c r="J117" s="619">
        <v>1750</v>
      </c>
      <c r="K117" s="620">
        <v>3789</v>
      </c>
    </row>
    <row r="118" spans="1:11" ht="14.4" customHeight="1" x14ac:dyDescent="0.3">
      <c r="A118" s="615" t="s">
        <v>471</v>
      </c>
      <c r="B118" s="616" t="s">
        <v>2151</v>
      </c>
      <c r="C118" s="617" t="s">
        <v>476</v>
      </c>
      <c r="D118" s="618" t="s">
        <v>2152</v>
      </c>
      <c r="E118" s="617" t="s">
        <v>2988</v>
      </c>
      <c r="F118" s="618" t="s">
        <v>2989</v>
      </c>
      <c r="G118" s="617" t="s">
        <v>2620</v>
      </c>
      <c r="H118" s="617" t="s">
        <v>2621</v>
      </c>
      <c r="I118" s="619">
        <v>2.6962499999999996</v>
      </c>
      <c r="J118" s="619">
        <v>1200</v>
      </c>
      <c r="K118" s="620">
        <v>3237</v>
      </c>
    </row>
    <row r="119" spans="1:11" ht="14.4" customHeight="1" x14ac:dyDescent="0.3">
      <c r="A119" s="615" t="s">
        <v>471</v>
      </c>
      <c r="B119" s="616" t="s">
        <v>2151</v>
      </c>
      <c r="C119" s="617" t="s">
        <v>476</v>
      </c>
      <c r="D119" s="618" t="s">
        <v>2152</v>
      </c>
      <c r="E119" s="617" t="s">
        <v>2988</v>
      </c>
      <c r="F119" s="618" t="s">
        <v>2989</v>
      </c>
      <c r="G119" s="617" t="s">
        <v>2622</v>
      </c>
      <c r="H119" s="617" t="s">
        <v>2623</v>
      </c>
      <c r="I119" s="619">
        <v>3.9933333333333336</v>
      </c>
      <c r="J119" s="619">
        <v>150</v>
      </c>
      <c r="K119" s="620">
        <v>599</v>
      </c>
    </row>
    <row r="120" spans="1:11" ht="14.4" customHeight="1" x14ac:dyDescent="0.3">
      <c r="A120" s="615" t="s">
        <v>471</v>
      </c>
      <c r="B120" s="616" t="s">
        <v>2151</v>
      </c>
      <c r="C120" s="617" t="s">
        <v>476</v>
      </c>
      <c r="D120" s="618" t="s">
        <v>2152</v>
      </c>
      <c r="E120" s="617" t="s">
        <v>2988</v>
      </c>
      <c r="F120" s="618" t="s">
        <v>2989</v>
      </c>
      <c r="G120" s="617" t="s">
        <v>2624</v>
      </c>
      <c r="H120" s="617" t="s">
        <v>2625</v>
      </c>
      <c r="I120" s="619">
        <v>90.992500000000007</v>
      </c>
      <c r="J120" s="619">
        <v>200</v>
      </c>
      <c r="K120" s="620">
        <v>18198.5</v>
      </c>
    </row>
    <row r="121" spans="1:11" ht="14.4" customHeight="1" x14ac:dyDescent="0.3">
      <c r="A121" s="615" t="s">
        <v>471</v>
      </c>
      <c r="B121" s="616" t="s">
        <v>2151</v>
      </c>
      <c r="C121" s="617" t="s">
        <v>476</v>
      </c>
      <c r="D121" s="618" t="s">
        <v>2152</v>
      </c>
      <c r="E121" s="617" t="s">
        <v>2988</v>
      </c>
      <c r="F121" s="618" t="s">
        <v>2989</v>
      </c>
      <c r="G121" s="617" t="s">
        <v>2626</v>
      </c>
      <c r="H121" s="617" t="s">
        <v>2627</v>
      </c>
      <c r="I121" s="619">
        <v>2.177777777777778</v>
      </c>
      <c r="J121" s="619">
        <v>1850</v>
      </c>
      <c r="K121" s="620">
        <v>4025</v>
      </c>
    </row>
    <row r="122" spans="1:11" ht="14.4" customHeight="1" x14ac:dyDescent="0.3">
      <c r="A122" s="615" t="s">
        <v>471</v>
      </c>
      <c r="B122" s="616" t="s">
        <v>2151</v>
      </c>
      <c r="C122" s="617" t="s">
        <v>476</v>
      </c>
      <c r="D122" s="618" t="s">
        <v>2152</v>
      </c>
      <c r="E122" s="617" t="s">
        <v>2988</v>
      </c>
      <c r="F122" s="618" t="s">
        <v>2989</v>
      </c>
      <c r="G122" s="617" t="s">
        <v>2628</v>
      </c>
      <c r="H122" s="617" t="s">
        <v>2629</v>
      </c>
      <c r="I122" s="619">
        <v>58.909999999999989</v>
      </c>
      <c r="J122" s="619">
        <v>300</v>
      </c>
      <c r="K122" s="620">
        <v>17674.5</v>
      </c>
    </row>
    <row r="123" spans="1:11" ht="14.4" customHeight="1" x14ac:dyDescent="0.3">
      <c r="A123" s="615" t="s">
        <v>471</v>
      </c>
      <c r="B123" s="616" t="s">
        <v>2151</v>
      </c>
      <c r="C123" s="617" t="s">
        <v>476</v>
      </c>
      <c r="D123" s="618" t="s">
        <v>2152</v>
      </c>
      <c r="E123" s="617" t="s">
        <v>2988</v>
      </c>
      <c r="F123" s="618" t="s">
        <v>2989</v>
      </c>
      <c r="G123" s="617" t="s">
        <v>2630</v>
      </c>
      <c r="H123" s="617" t="s">
        <v>2631</v>
      </c>
      <c r="I123" s="619">
        <v>39.93</v>
      </c>
      <c r="J123" s="619">
        <v>80</v>
      </c>
      <c r="K123" s="620">
        <v>3194.4</v>
      </c>
    </row>
    <row r="124" spans="1:11" ht="14.4" customHeight="1" x14ac:dyDescent="0.3">
      <c r="A124" s="615" t="s">
        <v>471</v>
      </c>
      <c r="B124" s="616" t="s">
        <v>2151</v>
      </c>
      <c r="C124" s="617" t="s">
        <v>476</v>
      </c>
      <c r="D124" s="618" t="s">
        <v>2152</v>
      </c>
      <c r="E124" s="617" t="s">
        <v>2988</v>
      </c>
      <c r="F124" s="618" t="s">
        <v>2989</v>
      </c>
      <c r="G124" s="617" t="s">
        <v>2632</v>
      </c>
      <c r="H124" s="617" t="s">
        <v>2633</v>
      </c>
      <c r="I124" s="619">
        <v>29.900000000000002</v>
      </c>
      <c r="J124" s="619">
        <v>850</v>
      </c>
      <c r="K124" s="620">
        <v>25415</v>
      </c>
    </row>
    <row r="125" spans="1:11" ht="14.4" customHeight="1" x14ac:dyDescent="0.3">
      <c r="A125" s="615" t="s">
        <v>471</v>
      </c>
      <c r="B125" s="616" t="s">
        <v>2151</v>
      </c>
      <c r="C125" s="617" t="s">
        <v>476</v>
      </c>
      <c r="D125" s="618" t="s">
        <v>2152</v>
      </c>
      <c r="E125" s="617" t="s">
        <v>2988</v>
      </c>
      <c r="F125" s="618" t="s">
        <v>2989</v>
      </c>
      <c r="G125" s="617" t="s">
        <v>2634</v>
      </c>
      <c r="H125" s="617" t="s">
        <v>2635</v>
      </c>
      <c r="I125" s="619">
        <v>1.9342857142857142</v>
      </c>
      <c r="J125" s="619">
        <v>2500</v>
      </c>
      <c r="K125" s="620">
        <v>4836.1000000000004</v>
      </c>
    </row>
    <row r="126" spans="1:11" ht="14.4" customHeight="1" x14ac:dyDescent="0.3">
      <c r="A126" s="615" t="s">
        <v>471</v>
      </c>
      <c r="B126" s="616" t="s">
        <v>2151</v>
      </c>
      <c r="C126" s="617" t="s">
        <v>476</v>
      </c>
      <c r="D126" s="618" t="s">
        <v>2152</v>
      </c>
      <c r="E126" s="617" t="s">
        <v>2988</v>
      </c>
      <c r="F126" s="618" t="s">
        <v>2989</v>
      </c>
      <c r="G126" s="617" t="s">
        <v>2636</v>
      </c>
      <c r="H126" s="617" t="s">
        <v>2637</v>
      </c>
      <c r="I126" s="619">
        <v>31.070999999999998</v>
      </c>
      <c r="J126" s="619">
        <v>450</v>
      </c>
      <c r="K126" s="620">
        <v>13982.759999999998</v>
      </c>
    </row>
    <row r="127" spans="1:11" ht="14.4" customHeight="1" x14ac:dyDescent="0.3">
      <c r="A127" s="615" t="s">
        <v>471</v>
      </c>
      <c r="B127" s="616" t="s">
        <v>2151</v>
      </c>
      <c r="C127" s="617" t="s">
        <v>476</v>
      </c>
      <c r="D127" s="618" t="s">
        <v>2152</v>
      </c>
      <c r="E127" s="617" t="s">
        <v>2988</v>
      </c>
      <c r="F127" s="618" t="s">
        <v>2989</v>
      </c>
      <c r="G127" s="617" t="s">
        <v>2638</v>
      </c>
      <c r="H127" s="617" t="s">
        <v>2639</v>
      </c>
      <c r="I127" s="619">
        <v>2.9</v>
      </c>
      <c r="J127" s="619">
        <v>100</v>
      </c>
      <c r="K127" s="620">
        <v>290</v>
      </c>
    </row>
    <row r="128" spans="1:11" ht="14.4" customHeight="1" x14ac:dyDescent="0.3">
      <c r="A128" s="615" t="s">
        <v>471</v>
      </c>
      <c r="B128" s="616" t="s">
        <v>2151</v>
      </c>
      <c r="C128" s="617" t="s">
        <v>476</v>
      </c>
      <c r="D128" s="618" t="s">
        <v>2152</v>
      </c>
      <c r="E128" s="617" t="s">
        <v>2988</v>
      </c>
      <c r="F128" s="618" t="s">
        <v>2989</v>
      </c>
      <c r="G128" s="617" t="s">
        <v>2640</v>
      </c>
      <c r="H128" s="617" t="s">
        <v>2641</v>
      </c>
      <c r="I128" s="619">
        <v>2.91</v>
      </c>
      <c r="J128" s="619">
        <v>100</v>
      </c>
      <c r="K128" s="620">
        <v>291</v>
      </c>
    </row>
    <row r="129" spans="1:11" ht="14.4" customHeight="1" x14ac:dyDescent="0.3">
      <c r="A129" s="615" t="s">
        <v>471</v>
      </c>
      <c r="B129" s="616" t="s">
        <v>2151</v>
      </c>
      <c r="C129" s="617" t="s">
        <v>476</v>
      </c>
      <c r="D129" s="618" t="s">
        <v>2152</v>
      </c>
      <c r="E129" s="617" t="s">
        <v>2988</v>
      </c>
      <c r="F129" s="618" t="s">
        <v>2989</v>
      </c>
      <c r="G129" s="617" t="s">
        <v>2642</v>
      </c>
      <c r="H129" s="617" t="s">
        <v>2643</v>
      </c>
      <c r="I129" s="619">
        <v>127.05</v>
      </c>
      <c r="J129" s="619">
        <v>5</v>
      </c>
      <c r="K129" s="620">
        <v>635.25</v>
      </c>
    </row>
    <row r="130" spans="1:11" ht="14.4" customHeight="1" x14ac:dyDescent="0.3">
      <c r="A130" s="615" t="s">
        <v>471</v>
      </c>
      <c r="B130" s="616" t="s">
        <v>2151</v>
      </c>
      <c r="C130" s="617" t="s">
        <v>476</v>
      </c>
      <c r="D130" s="618" t="s">
        <v>2152</v>
      </c>
      <c r="E130" s="617" t="s">
        <v>2988</v>
      </c>
      <c r="F130" s="618" t="s">
        <v>2989</v>
      </c>
      <c r="G130" s="617" t="s">
        <v>2644</v>
      </c>
      <c r="H130" s="617" t="s">
        <v>2645</v>
      </c>
      <c r="I130" s="619">
        <v>82.162499999999994</v>
      </c>
      <c r="J130" s="619">
        <v>72</v>
      </c>
      <c r="K130" s="620">
        <v>5915.62</v>
      </c>
    </row>
    <row r="131" spans="1:11" ht="14.4" customHeight="1" x14ac:dyDescent="0.3">
      <c r="A131" s="615" t="s">
        <v>471</v>
      </c>
      <c r="B131" s="616" t="s">
        <v>2151</v>
      </c>
      <c r="C131" s="617" t="s">
        <v>476</v>
      </c>
      <c r="D131" s="618" t="s">
        <v>2152</v>
      </c>
      <c r="E131" s="617" t="s">
        <v>2988</v>
      </c>
      <c r="F131" s="618" t="s">
        <v>2989</v>
      </c>
      <c r="G131" s="617" t="s">
        <v>2646</v>
      </c>
      <c r="H131" s="617" t="s">
        <v>2647</v>
      </c>
      <c r="I131" s="619">
        <v>314.60000000000002</v>
      </c>
      <c r="J131" s="619">
        <v>60</v>
      </c>
      <c r="K131" s="620">
        <v>18876</v>
      </c>
    </row>
    <row r="132" spans="1:11" ht="14.4" customHeight="1" x14ac:dyDescent="0.3">
      <c r="A132" s="615" t="s">
        <v>471</v>
      </c>
      <c r="B132" s="616" t="s">
        <v>2151</v>
      </c>
      <c r="C132" s="617" t="s">
        <v>476</v>
      </c>
      <c r="D132" s="618" t="s">
        <v>2152</v>
      </c>
      <c r="E132" s="617" t="s">
        <v>2988</v>
      </c>
      <c r="F132" s="618" t="s">
        <v>2989</v>
      </c>
      <c r="G132" s="617" t="s">
        <v>2648</v>
      </c>
      <c r="H132" s="617" t="s">
        <v>2649</v>
      </c>
      <c r="I132" s="619">
        <v>43.16</v>
      </c>
      <c r="J132" s="619">
        <v>100</v>
      </c>
      <c r="K132" s="620">
        <v>4316.08</v>
      </c>
    </row>
    <row r="133" spans="1:11" ht="14.4" customHeight="1" x14ac:dyDescent="0.3">
      <c r="A133" s="615" t="s">
        <v>471</v>
      </c>
      <c r="B133" s="616" t="s">
        <v>2151</v>
      </c>
      <c r="C133" s="617" t="s">
        <v>476</v>
      </c>
      <c r="D133" s="618" t="s">
        <v>2152</v>
      </c>
      <c r="E133" s="617" t="s">
        <v>2988</v>
      </c>
      <c r="F133" s="618" t="s">
        <v>2989</v>
      </c>
      <c r="G133" s="617" t="s">
        <v>2650</v>
      </c>
      <c r="H133" s="617" t="s">
        <v>2651</v>
      </c>
      <c r="I133" s="619">
        <v>47.19</v>
      </c>
      <c r="J133" s="619">
        <v>240</v>
      </c>
      <c r="K133" s="620">
        <v>11325.6</v>
      </c>
    </row>
    <row r="134" spans="1:11" ht="14.4" customHeight="1" x14ac:dyDescent="0.3">
      <c r="A134" s="615" t="s">
        <v>471</v>
      </c>
      <c r="B134" s="616" t="s">
        <v>2151</v>
      </c>
      <c r="C134" s="617" t="s">
        <v>476</v>
      </c>
      <c r="D134" s="618" t="s">
        <v>2152</v>
      </c>
      <c r="E134" s="617" t="s">
        <v>2988</v>
      </c>
      <c r="F134" s="618" t="s">
        <v>2989</v>
      </c>
      <c r="G134" s="617" t="s">
        <v>2652</v>
      </c>
      <c r="H134" s="617" t="s">
        <v>2653</v>
      </c>
      <c r="I134" s="619">
        <v>17.982000000000003</v>
      </c>
      <c r="J134" s="619">
        <v>250</v>
      </c>
      <c r="K134" s="620">
        <v>4495.5</v>
      </c>
    </row>
    <row r="135" spans="1:11" ht="14.4" customHeight="1" x14ac:dyDescent="0.3">
      <c r="A135" s="615" t="s">
        <v>471</v>
      </c>
      <c r="B135" s="616" t="s">
        <v>2151</v>
      </c>
      <c r="C135" s="617" t="s">
        <v>476</v>
      </c>
      <c r="D135" s="618" t="s">
        <v>2152</v>
      </c>
      <c r="E135" s="617" t="s">
        <v>2988</v>
      </c>
      <c r="F135" s="618" t="s">
        <v>2989</v>
      </c>
      <c r="G135" s="617" t="s">
        <v>2654</v>
      </c>
      <c r="H135" s="617" t="s">
        <v>2655</v>
      </c>
      <c r="I135" s="619">
        <v>17.981666666666666</v>
      </c>
      <c r="J135" s="619">
        <v>300</v>
      </c>
      <c r="K135" s="620">
        <v>5394.5</v>
      </c>
    </row>
    <row r="136" spans="1:11" ht="14.4" customHeight="1" x14ac:dyDescent="0.3">
      <c r="A136" s="615" t="s">
        <v>471</v>
      </c>
      <c r="B136" s="616" t="s">
        <v>2151</v>
      </c>
      <c r="C136" s="617" t="s">
        <v>476</v>
      </c>
      <c r="D136" s="618" t="s">
        <v>2152</v>
      </c>
      <c r="E136" s="617" t="s">
        <v>2988</v>
      </c>
      <c r="F136" s="618" t="s">
        <v>2989</v>
      </c>
      <c r="G136" s="617" t="s">
        <v>2656</v>
      </c>
      <c r="H136" s="617" t="s">
        <v>2657</v>
      </c>
      <c r="I136" s="619">
        <v>17.984999999999999</v>
      </c>
      <c r="J136" s="619">
        <v>100</v>
      </c>
      <c r="K136" s="620">
        <v>1798.5</v>
      </c>
    </row>
    <row r="137" spans="1:11" ht="14.4" customHeight="1" x14ac:dyDescent="0.3">
      <c r="A137" s="615" t="s">
        <v>471</v>
      </c>
      <c r="B137" s="616" t="s">
        <v>2151</v>
      </c>
      <c r="C137" s="617" t="s">
        <v>476</v>
      </c>
      <c r="D137" s="618" t="s">
        <v>2152</v>
      </c>
      <c r="E137" s="617" t="s">
        <v>2988</v>
      </c>
      <c r="F137" s="618" t="s">
        <v>2989</v>
      </c>
      <c r="G137" s="617" t="s">
        <v>2658</v>
      </c>
      <c r="H137" s="617" t="s">
        <v>2659</v>
      </c>
      <c r="I137" s="619">
        <v>123.18</v>
      </c>
      <c r="J137" s="619">
        <v>200</v>
      </c>
      <c r="K137" s="620">
        <v>24635.599999999999</v>
      </c>
    </row>
    <row r="138" spans="1:11" ht="14.4" customHeight="1" x14ac:dyDescent="0.3">
      <c r="A138" s="615" t="s">
        <v>471</v>
      </c>
      <c r="B138" s="616" t="s">
        <v>2151</v>
      </c>
      <c r="C138" s="617" t="s">
        <v>476</v>
      </c>
      <c r="D138" s="618" t="s">
        <v>2152</v>
      </c>
      <c r="E138" s="617" t="s">
        <v>2988</v>
      </c>
      <c r="F138" s="618" t="s">
        <v>2989</v>
      </c>
      <c r="G138" s="617" t="s">
        <v>2660</v>
      </c>
      <c r="H138" s="617" t="s">
        <v>2661</v>
      </c>
      <c r="I138" s="619">
        <v>15.003333333333332</v>
      </c>
      <c r="J138" s="619">
        <v>640</v>
      </c>
      <c r="K138" s="620">
        <v>9601.75</v>
      </c>
    </row>
    <row r="139" spans="1:11" ht="14.4" customHeight="1" x14ac:dyDescent="0.3">
      <c r="A139" s="615" t="s">
        <v>471</v>
      </c>
      <c r="B139" s="616" t="s">
        <v>2151</v>
      </c>
      <c r="C139" s="617" t="s">
        <v>476</v>
      </c>
      <c r="D139" s="618" t="s">
        <v>2152</v>
      </c>
      <c r="E139" s="617" t="s">
        <v>2988</v>
      </c>
      <c r="F139" s="618" t="s">
        <v>2989</v>
      </c>
      <c r="G139" s="617" t="s">
        <v>2662</v>
      </c>
      <c r="H139" s="617" t="s">
        <v>2663</v>
      </c>
      <c r="I139" s="619">
        <v>8.9533333333333331</v>
      </c>
      <c r="J139" s="619">
        <v>1000</v>
      </c>
      <c r="K139" s="620">
        <v>8954</v>
      </c>
    </row>
    <row r="140" spans="1:11" ht="14.4" customHeight="1" x14ac:dyDescent="0.3">
      <c r="A140" s="615" t="s">
        <v>471</v>
      </c>
      <c r="B140" s="616" t="s">
        <v>2151</v>
      </c>
      <c r="C140" s="617" t="s">
        <v>476</v>
      </c>
      <c r="D140" s="618" t="s">
        <v>2152</v>
      </c>
      <c r="E140" s="617" t="s">
        <v>2988</v>
      </c>
      <c r="F140" s="618" t="s">
        <v>2989</v>
      </c>
      <c r="G140" s="617" t="s">
        <v>2664</v>
      </c>
      <c r="H140" s="617" t="s">
        <v>2665</v>
      </c>
      <c r="I140" s="619">
        <v>2.5142857142857138</v>
      </c>
      <c r="J140" s="619">
        <v>500</v>
      </c>
      <c r="K140" s="620">
        <v>1256.5</v>
      </c>
    </row>
    <row r="141" spans="1:11" ht="14.4" customHeight="1" x14ac:dyDescent="0.3">
      <c r="A141" s="615" t="s">
        <v>471</v>
      </c>
      <c r="B141" s="616" t="s">
        <v>2151</v>
      </c>
      <c r="C141" s="617" t="s">
        <v>476</v>
      </c>
      <c r="D141" s="618" t="s">
        <v>2152</v>
      </c>
      <c r="E141" s="617" t="s">
        <v>2988</v>
      </c>
      <c r="F141" s="618" t="s">
        <v>2989</v>
      </c>
      <c r="G141" s="617" t="s">
        <v>2666</v>
      </c>
      <c r="H141" s="617" t="s">
        <v>2667</v>
      </c>
      <c r="I141" s="619">
        <v>1.9389999999999996</v>
      </c>
      <c r="J141" s="619">
        <v>2900</v>
      </c>
      <c r="K141" s="620">
        <v>5625</v>
      </c>
    </row>
    <row r="142" spans="1:11" ht="14.4" customHeight="1" x14ac:dyDescent="0.3">
      <c r="A142" s="615" t="s">
        <v>471</v>
      </c>
      <c r="B142" s="616" t="s">
        <v>2151</v>
      </c>
      <c r="C142" s="617" t="s">
        <v>476</v>
      </c>
      <c r="D142" s="618" t="s">
        <v>2152</v>
      </c>
      <c r="E142" s="617" t="s">
        <v>2988</v>
      </c>
      <c r="F142" s="618" t="s">
        <v>2989</v>
      </c>
      <c r="G142" s="617" t="s">
        <v>2668</v>
      </c>
      <c r="H142" s="617" t="s">
        <v>2669</v>
      </c>
      <c r="I142" s="619">
        <v>5.2054545454545451</v>
      </c>
      <c r="J142" s="619">
        <v>7055</v>
      </c>
      <c r="K142" s="620">
        <v>36717.899999999994</v>
      </c>
    </row>
    <row r="143" spans="1:11" ht="14.4" customHeight="1" x14ac:dyDescent="0.3">
      <c r="A143" s="615" t="s">
        <v>471</v>
      </c>
      <c r="B143" s="616" t="s">
        <v>2151</v>
      </c>
      <c r="C143" s="617" t="s">
        <v>476</v>
      </c>
      <c r="D143" s="618" t="s">
        <v>2152</v>
      </c>
      <c r="E143" s="617" t="s">
        <v>2988</v>
      </c>
      <c r="F143" s="618" t="s">
        <v>2989</v>
      </c>
      <c r="G143" s="617" t="s">
        <v>2670</v>
      </c>
      <c r="H143" s="617" t="s">
        <v>2671</v>
      </c>
      <c r="I143" s="619">
        <v>1.2699999999999998</v>
      </c>
      <c r="J143" s="619">
        <v>1050</v>
      </c>
      <c r="K143" s="620">
        <v>1333.5</v>
      </c>
    </row>
    <row r="144" spans="1:11" ht="14.4" customHeight="1" x14ac:dyDescent="0.3">
      <c r="A144" s="615" t="s">
        <v>471</v>
      </c>
      <c r="B144" s="616" t="s">
        <v>2151</v>
      </c>
      <c r="C144" s="617" t="s">
        <v>476</v>
      </c>
      <c r="D144" s="618" t="s">
        <v>2152</v>
      </c>
      <c r="E144" s="617" t="s">
        <v>2988</v>
      </c>
      <c r="F144" s="618" t="s">
        <v>2989</v>
      </c>
      <c r="G144" s="617" t="s">
        <v>2672</v>
      </c>
      <c r="H144" s="617" t="s">
        <v>2673</v>
      </c>
      <c r="I144" s="619">
        <v>21.237142857142857</v>
      </c>
      <c r="J144" s="619">
        <v>270</v>
      </c>
      <c r="K144" s="620">
        <v>5734</v>
      </c>
    </row>
    <row r="145" spans="1:11" ht="14.4" customHeight="1" x14ac:dyDescent="0.3">
      <c r="A145" s="615" t="s">
        <v>471</v>
      </c>
      <c r="B145" s="616" t="s">
        <v>2151</v>
      </c>
      <c r="C145" s="617" t="s">
        <v>476</v>
      </c>
      <c r="D145" s="618" t="s">
        <v>2152</v>
      </c>
      <c r="E145" s="617" t="s">
        <v>2988</v>
      </c>
      <c r="F145" s="618" t="s">
        <v>2989</v>
      </c>
      <c r="G145" s="617" t="s">
        <v>2674</v>
      </c>
      <c r="H145" s="617" t="s">
        <v>2675</v>
      </c>
      <c r="I145" s="619">
        <v>21.234999999999999</v>
      </c>
      <c r="J145" s="619">
        <v>300</v>
      </c>
      <c r="K145" s="620">
        <v>6370.5</v>
      </c>
    </row>
    <row r="146" spans="1:11" ht="14.4" customHeight="1" x14ac:dyDescent="0.3">
      <c r="A146" s="615" t="s">
        <v>471</v>
      </c>
      <c r="B146" s="616" t="s">
        <v>2151</v>
      </c>
      <c r="C146" s="617" t="s">
        <v>476</v>
      </c>
      <c r="D146" s="618" t="s">
        <v>2152</v>
      </c>
      <c r="E146" s="617" t="s">
        <v>2988</v>
      </c>
      <c r="F146" s="618" t="s">
        <v>2989</v>
      </c>
      <c r="G146" s="617" t="s">
        <v>2676</v>
      </c>
      <c r="H146" s="617" t="s">
        <v>2677</v>
      </c>
      <c r="I146" s="619">
        <v>11.495714285714286</v>
      </c>
      <c r="J146" s="619">
        <v>400</v>
      </c>
      <c r="K146" s="620">
        <v>4598</v>
      </c>
    </row>
    <row r="147" spans="1:11" ht="14.4" customHeight="1" x14ac:dyDescent="0.3">
      <c r="A147" s="615" t="s">
        <v>471</v>
      </c>
      <c r="B147" s="616" t="s">
        <v>2151</v>
      </c>
      <c r="C147" s="617" t="s">
        <v>476</v>
      </c>
      <c r="D147" s="618" t="s">
        <v>2152</v>
      </c>
      <c r="E147" s="617" t="s">
        <v>2988</v>
      </c>
      <c r="F147" s="618" t="s">
        <v>2989</v>
      </c>
      <c r="G147" s="617" t="s">
        <v>2678</v>
      </c>
      <c r="H147" s="617" t="s">
        <v>2679</v>
      </c>
      <c r="I147" s="619">
        <v>6.6500000000000012</v>
      </c>
      <c r="J147" s="619">
        <v>30</v>
      </c>
      <c r="K147" s="620">
        <v>199.5</v>
      </c>
    </row>
    <row r="148" spans="1:11" ht="14.4" customHeight="1" x14ac:dyDescent="0.3">
      <c r="A148" s="615" t="s">
        <v>471</v>
      </c>
      <c r="B148" s="616" t="s">
        <v>2151</v>
      </c>
      <c r="C148" s="617" t="s">
        <v>476</v>
      </c>
      <c r="D148" s="618" t="s">
        <v>2152</v>
      </c>
      <c r="E148" s="617" t="s">
        <v>2988</v>
      </c>
      <c r="F148" s="618" t="s">
        <v>2989</v>
      </c>
      <c r="G148" s="617" t="s">
        <v>2680</v>
      </c>
      <c r="H148" s="617" t="s">
        <v>2681</v>
      </c>
      <c r="I148" s="619">
        <v>18.150000000000002</v>
      </c>
      <c r="J148" s="619">
        <v>600</v>
      </c>
      <c r="K148" s="620">
        <v>10890</v>
      </c>
    </row>
    <row r="149" spans="1:11" ht="14.4" customHeight="1" x14ac:dyDescent="0.3">
      <c r="A149" s="615" t="s">
        <v>471</v>
      </c>
      <c r="B149" s="616" t="s">
        <v>2151</v>
      </c>
      <c r="C149" s="617" t="s">
        <v>476</v>
      </c>
      <c r="D149" s="618" t="s">
        <v>2152</v>
      </c>
      <c r="E149" s="617" t="s">
        <v>2988</v>
      </c>
      <c r="F149" s="618" t="s">
        <v>2989</v>
      </c>
      <c r="G149" s="617" t="s">
        <v>2682</v>
      </c>
      <c r="H149" s="617" t="s">
        <v>2683</v>
      </c>
      <c r="I149" s="619">
        <v>6.6574999999999998</v>
      </c>
      <c r="J149" s="619">
        <v>80</v>
      </c>
      <c r="K149" s="620">
        <v>532.59999999999991</v>
      </c>
    </row>
    <row r="150" spans="1:11" ht="14.4" customHeight="1" x14ac:dyDescent="0.3">
      <c r="A150" s="615" t="s">
        <v>471</v>
      </c>
      <c r="B150" s="616" t="s">
        <v>2151</v>
      </c>
      <c r="C150" s="617" t="s">
        <v>476</v>
      </c>
      <c r="D150" s="618" t="s">
        <v>2152</v>
      </c>
      <c r="E150" s="617" t="s">
        <v>2988</v>
      </c>
      <c r="F150" s="618" t="s">
        <v>2989</v>
      </c>
      <c r="G150" s="617" t="s">
        <v>2684</v>
      </c>
      <c r="H150" s="617" t="s">
        <v>2685</v>
      </c>
      <c r="I150" s="619">
        <v>6.65</v>
      </c>
      <c r="J150" s="619">
        <v>30</v>
      </c>
      <c r="K150" s="620">
        <v>199.5</v>
      </c>
    </row>
    <row r="151" spans="1:11" ht="14.4" customHeight="1" x14ac:dyDescent="0.3">
      <c r="A151" s="615" t="s">
        <v>471</v>
      </c>
      <c r="B151" s="616" t="s">
        <v>2151</v>
      </c>
      <c r="C151" s="617" t="s">
        <v>476</v>
      </c>
      <c r="D151" s="618" t="s">
        <v>2152</v>
      </c>
      <c r="E151" s="617" t="s">
        <v>2988</v>
      </c>
      <c r="F151" s="618" t="s">
        <v>2989</v>
      </c>
      <c r="G151" s="617" t="s">
        <v>2686</v>
      </c>
      <c r="H151" s="617" t="s">
        <v>2687</v>
      </c>
      <c r="I151" s="619">
        <v>6.6550000000000002</v>
      </c>
      <c r="J151" s="619">
        <v>20</v>
      </c>
      <c r="K151" s="620">
        <v>133.1</v>
      </c>
    </row>
    <row r="152" spans="1:11" ht="14.4" customHeight="1" x14ac:dyDescent="0.3">
      <c r="A152" s="615" t="s">
        <v>471</v>
      </c>
      <c r="B152" s="616" t="s">
        <v>2151</v>
      </c>
      <c r="C152" s="617" t="s">
        <v>476</v>
      </c>
      <c r="D152" s="618" t="s">
        <v>2152</v>
      </c>
      <c r="E152" s="617" t="s">
        <v>2988</v>
      </c>
      <c r="F152" s="618" t="s">
        <v>2989</v>
      </c>
      <c r="G152" s="617" t="s">
        <v>2688</v>
      </c>
      <c r="H152" s="617" t="s">
        <v>2689</v>
      </c>
      <c r="I152" s="619">
        <v>107.69</v>
      </c>
      <c r="J152" s="619">
        <v>160</v>
      </c>
      <c r="K152" s="620">
        <v>17230.400000000001</v>
      </c>
    </row>
    <row r="153" spans="1:11" ht="14.4" customHeight="1" x14ac:dyDescent="0.3">
      <c r="A153" s="615" t="s">
        <v>471</v>
      </c>
      <c r="B153" s="616" t="s">
        <v>2151</v>
      </c>
      <c r="C153" s="617" t="s">
        <v>476</v>
      </c>
      <c r="D153" s="618" t="s">
        <v>2152</v>
      </c>
      <c r="E153" s="617" t="s">
        <v>2988</v>
      </c>
      <c r="F153" s="618" t="s">
        <v>2989</v>
      </c>
      <c r="G153" s="617" t="s">
        <v>2690</v>
      </c>
      <c r="H153" s="617" t="s">
        <v>2691</v>
      </c>
      <c r="I153" s="619">
        <v>0.47199999999999998</v>
      </c>
      <c r="J153" s="619">
        <v>2600</v>
      </c>
      <c r="K153" s="620">
        <v>1232</v>
      </c>
    </row>
    <row r="154" spans="1:11" ht="14.4" customHeight="1" x14ac:dyDescent="0.3">
      <c r="A154" s="615" t="s">
        <v>471</v>
      </c>
      <c r="B154" s="616" t="s">
        <v>2151</v>
      </c>
      <c r="C154" s="617" t="s">
        <v>476</v>
      </c>
      <c r="D154" s="618" t="s">
        <v>2152</v>
      </c>
      <c r="E154" s="617" t="s">
        <v>2988</v>
      </c>
      <c r="F154" s="618" t="s">
        <v>2989</v>
      </c>
      <c r="G154" s="617" t="s">
        <v>2692</v>
      </c>
      <c r="H154" s="617" t="s">
        <v>2693</v>
      </c>
      <c r="I154" s="619">
        <v>0.47</v>
      </c>
      <c r="J154" s="619">
        <v>1900</v>
      </c>
      <c r="K154" s="620">
        <v>893</v>
      </c>
    </row>
    <row r="155" spans="1:11" ht="14.4" customHeight="1" x14ac:dyDescent="0.3">
      <c r="A155" s="615" t="s">
        <v>471</v>
      </c>
      <c r="B155" s="616" t="s">
        <v>2151</v>
      </c>
      <c r="C155" s="617" t="s">
        <v>476</v>
      </c>
      <c r="D155" s="618" t="s">
        <v>2152</v>
      </c>
      <c r="E155" s="617" t="s">
        <v>2988</v>
      </c>
      <c r="F155" s="618" t="s">
        <v>2989</v>
      </c>
      <c r="G155" s="617" t="s">
        <v>2694</v>
      </c>
      <c r="H155" s="617" t="s">
        <v>2695</v>
      </c>
      <c r="I155" s="619">
        <v>4.0283333333333342</v>
      </c>
      <c r="J155" s="619">
        <v>450</v>
      </c>
      <c r="K155" s="620">
        <v>1812.5</v>
      </c>
    </row>
    <row r="156" spans="1:11" ht="14.4" customHeight="1" x14ac:dyDescent="0.3">
      <c r="A156" s="615" t="s">
        <v>471</v>
      </c>
      <c r="B156" s="616" t="s">
        <v>2151</v>
      </c>
      <c r="C156" s="617" t="s">
        <v>476</v>
      </c>
      <c r="D156" s="618" t="s">
        <v>2152</v>
      </c>
      <c r="E156" s="617" t="s">
        <v>2988</v>
      </c>
      <c r="F156" s="618" t="s">
        <v>2989</v>
      </c>
      <c r="G156" s="617" t="s">
        <v>2696</v>
      </c>
      <c r="H156" s="617" t="s">
        <v>2697</v>
      </c>
      <c r="I156" s="619">
        <v>2.9054545454545453</v>
      </c>
      <c r="J156" s="619">
        <v>2186</v>
      </c>
      <c r="K156" s="620">
        <v>6350.76</v>
      </c>
    </row>
    <row r="157" spans="1:11" ht="14.4" customHeight="1" x14ac:dyDescent="0.3">
      <c r="A157" s="615" t="s">
        <v>471</v>
      </c>
      <c r="B157" s="616" t="s">
        <v>2151</v>
      </c>
      <c r="C157" s="617" t="s">
        <v>476</v>
      </c>
      <c r="D157" s="618" t="s">
        <v>2152</v>
      </c>
      <c r="E157" s="617" t="s">
        <v>2988</v>
      </c>
      <c r="F157" s="618" t="s">
        <v>2989</v>
      </c>
      <c r="G157" s="617" t="s">
        <v>2698</v>
      </c>
      <c r="H157" s="617" t="s">
        <v>2699</v>
      </c>
      <c r="I157" s="619">
        <v>2.9033333333333333</v>
      </c>
      <c r="J157" s="619">
        <v>2600</v>
      </c>
      <c r="K157" s="620">
        <v>7549</v>
      </c>
    </row>
    <row r="158" spans="1:11" ht="14.4" customHeight="1" x14ac:dyDescent="0.3">
      <c r="A158" s="615" t="s">
        <v>471</v>
      </c>
      <c r="B158" s="616" t="s">
        <v>2151</v>
      </c>
      <c r="C158" s="617" t="s">
        <v>476</v>
      </c>
      <c r="D158" s="618" t="s">
        <v>2152</v>
      </c>
      <c r="E158" s="617" t="s">
        <v>2988</v>
      </c>
      <c r="F158" s="618" t="s">
        <v>2989</v>
      </c>
      <c r="G158" s="617" t="s">
        <v>2700</v>
      </c>
      <c r="H158" s="617" t="s">
        <v>2701</v>
      </c>
      <c r="I158" s="619">
        <v>2.91</v>
      </c>
      <c r="J158" s="619">
        <v>400</v>
      </c>
      <c r="K158" s="620">
        <v>1164</v>
      </c>
    </row>
    <row r="159" spans="1:11" ht="14.4" customHeight="1" x14ac:dyDescent="0.3">
      <c r="A159" s="615" t="s">
        <v>471</v>
      </c>
      <c r="B159" s="616" t="s">
        <v>2151</v>
      </c>
      <c r="C159" s="617" t="s">
        <v>476</v>
      </c>
      <c r="D159" s="618" t="s">
        <v>2152</v>
      </c>
      <c r="E159" s="617" t="s">
        <v>2988</v>
      </c>
      <c r="F159" s="618" t="s">
        <v>2989</v>
      </c>
      <c r="G159" s="617" t="s">
        <v>2702</v>
      </c>
      <c r="H159" s="617" t="s">
        <v>2703</v>
      </c>
      <c r="I159" s="619">
        <v>2.9055555555555554</v>
      </c>
      <c r="J159" s="619">
        <v>2150</v>
      </c>
      <c r="K159" s="620">
        <v>6245.5</v>
      </c>
    </row>
    <row r="160" spans="1:11" ht="14.4" customHeight="1" x14ac:dyDescent="0.3">
      <c r="A160" s="615" t="s">
        <v>471</v>
      </c>
      <c r="B160" s="616" t="s">
        <v>2151</v>
      </c>
      <c r="C160" s="617" t="s">
        <v>476</v>
      </c>
      <c r="D160" s="618" t="s">
        <v>2152</v>
      </c>
      <c r="E160" s="617" t="s">
        <v>2988</v>
      </c>
      <c r="F160" s="618" t="s">
        <v>2989</v>
      </c>
      <c r="G160" s="617" t="s">
        <v>2704</v>
      </c>
      <c r="H160" s="617" t="s">
        <v>2705</v>
      </c>
      <c r="I160" s="619">
        <v>193.6</v>
      </c>
      <c r="J160" s="619">
        <v>230</v>
      </c>
      <c r="K160" s="620">
        <v>44528</v>
      </c>
    </row>
    <row r="161" spans="1:11" ht="14.4" customHeight="1" x14ac:dyDescent="0.3">
      <c r="A161" s="615" t="s">
        <v>471</v>
      </c>
      <c r="B161" s="616" t="s">
        <v>2151</v>
      </c>
      <c r="C161" s="617" t="s">
        <v>476</v>
      </c>
      <c r="D161" s="618" t="s">
        <v>2152</v>
      </c>
      <c r="E161" s="617" t="s">
        <v>2988</v>
      </c>
      <c r="F161" s="618" t="s">
        <v>2989</v>
      </c>
      <c r="G161" s="617" t="s">
        <v>2706</v>
      </c>
      <c r="H161" s="617" t="s">
        <v>2707</v>
      </c>
      <c r="I161" s="619">
        <v>24.4</v>
      </c>
      <c r="J161" s="619">
        <v>800</v>
      </c>
      <c r="K161" s="620">
        <v>19523.11</v>
      </c>
    </row>
    <row r="162" spans="1:11" ht="14.4" customHeight="1" x14ac:dyDescent="0.3">
      <c r="A162" s="615" t="s">
        <v>471</v>
      </c>
      <c r="B162" s="616" t="s">
        <v>2151</v>
      </c>
      <c r="C162" s="617" t="s">
        <v>476</v>
      </c>
      <c r="D162" s="618" t="s">
        <v>2152</v>
      </c>
      <c r="E162" s="617" t="s">
        <v>2988</v>
      </c>
      <c r="F162" s="618" t="s">
        <v>2989</v>
      </c>
      <c r="G162" s="617" t="s">
        <v>2708</v>
      </c>
      <c r="H162" s="617" t="s">
        <v>2709</v>
      </c>
      <c r="I162" s="619">
        <v>484.04</v>
      </c>
      <c r="J162" s="619">
        <v>20</v>
      </c>
      <c r="K162" s="620">
        <v>9680.7200000000012</v>
      </c>
    </row>
    <row r="163" spans="1:11" ht="14.4" customHeight="1" x14ac:dyDescent="0.3">
      <c r="A163" s="615" t="s">
        <v>471</v>
      </c>
      <c r="B163" s="616" t="s">
        <v>2151</v>
      </c>
      <c r="C163" s="617" t="s">
        <v>476</v>
      </c>
      <c r="D163" s="618" t="s">
        <v>2152</v>
      </c>
      <c r="E163" s="617" t="s">
        <v>2988</v>
      </c>
      <c r="F163" s="618" t="s">
        <v>2989</v>
      </c>
      <c r="G163" s="617" t="s">
        <v>2710</v>
      </c>
      <c r="H163" s="617" t="s">
        <v>2711</v>
      </c>
      <c r="I163" s="619">
        <v>9.1999999999999993</v>
      </c>
      <c r="J163" s="619">
        <v>10</v>
      </c>
      <c r="K163" s="620">
        <v>92</v>
      </c>
    </row>
    <row r="164" spans="1:11" ht="14.4" customHeight="1" x14ac:dyDescent="0.3">
      <c r="A164" s="615" t="s">
        <v>471</v>
      </c>
      <c r="B164" s="616" t="s">
        <v>2151</v>
      </c>
      <c r="C164" s="617" t="s">
        <v>476</v>
      </c>
      <c r="D164" s="618" t="s">
        <v>2152</v>
      </c>
      <c r="E164" s="617" t="s">
        <v>2988</v>
      </c>
      <c r="F164" s="618" t="s">
        <v>2989</v>
      </c>
      <c r="G164" s="617" t="s">
        <v>2712</v>
      </c>
      <c r="H164" s="617" t="s">
        <v>2713</v>
      </c>
      <c r="I164" s="619">
        <v>2.34</v>
      </c>
      <c r="J164" s="619">
        <v>100</v>
      </c>
      <c r="K164" s="620">
        <v>233.77</v>
      </c>
    </row>
    <row r="165" spans="1:11" ht="14.4" customHeight="1" x14ac:dyDescent="0.3">
      <c r="A165" s="615" t="s">
        <v>471</v>
      </c>
      <c r="B165" s="616" t="s">
        <v>2151</v>
      </c>
      <c r="C165" s="617" t="s">
        <v>476</v>
      </c>
      <c r="D165" s="618" t="s">
        <v>2152</v>
      </c>
      <c r="E165" s="617" t="s">
        <v>2988</v>
      </c>
      <c r="F165" s="618" t="s">
        <v>2989</v>
      </c>
      <c r="G165" s="617" t="s">
        <v>2714</v>
      </c>
      <c r="H165" s="617" t="s">
        <v>2715</v>
      </c>
      <c r="I165" s="619">
        <v>411.39999999999992</v>
      </c>
      <c r="J165" s="619">
        <v>40</v>
      </c>
      <c r="K165" s="620">
        <v>16456</v>
      </c>
    </row>
    <row r="166" spans="1:11" ht="14.4" customHeight="1" x14ac:dyDescent="0.3">
      <c r="A166" s="615" t="s">
        <v>471</v>
      </c>
      <c r="B166" s="616" t="s">
        <v>2151</v>
      </c>
      <c r="C166" s="617" t="s">
        <v>476</v>
      </c>
      <c r="D166" s="618" t="s">
        <v>2152</v>
      </c>
      <c r="E166" s="617" t="s">
        <v>2988</v>
      </c>
      <c r="F166" s="618" t="s">
        <v>2989</v>
      </c>
      <c r="G166" s="617" t="s">
        <v>2716</v>
      </c>
      <c r="H166" s="617" t="s">
        <v>2717</v>
      </c>
      <c r="I166" s="619">
        <v>20.57</v>
      </c>
      <c r="J166" s="619">
        <v>20</v>
      </c>
      <c r="K166" s="620">
        <v>411.4</v>
      </c>
    </row>
    <row r="167" spans="1:11" ht="14.4" customHeight="1" x14ac:dyDescent="0.3">
      <c r="A167" s="615" t="s">
        <v>471</v>
      </c>
      <c r="B167" s="616" t="s">
        <v>2151</v>
      </c>
      <c r="C167" s="617" t="s">
        <v>476</v>
      </c>
      <c r="D167" s="618" t="s">
        <v>2152</v>
      </c>
      <c r="E167" s="617" t="s">
        <v>2988</v>
      </c>
      <c r="F167" s="618" t="s">
        <v>2989</v>
      </c>
      <c r="G167" s="617" t="s">
        <v>2718</v>
      </c>
      <c r="H167" s="617" t="s">
        <v>2719</v>
      </c>
      <c r="I167" s="619">
        <v>650.33000000000004</v>
      </c>
      <c r="J167" s="619">
        <v>1</v>
      </c>
      <c r="K167" s="620">
        <v>650.33000000000004</v>
      </c>
    </row>
    <row r="168" spans="1:11" ht="14.4" customHeight="1" x14ac:dyDescent="0.3">
      <c r="A168" s="615" t="s">
        <v>471</v>
      </c>
      <c r="B168" s="616" t="s">
        <v>2151</v>
      </c>
      <c r="C168" s="617" t="s">
        <v>476</v>
      </c>
      <c r="D168" s="618" t="s">
        <v>2152</v>
      </c>
      <c r="E168" s="617" t="s">
        <v>2988</v>
      </c>
      <c r="F168" s="618" t="s">
        <v>2989</v>
      </c>
      <c r="G168" s="617" t="s">
        <v>2720</v>
      </c>
      <c r="H168" s="617" t="s">
        <v>2721</v>
      </c>
      <c r="I168" s="619">
        <v>96.32</v>
      </c>
      <c r="J168" s="619">
        <v>42</v>
      </c>
      <c r="K168" s="620">
        <v>4045.39</v>
      </c>
    </row>
    <row r="169" spans="1:11" ht="14.4" customHeight="1" x14ac:dyDescent="0.3">
      <c r="A169" s="615" t="s">
        <v>471</v>
      </c>
      <c r="B169" s="616" t="s">
        <v>2151</v>
      </c>
      <c r="C169" s="617" t="s">
        <v>476</v>
      </c>
      <c r="D169" s="618" t="s">
        <v>2152</v>
      </c>
      <c r="E169" s="617" t="s">
        <v>2988</v>
      </c>
      <c r="F169" s="618" t="s">
        <v>2989</v>
      </c>
      <c r="G169" s="617" t="s">
        <v>2722</v>
      </c>
      <c r="H169" s="617" t="s">
        <v>2723</v>
      </c>
      <c r="I169" s="619">
        <v>153.11000000000001</v>
      </c>
      <c r="J169" s="619">
        <v>10</v>
      </c>
      <c r="K169" s="620">
        <v>1531.12</v>
      </c>
    </row>
    <row r="170" spans="1:11" ht="14.4" customHeight="1" x14ac:dyDescent="0.3">
      <c r="A170" s="615" t="s">
        <v>471</v>
      </c>
      <c r="B170" s="616" t="s">
        <v>2151</v>
      </c>
      <c r="C170" s="617" t="s">
        <v>476</v>
      </c>
      <c r="D170" s="618" t="s">
        <v>2152</v>
      </c>
      <c r="E170" s="617" t="s">
        <v>2988</v>
      </c>
      <c r="F170" s="618" t="s">
        <v>2989</v>
      </c>
      <c r="G170" s="617" t="s">
        <v>2724</v>
      </c>
      <c r="H170" s="617" t="s">
        <v>2725</v>
      </c>
      <c r="I170" s="619">
        <v>9.2000000000000011</v>
      </c>
      <c r="J170" s="619">
        <v>3500</v>
      </c>
      <c r="K170" s="620">
        <v>32200</v>
      </c>
    </row>
    <row r="171" spans="1:11" ht="14.4" customHeight="1" x14ac:dyDescent="0.3">
      <c r="A171" s="615" t="s">
        <v>471</v>
      </c>
      <c r="B171" s="616" t="s">
        <v>2151</v>
      </c>
      <c r="C171" s="617" t="s">
        <v>476</v>
      </c>
      <c r="D171" s="618" t="s">
        <v>2152</v>
      </c>
      <c r="E171" s="617" t="s">
        <v>2988</v>
      </c>
      <c r="F171" s="618" t="s">
        <v>2989</v>
      </c>
      <c r="G171" s="617" t="s">
        <v>2726</v>
      </c>
      <c r="H171" s="617" t="s">
        <v>2727</v>
      </c>
      <c r="I171" s="619">
        <v>172.5</v>
      </c>
      <c r="J171" s="619">
        <v>4</v>
      </c>
      <c r="K171" s="620">
        <v>690</v>
      </c>
    </row>
    <row r="172" spans="1:11" ht="14.4" customHeight="1" x14ac:dyDescent="0.3">
      <c r="A172" s="615" t="s">
        <v>471</v>
      </c>
      <c r="B172" s="616" t="s">
        <v>2151</v>
      </c>
      <c r="C172" s="617" t="s">
        <v>476</v>
      </c>
      <c r="D172" s="618" t="s">
        <v>2152</v>
      </c>
      <c r="E172" s="617" t="s">
        <v>2988</v>
      </c>
      <c r="F172" s="618" t="s">
        <v>2989</v>
      </c>
      <c r="G172" s="617" t="s">
        <v>2728</v>
      </c>
      <c r="H172" s="617" t="s">
        <v>2729</v>
      </c>
      <c r="I172" s="619">
        <v>15.73</v>
      </c>
      <c r="J172" s="619">
        <v>840</v>
      </c>
      <c r="K172" s="620">
        <v>13213.2</v>
      </c>
    </row>
    <row r="173" spans="1:11" ht="14.4" customHeight="1" x14ac:dyDescent="0.3">
      <c r="A173" s="615" t="s">
        <v>471</v>
      </c>
      <c r="B173" s="616" t="s">
        <v>2151</v>
      </c>
      <c r="C173" s="617" t="s">
        <v>476</v>
      </c>
      <c r="D173" s="618" t="s">
        <v>2152</v>
      </c>
      <c r="E173" s="617" t="s">
        <v>2988</v>
      </c>
      <c r="F173" s="618" t="s">
        <v>2989</v>
      </c>
      <c r="G173" s="617" t="s">
        <v>2730</v>
      </c>
      <c r="H173" s="617" t="s">
        <v>2731</v>
      </c>
      <c r="I173" s="619">
        <v>14.52</v>
      </c>
      <c r="J173" s="619">
        <v>160</v>
      </c>
      <c r="K173" s="620">
        <v>2323.1999999999998</v>
      </c>
    </row>
    <row r="174" spans="1:11" ht="14.4" customHeight="1" x14ac:dyDescent="0.3">
      <c r="A174" s="615" t="s">
        <v>471</v>
      </c>
      <c r="B174" s="616" t="s">
        <v>2151</v>
      </c>
      <c r="C174" s="617" t="s">
        <v>476</v>
      </c>
      <c r="D174" s="618" t="s">
        <v>2152</v>
      </c>
      <c r="E174" s="617" t="s">
        <v>2988</v>
      </c>
      <c r="F174" s="618" t="s">
        <v>2989</v>
      </c>
      <c r="G174" s="617" t="s">
        <v>2732</v>
      </c>
      <c r="H174" s="617" t="s">
        <v>2733</v>
      </c>
      <c r="I174" s="619">
        <v>124.63</v>
      </c>
      <c r="J174" s="619">
        <v>250</v>
      </c>
      <c r="K174" s="620">
        <v>31157.5</v>
      </c>
    </row>
    <row r="175" spans="1:11" ht="14.4" customHeight="1" x14ac:dyDescent="0.3">
      <c r="A175" s="615" t="s">
        <v>471</v>
      </c>
      <c r="B175" s="616" t="s">
        <v>2151</v>
      </c>
      <c r="C175" s="617" t="s">
        <v>476</v>
      </c>
      <c r="D175" s="618" t="s">
        <v>2152</v>
      </c>
      <c r="E175" s="617" t="s">
        <v>2988</v>
      </c>
      <c r="F175" s="618" t="s">
        <v>2989</v>
      </c>
      <c r="G175" s="617" t="s">
        <v>2734</v>
      </c>
      <c r="H175" s="617" t="s">
        <v>2735</v>
      </c>
      <c r="I175" s="619">
        <v>82.15666666666668</v>
      </c>
      <c r="J175" s="619">
        <v>96</v>
      </c>
      <c r="K175" s="620">
        <v>7886.7000000000007</v>
      </c>
    </row>
    <row r="176" spans="1:11" ht="14.4" customHeight="1" x14ac:dyDescent="0.3">
      <c r="A176" s="615" t="s">
        <v>471</v>
      </c>
      <c r="B176" s="616" t="s">
        <v>2151</v>
      </c>
      <c r="C176" s="617" t="s">
        <v>476</v>
      </c>
      <c r="D176" s="618" t="s">
        <v>2152</v>
      </c>
      <c r="E176" s="617" t="s">
        <v>2988</v>
      </c>
      <c r="F176" s="618" t="s">
        <v>2989</v>
      </c>
      <c r="G176" s="617" t="s">
        <v>2736</v>
      </c>
      <c r="H176" s="617" t="s">
        <v>2737</v>
      </c>
      <c r="I176" s="619">
        <v>1234.2</v>
      </c>
      <c r="J176" s="619">
        <v>20</v>
      </c>
      <c r="K176" s="620">
        <v>24684</v>
      </c>
    </row>
    <row r="177" spans="1:11" ht="14.4" customHeight="1" x14ac:dyDescent="0.3">
      <c r="A177" s="615" t="s">
        <v>471</v>
      </c>
      <c r="B177" s="616" t="s">
        <v>2151</v>
      </c>
      <c r="C177" s="617" t="s">
        <v>476</v>
      </c>
      <c r="D177" s="618" t="s">
        <v>2152</v>
      </c>
      <c r="E177" s="617" t="s">
        <v>2988</v>
      </c>
      <c r="F177" s="618" t="s">
        <v>2989</v>
      </c>
      <c r="G177" s="617" t="s">
        <v>2738</v>
      </c>
      <c r="H177" s="617" t="s">
        <v>2739</v>
      </c>
      <c r="I177" s="619">
        <v>153.11250000000001</v>
      </c>
      <c r="J177" s="619">
        <v>30</v>
      </c>
      <c r="K177" s="620">
        <v>4593.3899999999994</v>
      </c>
    </row>
    <row r="178" spans="1:11" ht="14.4" customHeight="1" x14ac:dyDescent="0.3">
      <c r="A178" s="615" t="s">
        <v>471</v>
      </c>
      <c r="B178" s="616" t="s">
        <v>2151</v>
      </c>
      <c r="C178" s="617" t="s">
        <v>476</v>
      </c>
      <c r="D178" s="618" t="s">
        <v>2152</v>
      </c>
      <c r="E178" s="617" t="s">
        <v>2988</v>
      </c>
      <c r="F178" s="618" t="s">
        <v>2989</v>
      </c>
      <c r="G178" s="617" t="s">
        <v>2740</v>
      </c>
      <c r="H178" s="617" t="s">
        <v>2741</v>
      </c>
      <c r="I178" s="619">
        <v>302.5</v>
      </c>
      <c r="J178" s="619">
        <v>4</v>
      </c>
      <c r="K178" s="620">
        <v>1210</v>
      </c>
    </row>
    <row r="179" spans="1:11" ht="14.4" customHeight="1" x14ac:dyDescent="0.3">
      <c r="A179" s="615" t="s">
        <v>471</v>
      </c>
      <c r="B179" s="616" t="s">
        <v>2151</v>
      </c>
      <c r="C179" s="617" t="s">
        <v>476</v>
      </c>
      <c r="D179" s="618" t="s">
        <v>2152</v>
      </c>
      <c r="E179" s="617" t="s">
        <v>2988</v>
      </c>
      <c r="F179" s="618" t="s">
        <v>2989</v>
      </c>
      <c r="G179" s="617" t="s">
        <v>2742</v>
      </c>
      <c r="H179" s="617" t="s">
        <v>2743</v>
      </c>
      <c r="I179" s="619">
        <v>1805.3</v>
      </c>
      <c r="J179" s="619">
        <v>2</v>
      </c>
      <c r="K179" s="620">
        <v>3610.6</v>
      </c>
    </row>
    <row r="180" spans="1:11" ht="14.4" customHeight="1" x14ac:dyDescent="0.3">
      <c r="A180" s="615" t="s">
        <v>471</v>
      </c>
      <c r="B180" s="616" t="s">
        <v>2151</v>
      </c>
      <c r="C180" s="617" t="s">
        <v>476</v>
      </c>
      <c r="D180" s="618" t="s">
        <v>2152</v>
      </c>
      <c r="E180" s="617" t="s">
        <v>2988</v>
      </c>
      <c r="F180" s="618" t="s">
        <v>2989</v>
      </c>
      <c r="G180" s="617" t="s">
        <v>2744</v>
      </c>
      <c r="H180" s="617" t="s">
        <v>2745</v>
      </c>
      <c r="I180" s="619">
        <v>17.91</v>
      </c>
      <c r="J180" s="619">
        <v>20</v>
      </c>
      <c r="K180" s="620">
        <v>358.14</v>
      </c>
    </row>
    <row r="181" spans="1:11" ht="14.4" customHeight="1" x14ac:dyDescent="0.3">
      <c r="A181" s="615" t="s">
        <v>471</v>
      </c>
      <c r="B181" s="616" t="s">
        <v>2151</v>
      </c>
      <c r="C181" s="617" t="s">
        <v>476</v>
      </c>
      <c r="D181" s="618" t="s">
        <v>2152</v>
      </c>
      <c r="E181" s="617" t="s">
        <v>2988</v>
      </c>
      <c r="F181" s="618" t="s">
        <v>2989</v>
      </c>
      <c r="G181" s="617" t="s">
        <v>2746</v>
      </c>
      <c r="H181" s="617" t="s">
        <v>2747</v>
      </c>
      <c r="I181" s="619">
        <v>24.3</v>
      </c>
      <c r="J181" s="619">
        <v>5</v>
      </c>
      <c r="K181" s="620">
        <v>121.5</v>
      </c>
    </row>
    <row r="182" spans="1:11" ht="14.4" customHeight="1" x14ac:dyDescent="0.3">
      <c r="A182" s="615" t="s">
        <v>471</v>
      </c>
      <c r="B182" s="616" t="s">
        <v>2151</v>
      </c>
      <c r="C182" s="617" t="s">
        <v>476</v>
      </c>
      <c r="D182" s="618" t="s">
        <v>2152</v>
      </c>
      <c r="E182" s="617" t="s">
        <v>2988</v>
      </c>
      <c r="F182" s="618" t="s">
        <v>2989</v>
      </c>
      <c r="G182" s="617" t="s">
        <v>2748</v>
      </c>
      <c r="H182" s="617" t="s">
        <v>2749</v>
      </c>
      <c r="I182" s="619">
        <v>1109.27</v>
      </c>
      <c r="J182" s="619">
        <v>2</v>
      </c>
      <c r="K182" s="620">
        <v>2218.54</v>
      </c>
    </row>
    <row r="183" spans="1:11" ht="14.4" customHeight="1" x14ac:dyDescent="0.3">
      <c r="A183" s="615" t="s">
        <v>471</v>
      </c>
      <c r="B183" s="616" t="s">
        <v>2151</v>
      </c>
      <c r="C183" s="617" t="s">
        <v>476</v>
      </c>
      <c r="D183" s="618" t="s">
        <v>2152</v>
      </c>
      <c r="E183" s="617" t="s">
        <v>2988</v>
      </c>
      <c r="F183" s="618" t="s">
        <v>2989</v>
      </c>
      <c r="G183" s="617" t="s">
        <v>2750</v>
      </c>
      <c r="H183" s="617" t="s">
        <v>2751</v>
      </c>
      <c r="I183" s="619">
        <v>343.53</v>
      </c>
      <c r="J183" s="619">
        <v>15</v>
      </c>
      <c r="K183" s="620">
        <v>5152.78</v>
      </c>
    </row>
    <row r="184" spans="1:11" ht="14.4" customHeight="1" x14ac:dyDescent="0.3">
      <c r="A184" s="615" t="s">
        <v>471</v>
      </c>
      <c r="B184" s="616" t="s">
        <v>2151</v>
      </c>
      <c r="C184" s="617" t="s">
        <v>476</v>
      </c>
      <c r="D184" s="618" t="s">
        <v>2152</v>
      </c>
      <c r="E184" s="617" t="s">
        <v>2988</v>
      </c>
      <c r="F184" s="618" t="s">
        <v>2989</v>
      </c>
      <c r="G184" s="617" t="s">
        <v>2752</v>
      </c>
      <c r="H184" s="617" t="s">
        <v>2753</v>
      </c>
      <c r="I184" s="619">
        <v>4123.2749999999996</v>
      </c>
      <c r="J184" s="619">
        <v>3</v>
      </c>
      <c r="K184" s="620">
        <v>12369.83</v>
      </c>
    </row>
    <row r="185" spans="1:11" ht="14.4" customHeight="1" x14ac:dyDescent="0.3">
      <c r="A185" s="615" t="s">
        <v>471</v>
      </c>
      <c r="B185" s="616" t="s">
        <v>2151</v>
      </c>
      <c r="C185" s="617" t="s">
        <v>476</v>
      </c>
      <c r="D185" s="618" t="s">
        <v>2152</v>
      </c>
      <c r="E185" s="617" t="s">
        <v>2988</v>
      </c>
      <c r="F185" s="618" t="s">
        <v>2989</v>
      </c>
      <c r="G185" s="617" t="s">
        <v>2754</v>
      </c>
      <c r="H185" s="617" t="s">
        <v>2755</v>
      </c>
      <c r="I185" s="619">
        <v>3533.5</v>
      </c>
      <c r="J185" s="619">
        <v>1</v>
      </c>
      <c r="K185" s="620">
        <v>3533.5</v>
      </c>
    </row>
    <row r="186" spans="1:11" ht="14.4" customHeight="1" x14ac:dyDescent="0.3">
      <c r="A186" s="615" t="s">
        <v>471</v>
      </c>
      <c r="B186" s="616" t="s">
        <v>2151</v>
      </c>
      <c r="C186" s="617" t="s">
        <v>476</v>
      </c>
      <c r="D186" s="618" t="s">
        <v>2152</v>
      </c>
      <c r="E186" s="617" t="s">
        <v>2988</v>
      </c>
      <c r="F186" s="618" t="s">
        <v>2989</v>
      </c>
      <c r="G186" s="617" t="s">
        <v>2756</v>
      </c>
      <c r="H186" s="617" t="s">
        <v>2757</v>
      </c>
      <c r="I186" s="619">
        <v>3.8700000000000006</v>
      </c>
      <c r="J186" s="619">
        <v>1200</v>
      </c>
      <c r="K186" s="620">
        <v>4646.3999999999996</v>
      </c>
    </row>
    <row r="187" spans="1:11" ht="14.4" customHeight="1" x14ac:dyDescent="0.3">
      <c r="A187" s="615" t="s">
        <v>471</v>
      </c>
      <c r="B187" s="616" t="s">
        <v>2151</v>
      </c>
      <c r="C187" s="617" t="s">
        <v>476</v>
      </c>
      <c r="D187" s="618" t="s">
        <v>2152</v>
      </c>
      <c r="E187" s="617" t="s">
        <v>2988</v>
      </c>
      <c r="F187" s="618" t="s">
        <v>2989</v>
      </c>
      <c r="G187" s="617" t="s">
        <v>2758</v>
      </c>
      <c r="H187" s="617" t="s">
        <v>2759</v>
      </c>
      <c r="I187" s="619">
        <v>82.2</v>
      </c>
      <c r="J187" s="619">
        <v>30</v>
      </c>
      <c r="K187" s="620">
        <v>2465.96</v>
      </c>
    </row>
    <row r="188" spans="1:11" ht="14.4" customHeight="1" x14ac:dyDescent="0.3">
      <c r="A188" s="615" t="s">
        <v>471</v>
      </c>
      <c r="B188" s="616" t="s">
        <v>2151</v>
      </c>
      <c r="C188" s="617" t="s">
        <v>476</v>
      </c>
      <c r="D188" s="618" t="s">
        <v>2152</v>
      </c>
      <c r="E188" s="617" t="s">
        <v>2988</v>
      </c>
      <c r="F188" s="618" t="s">
        <v>2989</v>
      </c>
      <c r="G188" s="617" t="s">
        <v>2760</v>
      </c>
      <c r="H188" s="617" t="s">
        <v>2761</v>
      </c>
      <c r="I188" s="619">
        <v>627.64</v>
      </c>
      <c r="J188" s="619">
        <v>1</v>
      </c>
      <c r="K188" s="620">
        <v>627.64</v>
      </c>
    </row>
    <row r="189" spans="1:11" ht="14.4" customHeight="1" x14ac:dyDescent="0.3">
      <c r="A189" s="615" t="s">
        <v>471</v>
      </c>
      <c r="B189" s="616" t="s">
        <v>2151</v>
      </c>
      <c r="C189" s="617" t="s">
        <v>476</v>
      </c>
      <c r="D189" s="618" t="s">
        <v>2152</v>
      </c>
      <c r="E189" s="617" t="s">
        <v>2988</v>
      </c>
      <c r="F189" s="618" t="s">
        <v>2989</v>
      </c>
      <c r="G189" s="617" t="s">
        <v>2762</v>
      </c>
      <c r="H189" s="617" t="s">
        <v>2763</v>
      </c>
      <c r="I189" s="619">
        <v>96.8</v>
      </c>
      <c r="J189" s="619">
        <v>160</v>
      </c>
      <c r="K189" s="620">
        <v>15488</v>
      </c>
    </row>
    <row r="190" spans="1:11" ht="14.4" customHeight="1" x14ac:dyDescent="0.3">
      <c r="A190" s="615" t="s">
        <v>471</v>
      </c>
      <c r="B190" s="616" t="s">
        <v>2151</v>
      </c>
      <c r="C190" s="617" t="s">
        <v>476</v>
      </c>
      <c r="D190" s="618" t="s">
        <v>2152</v>
      </c>
      <c r="E190" s="617" t="s">
        <v>2988</v>
      </c>
      <c r="F190" s="618" t="s">
        <v>2989</v>
      </c>
      <c r="G190" s="617" t="s">
        <v>2764</v>
      </c>
      <c r="H190" s="617" t="s">
        <v>2765</v>
      </c>
      <c r="I190" s="619">
        <v>15.13</v>
      </c>
      <c r="J190" s="619">
        <v>1000</v>
      </c>
      <c r="K190" s="620">
        <v>15125</v>
      </c>
    </row>
    <row r="191" spans="1:11" ht="14.4" customHeight="1" x14ac:dyDescent="0.3">
      <c r="A191" s="615" t="s">
        <v>471</v>
      </c>
      <c r="B191" s="616" t="s">
        <v>2151</v>
      </c>
      <c r="C191" s="617" t="s">
        <v>476</v>
      </c>
      <c r="D191" s="618" t="s">
        <v>2152</v>
      </c>
      <c r="E191" s="617" t="s">
        <v>2988</v>
      </c>
      <c r="F191" s="618" t="s">
        <v>2989</v>
      </c>
      <c r="G191" s="617" t="s">
        <v>2766</v>
      </c>
      <c r="H191" s="617" t="s">
        <v>2767</v>
      </c>
      <c r="I191" s="619">
        <v>168.19</v>
      </c>
      <c r="J191" s="619">
        <v>10</v>
      </c>
      <c r="K191" s="620">
        <v>1681.9</v>
      </c>
    </row>
    <row r="192" spans="1:11" ht="14.4" customHeight="1" x14ac:dyDescent="0.3">
      <c r="A192" s="615" t="s">
        <v>471</v>
      </c>
      <c r="B192" s="616" t="s">
        <v>2151</v>
      </c>
      <c r="C192" s="617" t="s">
        <v>476</v>
      </c>
      <c r="D192" s="618" t="s">
        <v>2152</v>
      </c>
      <c r="E192" s="617" t="s">
        <v>2988</v>
      </c>
      <c r="F192" s="618" t="s">
        <v>2989</v>
      </c>
      <c r="G192" s="617" t="s">
        <v>2768</v>
      </c>
      <c r="H192" s="617" t="s">
        <v>2769</v>
      </c>
      <c r="I192" s="619">
        <v>136.54000000000002</v>
      </c>
      <c r="J192" s="619">
        <v>10</v>
      </c>
      <c r="K192" s="620">
        <v>1365.4</v>
      </c>
    </row>
    <row r="193" spans="1:11" ht="14.4" customHeight="1" x14ac:dyDescent="0.3">
      <c r="A193" s="615" t="s">
        <v>471</v>
      </c>
      <c r="B193" s="616" t="s">
        <v>2151</v>
      </c>
      <c r="C193" s="617" t="s">
        <v>476</v>
      </c>
      <c r="D193" s="618" t="s">
        <v>2152</v>
      </c>
      <c r="E193" s="617" t="s">
        <v>2988</v>
      </c>
      <c r="F193" s="618" t="s">
        <v>2989</v>
      </c>
      <c r="G193" s="617" t="s">
        <v>2770</v>
      </c>
      <c r="H193" s="617" t="s">
        <v>2771</v>
      </c>
      <c r="I193" s="619">
        <v>3.4170000000000003</v>
      </c>
      <c r="J193" s="619">
        <v>5560</v>
      </c>
      <c r="K193" s="620">
        <v>18990.600000000002</v>
      </c>
    </row>
    <row r="194" spans="1:11" ht="14.4" customHeight="1" x14ac:dyDescent="0.3">
      <c r="A194" s="615" t="s">
        <v>471</v>
      </c>
      <c r="B194" s="616" t="s">
        <v>2151</v>
      </c>
      <c r="C194" s="617" t="s">
        <v>476</v>
      </c>
      <c r="D194" s="618" t="s">
        <v>2152</v>
      </c>
      <c r="E194" s="617" t="s">
        <v>2988</v>
      </c>
      <c r="F194" s="618" t="s">
        <v>2989</v>
      </c>
      <c r="G194" s="617" t="s">
        <v>2772</v>
      </c>
      <c r="H194" s="617" t="s">
        <v>2773</v>
      </c>
      <c r="I194" s="619">
        <v>3.42</v>
      </c>
      <c r="J194" s="619">
        <v>520</v>
      </c>
      <c r="K194" s="620">
        <v>1778.4</v>
      </c>
    </row>
    <row r="195" spans="1:11" ht="14.4" customHeight="1" x14ac:dyDescent="0.3">
      <c r="A195" s="615" t="s">
        <v>471</v>
      </c>
      <c r="B195" s="616" t="s">
        <v>2151</v>
      </c>
      <c r="C195" s="617" t="s">
        <v>476</v>
      </c>
      <c r="D195" s="618" t="s">
        <v>2152</v>
      </c>
      <c r="E195" s="617" t="s">
        <v>2988</v>
      </c>
      <c r="F195" s="618" t="s">
        <v>2989</v>
      </c>
      <c r="G195" s="617" t="s">
        <v>2774</v>
      </c>
      <c r="H195" s="617" t="s">
        <v>2775</v>
      </c>
      <c r="I195" s="619">
        <v>6.0683333333333325</v>
      </c>
      <c r="J195" s="619">
        <v>1500</v>
      </c>
      <c r="K195" s="620">
        <v>9101</v>
      </c>
    </row>
    <row r="196" spans="1:11" ht="14.4" customHeight="1" x14ac:dyDescent="0.3">
      <c r="A196" s="615" t="s">
        <v>471</v>
      </c>
      <c r="B196" s="616" t="s">
        <v>2151</v>
      </c>
      <c r="C196" s="617" t="s">
        <v>476</v>
      </c>
      <c r="D196" s="618" t="s">
        <v>2152</v>
      </c>
      <c r="E196" s="617" t="s">
        <v>2988</v>
      </c>
      <c r="F196" s="618" t="s">
        <v>2989</v>
      </c>
      <c r="G196" s="617" t="s">
        <v>2776</v>
      </c>
      <c r="H196" s="617" t="s">
        <v>2777</v>
      </c>
      <c r="I196" s="619">
        <v>82.2</v>
      </c>
      <c r="J196" s="619">
        <v>30</v>
      </c>
      <c r="K196" s="620">
        <v>2465.9899999999998</v>
      </c>
    </row>
    <row r="197" spans="1:11" ht="14.4" customHeight="1" x14ac:dyDescent="0.3">
      <c r="A197" s="615" t="s">
        <v>471</v>
      </c>
      <c r="B197" s="616" t="s">
        <v>2151</v>
      </c>
      <c r="C197" s="617" t="s">
        <v>476</v>
      </c>
      <c r="D197" s="618" t="s">
        <v>2152</v>
      </c>
      <c r="E197" s="617" t="s">
        <v>2988</v>
      </c>
      <c r="F197" s="618" t="s">
        <v>2989</v>
      </c>
      <c r="G197" s="617" t="s">
        <v>2778</v>
      </c>
      <c r="H197" s="617" t="s">
        <v>2779</v>
      </c>
      <c r="I197" s="619">
        <v>9.4366666666666656</v>
      </c>
      <c r="J197" s="619">
        <v>3000</v>
      </c>
      <c r="K197" s="620">
        <v>28310</v>
      </c>
    </row>
    <row r="198" spans="1:11" ht="14.4" customHeight="1" x14ac:dyDescent="0.3">
      <c r="A198" s="615" t="s">
        <v>471</v>
      </c>
      <c r="B198" s="616" t="s">
        <v>2151</v>
      </c>
      <c r="C198" s="617" t="s">
        <v>476</v>
      </c>
      <c r="D198" s="618" t="s">
        <v>2152</v>
      </c>
      <c r="E198" s="617" t="s">
        <v>2988</v>
      </c>
      <c r="F198" s="618" t="s">
        <v>2989</v>
      </c>
      <c r="G198" s="617" t="s">
        <v>2780</v>
      </c>
      <c r="H198" s="617" t="s">
        <v>2781</v>
      </c>
      <c r="I198" s="619">
        <v>22.99</v>
      </c>
      <c r="J198" s="619">
        <v>30</v>
      </c>
      <c r="K198" s="620">
        <v>689.7</v>
      </c>
    </row>
    <row r="199" spans="1:11" ht="14.4" customHeight="1" x14ac:dyDescent="0.3">
      <c r="A199" s="615" t="s">
        <v>471</v>
      </c>
      <c r="B199" s="616" t="s">
        <v>2151</v>
      </c>
      <c r="C199" s="617" t="s">
        <v>476</v>
      </c>
      <c r="D199" s="618" t="s">
        <v>2152</v>
      </c>
      <c r="E199" s="617" t="s">
        <v>2988</v>
      </c>
      <c r="F199" s="618" t="s">
        <v>2989</v>
      </c>
      <c r="G199" s="617" t="s">
        <v>2782</v>
      </c>
      <c r="H199" s="617" t="s">
        <v>2783</v>
      </c>
      <c r="I199" s="619">
        <v>22.99</v>
      </c>
      <c r="J199" s="619">
        <v>50</v>
      </c>
      <c r="K199" s="620">
        <v>1149.5</v>
      </c>
    </row>
    <row r="200" spans="1:11" ht="14.4" customHeight="1" x14ac:dyDescent="0.3">
      <c r="A200" s="615" t="s">
        <v>471</v>
      </c>
      <c r="B200" s="616" t="s">
        <v>2151</v>
      </c>
      <c r="C200" s="617" t="s">
        <v>476</v>
      </c>
      <c r="D200" s="618" t="s">
        <v>2152</v>
      </c>
      <c r="E200" s="617" t="s">
        <v>2988</v>
      </c>
      <c r="F200" s="618" t="s">
        <v>2989</v>
      </c>
      <c r="G200" s="617" t="s">
        <v>2784</v>
      </c>
      <c r="H200" s="617" t="s">
        <v>2785</v>
      </c>
      <c r="I200" s="619">
        <v>22.99</v>
      </c>
      <c r="J200" s="619">
        <v>10</v>
      </c>
      <c r="K200" s="620">
        <v>229.9</v>
      </c>
    </row>
    <row r="201" spans="1:11" ht="14.4" customHeight="1" x14ac:dyDescent="0.3">
      <c r="A201" s="615" t="s">
        <v>471</v>
      </c>
      <c r="B201" s="616" t="s">
        <v>2151</v>
      </c>
      <c r="C201" s="617" t="s">
        <v>476</v>
      </c>
      <c r="D201" s="618" t="s">
        <v>2152</v>
      </c>
      <c r="E201" s="617" t="s">
        <v>2988</v>
      </c>
      <c r="F201" s="618" t="s">
        <v>2989</v>
      </c>
      <c r="G201" s="617" t="s">
        <v>2786</v>
      </c>
      <c r="H201" s="617" t="s">
        <v>2787</v>
      </c>
      <c r="I201" s="619">
        <v>82.2</v>
      </c>
      <c r="J201" s="619">
        <v>10</v>
      </c>
      <c r="K201" s="620">
        <v>821.99</v>
      </c>
    </row>
    <row r="202" spans="1:11" ht="14.4" customHeight="1" x14ac:dyDescent="0.3">
      <c r="A202" s="615" t="s">
        <v>471</v>
      </c>
      <c r="B202" s="616" t="s">
        <v>2151</v>
      </c>
      <c r="C202" s="617" t="s">
        <v>476</v>
      </c>
      <c r="D202" s="618" t="s">
        <v>2152</v>
      </c>
      <c r="E202" s="617" t="s">
        <v>2988</v>
      </c>
      <c r="F202" s="618" t="s">
        <v>2989</v>
      </c>
      <c r="G202" s="617" t="s">
        <v>2788</v>
      </c>
      <c r="H202" s="617" t="s">
        <v>2789</v>
      </c>
      <c r="I202" s="619">
        <v>139.35</v>
      </c>
      <c r="J202" s="619">
        <v>5</v>
      </c>
      <c r="K202" s="620">
        <v>696.75</v>
      </c>
    </row>
    <row r="203" spans="1:11" ht="14.4" customHeight="1" x14ac:dyDescent="0.3">
      <c r="A203" s="615" t="s">
        <v>471</v>
      </c>
      <c r="B203" s="616" t="s">
        <v>2151</v>
      </c>
      <c r="C203" s="617" t="s">
        <v>476</v>
      </c>
      <c r="D203" s="618" t="s">
        <v>2152</v>
      </c>
      <c r="E203" s="617" t="s">
        <v>2988</v>
      </c>
      <c r="F203" s="618" t="s">
        <v>2989</v>
      </c>
      <c r="G203" s="617" t="s">
        <v>2790</v>
      </c>
      <c r="H203" s="617" t="s">
        <v>2791</v>
      </c>
      <c r="I203" s="619">
        <v>62.77</v>
      </c>
      <c r="J203" s="619">
        <v>5</v>
      </c>
      <c r="K203" s="620">
        <v>313.85000000000002</v>
      </c>
    </row>
    <row r="204" spans="1:11" ht="14.4" customHeight="1" x14ac:dyDescent="0.3">
      <c r="A204" s="615" t="s">
        <v>471</v>
      </c>
      <c r="B204" s="616" t="s">
        <v>2151</v>
      </c>
      <c r="C204" s="617" t="s">
        <v>476</v>
      </c>
      <c r="D204" s="618" t="s">
        <v>2152</v>
      </c>
      <c r="E204" s="617" t="s">
        <v>2988</v>
      </c>
      <c r="F204" s="618" t="s">
        <v>2989</v>
      </c>
      <c r="G204" s="617" t="s">
        <v>2792</v>
      </c>
      <c r="H204" s="617" t="s">
        <v>2793</v>
      </c>
      <c r="I204" s="619">
        <v>83.13</v>
      </c>
      <c r="J204" s="619">
        <v>2</v>
      </c>
      <c r="K204" s="620">
        <v>166.25</v>
      </c>
    </row>
    <row r="205" spans="1:11" ht="14.4" customHeight="1" x14ac:dyDescent="0.3">
      <c r="A205" s="615" t="s">
        <v>471</v>
      </c>
      <c r="B205" s="616" t="s">
        <v>2151</v>
      </c>
      <c r="C205" s="617" t="s">
        <v>476</v>
      </c>
      <c r="D205" s="618" t="s">
        <v>2152</v>
      </c>
      <c r="E205" s="617" t="s">
        <v>2988</v>
      </c>
      <c r="F205" s="618" t="s">
        <v>2989</v>
      </c>
      <c r="G205" s="617" t="s">
        <v>2794</v>
      </c>
      <c r="H205" s="617" t="s">
        <v>2795</v>
      </c>
      <c r="I205" s="619">
        <v>67.159999999999982</v>
      </c>
      <c r="J205" s="619">
        <v>475</v>
      </c>
      <c r="K205" s="620">
        <v>31898.640000000003</v>
      </c>
    </row>
    <row r="206" spans="1:11" ht="14.4" customHeight="1" x14ac:dyDescent="0.3">
      <c r="A206" s="615" t="s">
        <v>471</v>
      </c>
      <c r="B206" s="616" t="s">
        <v>2151</v>
      </c>
      <c r="C206" s="617" t="s">
        <v>476</v>
      </c>
      <c r="D206" s="618" t="s">
        <v>2152</v>
      </c>
      <c r="E206" s="617" t="s">
        <v>2988</v>
      </c>
      <c r="F206" s="618" t="s">
        <v>2989</v>
      </c>
      <c r="G206" s="617" t="s">
        <v>2796</v>
      </c>
      <c r="H206" s="617" t="s">
        <v>2797</v>
      </c>
      <c r="I206" s="619">
        <v>156.37</v>
      </c>
      <c r="J206" s="619">
        <v>10</v>
      </c>
      <c r="K206" s="620">
        <v>1563.73</v>
      </c>
    </row>
    <row r="207" spans="1:11" ht="14.4" customHeight="1" x14ac:dyDescent="0.3">
      <c r="A207" s="615" t="s">
        <v>471</v>
      </c>
      <c r="B207" s="616" t="s">
        <v>2151</v>
      </c>
      <c r="C207" s="617" t="s">
        <v>476</v>
      </c>
      <c r="D207" s="618" t="s">
        <v>2152</v>
      </c>
      <c r="E207" s="617" t="s">
        <v>2988</v>
      </c>
      <c r="F207" s="618" t="s">
        <v>2989</v>
      </c>
      <c r="G207" s="617" t="s">
        <v>2798</v>
      </c>
      <c r="H207" s="617" t="s">
        <v>2799</v>
      </c>
      <c r="I207" s="619">
        <v>27.1</v>
      </c>
      <c r="J207" s="619">
        <v>40</v>
      </c>
      <c r="K207" s="620">
        <v>1084.1600000000001</v>
      </c>
    </row>
    <row r="208" spans="1:11" ht="14.4" customHeight="1" x14ac:dyDescent="0.3">
      <c r="A208" s="615" t="s">
        <v>471</v>
      </c>
      <c r="B208" s="616" t="s">
        <v>2151</v>
      </c>
      <c r="C208" s="617" t="s">
        <v>476</v>
      </c>
      <c r="D208" s="618" t="s">
        <v>2152</v>
      </c>
      <c r="E208" s="617" t="s">
        <v>2988</v>
      </c>
      <c r="F208" s="618" t="s">
        <v>2989</v>
      </c>
      <c r="G208" s="617" t="s">
        <v>2800</v>
      </c>
      <c r="H208" s="617" t="s">
        <v>2801</v>
      </c>
      <c r="I208" s="619">
        <v>321.935</v>
      </c>
      <c r="J208" s="619">
        <v>55</v>
      </c>
      <c r="K208" s="620">
        <v>17706.5</v>
      </c>
    </row>
    <row r="209" spans="1:11" ht="14.4" customHeight="1" x14ac:dyDescent="0.3">
      <c r="A209" s="615" t="s">
        <v>471</v>
      </c>
      <c r="B209" s="616" t="s">
        <v>2151</v>
      </c>
      <c r="C209" s="617" t="s">
        <v>476</v>
      </c>
      <c r="D209" s="618" t="s">
        <v>2152</v>
      </c>
      <c r="E209" s="617" t="s">
        <v>2988</v>
      </c>
      <c r="F209" s="618" t="s">
        <v>2989</v>
      </c>
      <c r="G209" s="617" t="s">
        <v>2802</v>
      </c>
      <c r="H209" s="617" t="s">
        <v>2803</v>
      </c>
      <c r="I209" s="619">
        <v>8.8333333333333339</v>
      </c>
      <c r="J209" s="619">
        <v>2300</v>
      </c>
      <c r="K209" s="620">
        <v>20314</v>
      </c>
    </row>
    <row r="210" spans="1:11" ht="14.4" customHeight="1" x14ac:dyDescent="0.3">
      <c r="A210" s="615" t="s">
        <v>471</v>
      </c>
      <c r="B210" s="616" t="s">
        <v>2151</v>
      </c>
      <c r="C210" s="617" t="s">
        <v>476</v>
      </c>
      <c r="D210" s="618" t="s">
        <v>2152</v>
      </c>
      <c r="E210" s="617" t="s">
        <v>2988</v>
      </c>
      <c r="F210" s="618" t="s">
        <v>2989</v>
      </c>
      <c r="G210" s="617" t="s">
        <v>2804</v>
      </c>
      <c r="H210" s="617" t="s">
        <v>2805</v>
      </c>
      <c r="I210" s="619">
        <v>375.1</v>
      </c>
      <c r="J210" s="619">
        <v>2</v>
      </c>
      <c r="K210" s="620">
        <v>750.2</v>
      </c>
    </row>
    <row r="211" spans="1:11" ht="14.4" customHeight="1" x14ac:dyDescent="0.3">
      <c r="A211" s="615" t="s">
        <v>471</v>
      </c>
      <c r="B211" s="616" t="s">
        <v>2151</v>
      </c>
      <c r="C211" s="617" t="s">
        <v>476</v>
      </c>
      <c r="D211" s="618" t="s">
        <v>2152</v>
      </c>
      <c r="E211" s="617" t="s">
        <v>2988</v>
      </c>
      <c r="F211" s="618" t="s">
        <v>2989</v>
      </c>
      <c r="G211" s="617" t="s">
        <v>2806</v>
      </c>
      <c r="H211" s="617" t="s">
        <v>2807</v>
      </c>
      <c r="I211" s="619">
        <v>75.459999999999994</v>
      </c>
      <c r="J211" s="619">
        <v>30</v>
      </c>
      <c r="K211" s="620">
        <v>2263.94</v>
      </c>
    </row>
    <row r="212" spans="1:11" ht="14.4" customHeight="1" x14ac:dyDescent="0.3">
      <c r="A212" s="615" t="s">
        <v>471</v>
      </c>
      <c r="B212" s="616" t="s">
        <v>2151</v>
      </c>
      <c r="C212" s="617" t="s">
        <v>476</v>
      </c>
      <c r="D212" s="618" t="s">
        <v>2152</v>
      </c>
      <c r="E212" s="617" t="s">
        <v>2988</v>
      </c>
      <c r="F212" s="618" t="s">
        <v>2989</v>
      </c>
      <c r="G212" s="617" t="s">
        <v>2808</v>
      </c>
      <c r="H212" s="617" t="s">
        <v>2809</v>
      </c>
      <c r="I212" s="619">
        <v>484.04</v>
      </c>
      <c r="J212" s="619">
        <v>10</v>
      </c>
      <c r="K212" s="620">
        <v>4840.3500000000004</v>
      </c>
    </row>
    <row r="213" spans="1:11" ht="14.4" customHeight="1" x14ac:dyDescent="0.3">
      <c r="A213" s="615" t="s">
        <v>471</v>
      </c>
      <c r="B213" s="616" t="s">
        <v>2151</v>
      </c>
      <c r="C213" s="617" t="s">
        <v>476</v>
      </c>
      <c r="D213" s="618" t="s">
        <v>2152</v>
      </c>
      <c r="E213" s="617" t="s">
        <v>2988</v>
      </c>
      <c r="F213" s="618" t="s">
        <v>2989</v>
      </c>
      <c r="G213" s="617" t="s">
        <v>2810</v>
      </c>
      <c r="H213" s="617" t="s">
        <v>2811</v>
      </c>
      <c r="I213" s="619">
        <v>204.75</v>
      </c>
      <c r="J213" s="619">
        <v>2</v>
      </c>
      <c r="K213" s="620">
        <v>409.5</v>
      </c>
    </row>
    <row r="214" spans="1:11" ht="14.4" customHeight="1" x14ac:dyDescent="0.3">
      <c r="A214" s="615" t="s">
        <v>471</v>
      </c>
      <c r="B214" s="616" t="s">
        <v>2151</v>
      </c>
      <c r="C214" s="617" t="s">
        <v>476</v>
      </c>
      <c r="D214" s="618" t="s">
        <v>2152</v>
      </c>
      <c r="E214" s="617" t="s">
        <v>2988</v>
      </c>
      <c r="F214" s="618" t="s">
        <v>2989</v>
      </c>
      <c r="G214" s="617" t="s">
        <v>2812</v>
      </c>
      <c r="H214" s="617" t="s">
        <v>2813</v>
      </c>
      <c r="I214" s="619">
        <v>199.67</v>
      </c>
      <c r="J214" s="619">
        <v>2</v>
      </c>
      <c r="K214" s="620">
        <v>399.34</v>
      </c>
    </row>
    <row r="215" spans="1:11" ht="14.4" customHeight="1" x14ac:dyDescent="0.3">
      <c r="A215" s="615" t="s">
        <v>471</v>
      </c>
      <c r="B215" s="616" t="s">
        <v>2151</v>
      </c>
      <c r="C215" s="617" t="s">
        <v>476</v>
      </c>
      <c r="D215" s="618" t="s">
        <v>2152</v>
      </c>
      <c r="E215" s="617" t="s">
        <v>2988</v>
      </c>
      <c r="F215" s="618" t="s">
        <v>2989</v>
      </c>
      <c r="G215" s="617" t="s">
        <v>2814</v>
      </c>
      <c r="H215" s="617" t="s">
        <v>2815</v>
      </c>
      <c r="I215" s="619">
        <v>102.85</v>
      </c>
      <c r="J215" s="619">
        <v>2</v>
      </c>
      <c r="K215" s="620">
        <v>205.7</v>
      </c>
    </row>
    <row r="216" spans="1:11" ht="14.4" customHeight="1" x14ac:dyDescent="0.3">
      <c r="A216" s="615" t="s">
        <v>471</v>
      </c>
      <c r="B216" s="616" t="s">
        <v>2151</v>
      </c>
      <c r="C216" s="617" t="s">
        <v>476</v>
      </c>
      <c r="D216" s="618" t="s">
        <v>2152</v>
      </c>
      <c r="E216" s="617" t="s">
        <v>2988</v>
      </c>
      <c r="F216" s="618" t="s">
        <v>2989</v>
      </c>
      <c r="G216" s="617" t="s">
        <v>2816</v>
      </c>
      <c r="H216" s="617" t="s">
        <v>2817</v>
      </c>
      <c r="I216" s="619">
        <v>466.94</v>
      </c>
      <c r="J216" s="619">
        <v>5</v>
      </c>
      <c r="K216" s="620">
        <v>2334.6999999999998</v>
      </c>
    </row>
    <row r="217" spans="1:11" ht="14.4" customHeight="1" x14ac:dyDescent="0.3">
      <c r="A217" s="615" t="s">
        <v>471</v>
      </c>
      <c r="B217" s="616" t="s">
        <v>2151</v>
      </c>
      <c r="C217" s="617" t="s">
        <v>476</v>
      </c>
      <c r="D217" s="618" t="s">
        <v>2152</v>
      </c>
      <c r="E217" s="617" t="s">
        <v>2988</v>
      </c>
      <c r="F217" s="618" t="s">
        <v>2989</v>
      </c>
      <c r="G217" s="617" t="s">
        <v>2818</v>
      </c>
      <c r="H217" s="617" t="s">
        <v>2819</v>
      </c>
      <c r="I217" s="619">
        <v>1441.7449999999999</v>
      </c>
      <c r="J217" s="619">
        <v>3</v>
      </c>
      <c r="K217" s="620">
        <v>4352.49</v>
      </c>
    </row>
    <row r="218" spans="1:11" ht="14.4" customHeight="1" x14ac:dyDescent="0.3">
      <c r="A218" s="615" t="s">
        <v>471</v>
      </c>
      <c r="B218" s="616" t="s">
        <v>2151</v>
      </c>
      <c r="C218" s="617" t="s">
        <v>476</v>
      </c>
      <c r="D218" s="618" t="s">
        <v>2152</v>
      </c>
      <c r="E218" s="617" t="s">
        <v>2988</v>
      </c>
      <c r="F218" s="618" t="s">
        <v>2989</v>
      </c>
      <c r="G218" s="617" t="s">
        <v>2820</v>
      </c>
      <c r="H218" s="617" t="s">
        <v>2821</v>
      </c>
      <c r="I218" s="619">
        <v>185.13</v>
      </c>
      <c r="J218" s="619">
        <v>15</v>
      </c>
      <c r="K218" s="620">
        <v>2776.95</v>
      </c>
    </row>
    <row r="219" spans="1:11" ht="14.4" customHeight="1" x14ac:dyDescent="0.3">
      <c r="A219" s="615" t="s">
        <v>471</v>
      </c>
      <c r="B219" s="616" t="s">
        <v>2151</v>
      </c>
      <c r="C219" s="617" t="s">
        <v>476</v>
      </c>
      <c r="D219" s="618" t="s">
        <v>2152</v>
      </c>
      <c r="E219" s="617" t="s">
        <v>2988</v>
      </c>
      <c r="F219" s="618" t="s">
        <v>2989</v>
      </c>
      <c r="G219" s="617" t="s">
        <v>2822</v>
      </c>
      <c r="H219" s="617" t="s">
        <v>2823</v>
      </c>
      <c r="I219" s="619">
        <v>47.15</v>
      </c>
      <c r="J219" s="619">
        <v>30</v>
      </c>
      <c r="K219" s="620">
        <v>1414.5</v>
      </c>
    </row>
    <row r="220" spans="1:11" ht="14.4" customHeight="1" x14ac:dyDescent="0.3">
      <c r="A220" s="615" t="s">
        <v>471</v>
      </c>
      <c r="B220" s="616" t="s">
        <v>2151</v>
      </c>
      <c r="C220" s="617" t="s">
        <v>476</v>
      </c>
      <c r="D220" s="618" t="s">
        <v>2152</v>
      </c>
      <c r="E220" s="617" t="s">
        <v>2988</v>
      </c>
      <c r="F220" s="618" t="s">
        <v>2989</v>
      </c>
      <c r="G220" s="617" t="s">
        <v>2824</v>
      </c>
      <c r="H220" s="617" t="s">
        <v>2825</v>
      </c>
      <c r="I220" s="619">
        <v>30.73</v>
      </c>
      <c r="J220" s="619">
        <v>400</v>
      </c>
      <c r="K220" s="620">
        <v>12293.6</v>
      </c>
    </row>
    <row r="221" spans="1:11" ht="14.4" customHeight="1" x14ac:dyDescent="0.3">
      <c r="A221" s="615" t="s">
        <v>471</v>
      </c>
      <c r="B221" s="616" t="s">
        <v>2151</v>
      </c>
      <c r="C221" s="617" t="s">
        <v>476</v>
      </c>
      <c r="D221" s="618" t="s">
        <v>2152</v>
      </c>
      <c r="E221" s="617" t="s">
        <v>2988</v>
      </c>
      <c r="F221" s="618" t="s">
        <v>2989</v>
      </c>
      <c r="G221" s="617" t="s">
        <v>2826</v>
      </c>
      <c r="H221" s="617" t="s">
        <v>2827</v>
      </c>
      <c r="I221" s="619">
        <v>2504.6999999999998</v>
      </c>
      <c r="J221" s="619">
        <v>2</v>
      </c>
      <c r="K221" s="620">
        <v>5009.3999999999996</v>
      </c>
    </row>
    <row r="222" spans="1:11" ht="14.4" customHeight="1" x14ac:dyDescent="0.3">
      <c r="A222" s="615" t="s">
        <v>471</v>
      </c>
      <c r="B222" s="616" t="s">
        <v>2151</v>
      </c>
      <c r="C222" s="617" t="s">
        <v>476</v>
      </c>
      <c r="D222" s="618" t="s">
        <v>2152</v>
      </c>
      <c r="E222" s="617" t="s">
        <v>2988</v>
      </c>
      <c r="F222" s="618" t="s">
        <v>2989</v>
      </c>
      <c r="G222" s="617" t="s">
        <v>2828</v>
      </c>
      <c r="H222" s="617" t="s">
        <v>2829</v>
      </c>
      <c r="I222" s="619">
        <v>181.5</v>
      </c>
      <c r="J222" s="619">
        <v>2</v>
      </c>
      <c r="K222" s="620">
        <v>363</v>
      </c>
    </row>
    <row r="223" spans="1:11" ht="14.4" customHeight="1" x14ac:dyDescent="0.3">
      <c r="A223" s="615" t="s">
        <v>471</v>
      </c>
      <c r="B223" s="616" t="s">
        <v>2151</v>
      </c>
      <c r="C223" s="617" t="s">
        <v>476</v>
      </c>
      <c r="D223" s="618" t="s">
        <v>2152</v>
      </c>
      <c r="E223" s="617" t="s">
        <v>2988</v>
      </c>
      <c r="F223" s="618" t="s">
        <v>2989</v>
      </c>
      <c r="G223" s="617" t="s">
        <v>2830</v>
      </c>
      <c r="H223" s="617" t="s">
        <v>2831</v>
      </c>
      <c r="I223" s="619">
        <v>398.03</v>
      </c>
      <c r="J223" s="619">
        <v>3</v>
      </c>
      <c r="K223" s="620">
        <v>1194.0899999999999</v>
      </c>
    </row>
    <row r="224" spans="1:11" ht="14.4" customHeight="1" x14ac:dyDescent="0.3">
      <c r="A224" s="615" t="s">
        <v>471</v>
      </c>
      <c r="B224" s="616" t="s">
        <v>2151</v>
      </c>
      <c r="C224" s="617" t="s">
        <v>476</v>
      </c>
      <c r="D224" s="618" t="s">
        <v>2152</v>
      </c>
      <c r="E224" s="617" t="s">
        <v>2988</v>
      </c>
      <c r="F224" s="618" t="s">
        <v>2989</v>
      </c>
      <c r="G224" s="617" t="s">
        <v>2832</v>
      </c>
      <c r="H224" s="617" t="s">
        <v>2833</v>
      </c>
      <c r="I224" s="619">
        <v>35.090000000000003</v>
      </c>
      <c r="J224" s="619">
        <v>10</v>
      </c>
      <c r="K224" s="620">
        <v>350.9</v>
      </c>
    </row>
    <row r="225" spans="1:11" ht="14.4" customHeight="1" x14ac:dyDescent="0.3">
      <c r="A225" s="615" t="s">
        <v>471</v>
      </c>
      <c r="B225" s="616" t="s">
        <v>2151</v>
      </c>
      <c r="C225" s="617" t="s">
        <v>476</v>
      </c>
      <c r="D225" s="618" t="s">
        <v>2152</v>
      </c>
      <c r="E225" s="617" t="s">
        <v>2988</v>
      </c>
      <c r="F225" s="618" t="s">
        <v>2989</v>
      </c>
      <c r="G225" s="617" t="s">
        <v>2834</v>
      </c>
      <c r="H225" s="617" t="s">
        <v>2835</v>
      </c>
      <c r="I225" s="619">
        <v>60.9</v>
      </c>
      <c r="J225" s="619">
        <v>20</v>
      </c>
      <c r="K225" s="620">
        <v>1218.06</v>
      </c>
    </row>
    <row r="226" spans="1:11" ht="14.4" customHeight="1" x14ac:dyDescent="0.3">
      <c r="A226" s="615" t="s">
        <v>471</v>
      </c>
      <c r="B226" s="616" t="s">
        <v>2151</v>
      </c>
      <c r="C226" s="617" t="s">
        <v>476</v>
      </c>
      <c r="D226" s="618" t="s">
        <v>2152</v>
      </c>
      <c r="E226" s="617" t="s">
        <v>2988</v>
      </c>
      <c r="F226" s="618" t="s">
        <v>2989</v>
      </c>
      <c r="G226" s="617" t="s">
        <v>2836</v>
      </c>
      <c r="H226" s="617" t="s">
        <v>2837</v>
      </c>
      <c r="I226" s="619">
        <v>145.19999999999999</v>
      </c>
      <c r="J226" s="619">
        <v>10</v>
      </c>
      <c r="K226" s="620">
        <v>1452</v>
      </c>
    </row>
    <row r="227" spans="1:11" ht="14.4" customHeight="1" x14ac:dyDescent="0.3">
      <c r="A227" s="615" t="s">
        <v>471</v>
      </c>
      <c r="B227" s="616" t="s">
        <v>2151</v>
      </c>
      <c r="C227" s="617" t="s">
        <v>476</v>
      </c>
      <c r="D227" s="618" t="s">
        <v>2152</v>
      </c>
      <c r="E227" s="617" t="s">
        <v>2988</v>
      </c>
      <c r="F227" s="618" t="s">
        <v>2989</v>
      </c>
      <c r="G227" s="617" t="s">
        <v>2838</v>
      </c>
      <c r="H227" s="617" t="s">
        <v>2839</v>
      </c>
      <c r="I227" s="619">
        <v>254.1</v>
      </c>
      <c r="J227" s="619">
        <v>10</v>
      </c>
      <c r="K227" s="620">
        <v>2541</v>
      </c>
    </row>
    <row r="228" spans="1:11" ht="14.4" customHeight="1" x14ac:dyDescent="0.3">
      <c r="A228" s="615" t="s">
        <v>471</v>
      </c>
      <c r="B228" s="616" t="s">
        <v>2151</v>
      </c>
      <c r="C228" s="617" t="s">
        <v>476</v>
      </c>
      <c r="D228" s="618" t="s">
        <v>2152</v>
      </c>
      <c r="E228" s="617" t="s">
        <v>2988</v>
      </c>
      <c r="F228" s="618" t="s">
        <v>2989</v>
      </c>
      <c r="G228" s="617" t="s">
        <v>2840</v>
      </c>
      <c r="H228" s="617" t="s">
        <v>2841</v>
      </c>
      <c r="I228" s="619">
        <v>326.75</v>
      </c>
      <c r="J228" s="619">
        <v>5</v>
      </c>
      <c r="K228" s="620">
        <v>1658</v>
      </c>
    </row>
    <row r="229" spans="1:11" ht="14.4" customHeight="1" x14ac:dyDescent="0.3">
      <c r="A229" s="615" t="s">
        <v>471</v>
      </c>
      <c r="B229" s="616" t="s">
        <v>2151</v>
      </c>
      <c r="C229" s="617" t="s">
        <v>476</v>
      </c>
      <c r="D229" s="618" t="s">
        <v>2152</v>
      </c>
      <c r="E229" s="617" t="s">
        <v>2988</v>
      </c>
      <c r="F229" s="618" t="s">
        <v>2989</v>
      </c>
      <c r="G229" s="617" t="s">
        <v>2842</v>
      </c>
      <c r="H229" s="617" t="s">
        <v>2843</v>
      </c>
      <c r="I229" s="619">
        <v>159.72</v>
      </c>
      <c r="J229" s="619">
        <v>150</v>
      </c>
      <c r="K229" s="620">
        <v>23958</v>
      </c>
    </row>
    <row r="230" spans="1:11" ht="14.4" customHeight="1" x14ac:dyDescent="0.3">
      <c r="A230" s="615" t="s">
        <v>471</v>
      </c>
      <c r="B230" s="616" t="s">
        <v>2151</v>
      </c>
      <c r="C230" s="617" t="s">
        <v>476</v>
      </c>
      <c r="D230" s="618" t="s">
        <v>2152</v>
      </c>
      <c r="E230" s="617" t="s">
        <v>2988</v>
      </c>
      <c r="F230" s="618" t="s">
        <v>2989</v>
      </c>
      <c r="G230" s="617" t="s">
        <v>2844</v>
      </c>
      <c r="H230" s="617" t="s">
        <v>2845</v>
      </c>
      <c r="I230" s="619">
        <v>4022.04</v>
      </c>
      <c r="J230" s="619">
        <v>2</v>
      </c>
      <c r="K230" s="620">
        <v>8044.08</v>
      </c>
    </row>
    <row r="231" spans="1:11" ht="14.4" customHeight="1" x14ac:dyDescent="0.3">
      <c r="A231" s="615" t="s">
        <v>471</v>
      </c>
      <c r="B231" s="616" t="s">
        <v>2151</v>
      </c>
      <c r="C231" s="617" t="s">
        <v>476</v>
      </c>
      <c r="D231" s="618" t="s">
        <v>2152</v>
      </c>
      <c r="E231" s="617" t="s">
        <v>2988</v>
      </c>
      <c r="F231" s="618" t="s">
        <v>2989</v>
      </c>
      <c r="G231" s="617" t="s">
        <v>2846</v>
      </c>
      <c r="H231" s="617" t="s">
        <v>2847</v>
      </c>
      <c r="I231" s="619">
        <v>3500</v>
      </c>
      <c r="J231" s="619">
        <v>1</v>
      </c>
      <c r="K231" s="620">
        <v>3500</v>
      </c>
    </row>
    <row r="232" spans="1:11" ht="14.4" customHeight="1" x14ac:dyDescent="0.3">
      <c r="A232" s="615" t="s">
        <v>471</v>
      </c>
      <c r="B232" s="616" t="s">
        <v>2151</v>
      </c>
      <c r="C232" s="617" t="s">
        <v>476</v>
      </c>
      <c r="D232" s="618" t="s">
        <v>2152</v>
      </c>
      <c r="E232" s="617" t="s">
        <v>2988</v>
      </c>
      <c r="F232" s="618" t="s">
        <v>2989</v>
      </c>
      <c r="G232" s="617" t="s">
        <v>2848</v>
      </c>
      <c r="H232" s="617" t="s">
        <v>2849</v>
      </c>
      <c r="I232" s="619">
        <v>18.39</v>
      </c>
      <c r="J232" s="619">
        <v>12</v>
      </c>
      <c r="K232" s="620">
        <v>220.7</v>
      </c>
    </row>
    <row r="233" spans="1:11" ht="14.4" customHeight="1" x14ac:dyDescent="0.3">
      <c r="A233" s="615" t="s">
        <v>471</v>
      </c>
      <c r="B233" s="616" t="s">
        <v>2151</v>
      </c>
      <c r="C233" s="617" t="s">
        <v>476</v>
      </c>
      <c r="D233" s="618" t="s">
        <v>2152</v>
      </c>
      <c r="E233" s="617" t="s">
        <v>2988</v>
      </c>
      <c r="F233" s="618" t="s">
        <v>2989</v>
      </c>
      <c r="G233" s="617" t="s">
        <v>2850</v>
      </c>
      <c r="H233" s="617" t="s">
        <v>2851</v>
      </c>
      <c r="I233" s="619">
        <v>254.1</v>
      </c>
      <c r="J233" s="619">
        <v>5</v>
      </c>
      <c r="K233" s="620">
        <v>1270.5</v>
      </c>
    </row>
    <row r="234" spans="1:11" ht="14.4" customHeight="1" x14ac:dyDescent="0.3">
      <c r="A234" s="615" t="s">
        <v>471</v>
      </c>
      <c r="B234" s="616" t="s">
        <v>2151</v>
      </c>
      <c r="C234" s="617" t="s">
        <v>476</v>
      </c>
      <c r="D234" s="618" t="s">
        <v>2152</v>
      </c>
      <c r="E234" s="617" t="s">
        <v>2988</v>
      </c>
      <c r="F234" s="618" t="s">
        <v>2989</v>
      </c>
      <c r="G234" s="617" t="s">
        <v>2852</v>
      </c>
      <c r="H234" s="617" t="s">
        <v>2853</v>
      </c>
      <c r="I234" s="619">
        <v>24.2</v>
      </c>
      <c r="J234" s="619">
        <v>25</v>
      </c>
      <c r="K234" s="620">
        <v>605</v>
      </c>
    </row>
    <row r="235" spans="1:11" ht="14.4" customHeight="1" x14ac:dyDescent="0.3">
      <c r="A235" s="615" t="s">
        <v>471</v>
      </c>
      <c r="B235" s="616" t="s">
        <v>2151</v>
      </c>
      <c r="C235" s="617" t="s">
        <v>476</v>
      </c>
      <c r="D235" s="618" t="s">
        <v>2152</v>
      </c>
      <c r="E235" s="617" t="s">
        <v>2990</v>
      </c>
      <c r="F235" s="618" t="s">
        <v>2991</v>
      </c>
      <c r="G235" s="617" t="s">
        <v>2854</v>
      </c>
      <c r="H235" s="617" t="s">
        <v>2855</v>
      </c>
      <c r="I235" s="619">
        <v>142.91374999999999</v>
      </c>
      <c r="J235" s="619">
        <v>16</v>
      </c>
      <c r="K235" s="620">
        <v>2286.63</v>
      </c>
    </row>
    <row r="236" spans="1:11" ht="14.4" customHeight="1" x14ac:dyDescent="0.3">
      <c r="A236" s="615" t="s">
        <v>471</v>
      </c>
      <c r="B236" s="616" t="s">
        <v>2151</v>
      </c>
      <c r="C236" s="617" t="s">
        <v>476</v>
      </c>
      <c r="D236" s="618" t="s">
        <v>2152</v>
      </c>
      <c r="E236" s="617" t="s">
        <v>2992</v>
      </c>
      <c r="F236" s="618" t="s">
        <v>2993</v>
      </c>
      <c r="G236" s="617" t="s">
        <v>2856</v>
      </c>
      <c r="H236" s="617" t="s">
        <v>2857</v>
      </c>
      <c r="I236" s="619">
        <v>928.20000000000016</v>
      </c>
      <c r="J236" s="619">
        <v>30</v>
      </c>
      <c r="K236" s="620">
        <v>27846.090000000004</v>
      </c>
    </row>
    <row r="237" spans="1:11" ht="14.4" customHeight="1" x14ac:dyDescent="0.3">
      <c r="A237" s="615" t="s">
        <v>471</v>
      </c>
      <c r="B237" s="616" t="s">
        <v>2151</v>
      </c>
      <c r="C237" s="617" t="s">
        <v>476</v>
      </c>
      <c r="D237" s="618" t="s">
        <v>2152</v>
      </c>
      <c r="E237" s="617" t="s">
        <v>2992</v>
      </c>
      <c r="F237" s="618" t="s">
        <v>2993</v>
      </c>
      <c r="G237" s="617" t="s">
        <v>2858</v>
      </c>
      <c r="H237" s="617" t="s">
        <v>2859</v>
      </c>
      <c r="I237" s="619">
        <v>319.91000000000003</v>
      </c>
      <c r="J237" s="619">
        <v>80</v>
      </c>
      <c r="K237" s="620">
        <v>25592.959999999999</v>
      </c>
    </row>
    <row r="238" spans="1:11" ht="14.4" customHeight="1" x14ac:dyDescent="0.3">
      <c r="A238" s="615" t="s">
        <v>471</v>
      </c>
      <c r="B238" s="616" t="s">
        <v>2151</v>
      </c>
      <c r="C238" s="617" t="s">
        <v>476</v>
      </c>
      <c r="D238" s="618" t="s">
        <v>2152</v>
      </c>
      <c r="E238" s="617" t="s">
        <v>2992</v>
      </c>
      <c r="F238" s="618" t="s">
        <v>2993</v>
      </c>
      <c r="G238" s="617" t="s">
        <v>2860</v>
      </c>
      <c r="H238" s="617" t="s">
        <v>2861</v>
      </c>
      <c r="I238" s="619">
        <v>568.79</v>
      </c>
      <c r="J238" s="619">
        <v>30</v>
      </c>
      <c r="K238" s="620">
        <v>17063.550000000003</v>
      </c>
    </row>
    <row r="239" spans="1:11" ht="14.4" customHeight="1" x14ac:dyDescent="0.3">
      <c r="A239" s="615" t="s">
        <v>471</v>
      </c>
      <c r="B239" s="616" t="s">
        <v>2151</v>
      </c>
      <c r="C239" s="617" t="s">
        <v>476</v>
      </c>
      <c r="D239" s="618" t="s">
        <v>2152</v>
      </c>
      <c r="E239" s="617" t="s">
        <v>2992</v>
      </c>
      <c r="F239" s="618" t="s">
        <v>2993</v>
      </c>
      <c r="G239" s="617" t="s">
        <v>2862</v>
      </c>
      <c r="H239" s="617" t="s">
        <v>2863</v>
      </c>
      <c r="I239" s="619">
        <v>442.39</v>
      </c>
      <c r="J239" s="619">
        <v>30</v>
      </c>
      <c r="K239" s="620">
        <v>13271.64</v>
      </c>
    </row>
    <row r="240" spans="1:11" ht="14.4" customHeight="1" x14ac:dyDescent="0.3">
      <c r="A240" s="615" t="s">
        <v>471</v>
      </c>
      <c r="B240" s="616" t="s">
        <v>2151</v>
      </c>
      <c r="C240" s="617" t="s">
        <v>476</v>
      </c>
      <c r="D240" s="618" t="s">
        <v>2152</v>
      </c>
      <c r="E240" s="617" t="s">
        <v>2992</v>
      </c>
      <c r="F240" s="618" t="s">
        <v>2993</v>
      </c>
      <c r="G240" s="617" t="s">
        <v>2864</v>
      </c>
      <c r="H240" s="617" t="s">
        <v>2865</v>
      </c>
      <c r="I240" s="619">
        <v>1286</v>
      </c>
      <c r="J240" s="619">
        <v>2</v>
      </c>
      <c r="K240" s="620">
        <v>2572</v>
      </c>
    </row>
    <row r="241" spans="1:11" ht="14.4" customHeight="1" x14ac:dyDescent="0.3">
      <c r="A241" s="615" t="s">
        <v>471</v>
      </c>
      <c r="B241" s="616" t="s">
        <v>2151</v>
      </c>
      <c r="C241" s="617" t="s">
        <v>476</v>
      </c>
      <c r="D241" s="618" t="s">
        <v>2152</v>
      </c>
      <c r="E241" s="617" t="s">
        <v>2994</v>
      </c>
      <c r="F241" s="618" t="s">
        <v>2995</v>
      </c>
      <c r="G241" s="617" t="s">
        <v>2866</v>
      </c>
      <c r="H241" s="617" t="s">
        <v>2867</v>
      </c>
      <c r="I241" s="619">
        <v>8.1660000000000004</v>
      </c>
      <c r="J241" s="619">
        <v>5900</v>
      </c>
      <c r="K241" s="620">
        <v>48176</v>
      </c>
    </row>
    <row r="242" spans="1:11" ht="14.4" customHeight="1" x14ac:dyDescent="0.3">
      <c r="A242" s="615" t="s">
        <v>471</v>
      </c>
      <c r="B242" s="616" t="s">
        <v>2151</v>
      </c>
      <c r="C242" s="617" t="s">
        <v>476</v>
      </c>
      <c r="D242" s="618" t="s">
        <v>2152</v>
      </c>
      <c r="E242" s="617" t="s">
        <v>2994</v>
      </c>
      <c r="F242" s="618" t="s">
        <v>2995</v>
      </c>
      <c r="G242" s="617" t="s">
        <v>2868</v>
      </c>
      <c r="H242" s="617" t="s">
        <v>2869</v>
      </c>
      <c r="I242" s="619">
        <v>162.63</v>
      </c>
      <c r="J242" s="619">
        <v>60</v>
      </c>
      <c r="K242" s="620">
        <v>9757.82</v>
      </c>
    </row>
    <row r="243" spans="1:11" ht="14.4" customHeight="1" x14ac:dyDescent="0.3">
      <c r="A243" s="615" t="s">
        <v>471</v>
      </c>
      <c r="B243" s="616" t="s">
        <v>2151</v>
      </c>
      <c r="C243" s="617" t="s">
        <v>476</v>
      </c>
      <c r="D243" s="618" t="s">
        <v>2152</v>
      </c>
      <c r="E243" s="617" t="s">
        <v>2994</v>
      </c>
      <c r="F243" s="618" t="s">
        <v>2995</v>
      </c>
      <c r="G243" s="617" t="s">
        <v>2870</v>
      </c>
      <c r="H243" s="617" t="s">
        <v>2871</v>
      </c>
      <c r="I243" s="619">
        <v>7.0060000000000002</v>
      </c>
      <c r="J243" s="619">
        <v>750</v>
      </c>
      <c r="K243" s="620">
        <v>5254.5</v>
      </c>
    </row>
    <row r="244" spans="1:11" ht="14.4" customHeight="1" x14ac:dyDescent="0.3">
      <c r="A244" s="615" t="s">
        <v>471</v>
      </c>
      <c r="B244" s="616" t="s">
        <v>2151</v>
      </c>
      <c r="C244" s="617" t="s">
        <v>476</v>
      </c>
      <c r="D244" s="618" t="s">
        <v>2152</v>
      </c>
      <c r="E244" s="617" t="s">
        <v>2994</v>
      </c>
      <c r="F244" s="618" t="s">
        <v>2995</v>
      </c>
      <c r="G244" s="617" t="s">
        <v>2872</v>
      </c>
      <c r="H244" s="617" t="s">
        <v>2873</v>
      </c>
      <c r="I244" s="619">
        <v>181.5</v>
      </c>
      <c r="J244" s="619">
        <v>90</v>
      </c>
      <c r="K244" s="620">
        <v>16335</v>
      </c>
    </row>
    <row r="245" spans="1:11" ht="14.4" customHeight="1" x14ac:dyDescent="0.3">
      <c r="A245" s="615" t="s">
        <v>471</v>
      </c>
      <c r="B245" s="616" t="s">
        <v>2151</v>
      </c>
      <c r="C245" s="617" t="s">
        <v>476</v>
      </c>
      <c r="D245" s="618" t="s">
        <v>2152</v>
      </c>
      <c r="E245" s="617" t="s">
        <v>2996</v>
      </c>
      <c r="F245" s="618" t="s">
        <v>2997</v>
      </c>
      <c r="G245" s="617" t="s">
        <v>2874</v>
      </c>
      <c r="H245" s="617" t="s">
        <v>2875</v>
      </c>
      <c r="I245" s="619">
        <v>41.81</v>
      </c>
      <c r="J245" s="619">
        <v>36</v>
      </c>
      <c r="K245" s="620">
        <v>1505.12</v>
      </c>
    </row>
    <row r="246" spans="1:11" ht="14.4" customHeight="1" x14ac:dyDescent="0.3">
      <c r="A246" s="615" t="s">
        <v>471</v>
      </c>
      <c r="B246" s="616" t="s">
        <v>2151</v>
      </c>
      <c r="C246" s="617" t="s">
        <v>476</v>
      </c>
      <c r="D246" s="618" t="s">
        <v>2152</v>
      </c>
      <c r="E246" s="617" t="s">
        <v>2996</v>
      </c>
      <c r="F246" s="618" t="s">
        <v>2997</v>
      </c>
      <c r="G246" s="617" t="s">
        <v>2876</v>
      </c>
      <c r="H246" s="617" t="s">
        <v>2877</v>
      </c>
      <c r="I246" s="619">
        <v>24.22</v>
      </c>
      <c r="J246" s="619">
        <v>72</v>
      </c>
      <c r="K246" s="620">
        <v>1743.86</v>
      </c>
    </row>
    <row r="247" spans="1:11" ht="14.4" customHeight="1" x14ac:dyDescent="0.3">
      <c r="A247" s="615" t="s">
        <v>471</v>
      </c>
      <c r="B247" s="616" t="s">
        <v>2151</v>
      </c>
      <c r="C247" s="617" t="s">
        <v>476</v>
      </c>
      <c r="D247" s="618" t="s">
        <v>2152</v>
      </c>
      <c r="E247" s="617" t="s">
        <v>2996</v>
      </c>
      <c r="F247" s="618" t="s">
        <v>2997</v>
      </c>
      <c r="G247" s="617" t="s">
        <v>2878</v>
      </c>
      <c r="H247" s="617" t="s">
        <v>2879</v>
      </c>
      <c r="I247" s="619">
        <v>33.6</v>
      </c>
      <c r="J247" s="619">
        <v>108</v>
      </c>
      <c r="K247" s="620">
        <v>3629.07</v>
      </c>
    </row>
    <row r="248" spans="1:11" ht="14.4" customHeight="1" x14ac:dyDescent="0.3">
      <c r="A248" s="615" t="s">
        <v>471</v>
      </c>
      <c r="B248" s="616" t="s">
        <v>2151</v>
      </c>
      <c r="C248" s="617" t="s">
        <v>476</v>
      </c>
      <c r="D248" s="618" t="s">
        <v>2152</v>
      </c>
      <c r="E248" s="617" t="s">
        <v>2996</v>
      </c>
      <c r="F248" s="618" t="s">
        <v>2997</v>
      </c>
      <c r="G248" s="617" t="s">
        <v>2880</v>
      </c>
      <c r="H248" s="617" t="s">
        <v>2881</v>
      </c>
      <c r="I248" s="619">
        <v>0</v>
      </c>
      <c r="J248" s="619">
        <v>36</v>
      </c>
      <c r="K248" s="620">
        <v>0</v>
      </c>
    </row>
    <row r="249" spans="1:11" ht="14.4" customHeight="1" x14ac:dyDescent="0.3">
      <c r="A249" s="615" t="s">
        <v>471</v>
      </c>
      <c r="B249" s="616" t="s">
        <v>2151</v>
      </c>
      <c r="C249" s="617" t="s">
        <v>476</v>
      </c>
      <c r="D249" s="618" t="s">
        <v>2152</v>
      </c>
      <c r="E249" s="617" t="s">
        <v>2998</v>
      </c>
      <c r="F249" s="618" t="s">
        <v>2999</v>
      </c>
      <c r="G249" s="617" t="s">
        <v>2882</v>
      </c>
      <c r="H249" s="617" t="s">
        <v>2883</v>
      </c>
      <c r="I249" s="619">
        <v>0.3</v>
      </c>
      <c r="J249" s="619">
        <v>1100</v>
      </c>
      <c r="K249" s="620">
        <v>330</v>
      </c>
    </row>
    <row r="250" spans="1:11" ht="14.4" customHeight="1" x14ac:dyDescent="0.3">
      <c r="A250" s="615" t="s">
        <v>471</v>
      </c>
      <c r="B250" s="616" t="s">
        <v>2151</v>
      </c>
      <c r="C250" s="617" t="s">
        <v>476</v>
      </c>
      <c r="D250" s="618" t="s">
        <v>2152</v>
      </c>
      <c r="E250" s="617" t="s">
        <v>2998</v>
      </c>
      <c r="F250" s="618" t="s">
        <v>2999</v>
      </c>
      <c r="G250" s="617" t="s">
        <v>2884</v>
      </c>
      <c r="H250" s="617" t="s">
        <v>2885</v>
      </c>
      <c r="I250" s="619">
        <v>0.30499999999999999</v>
      </c>
      <c r="J250" s="619">
        <v>1200</v>
      </c>
      <c r="K250" s="620">
        <v>363</v>
      </c>
    </row>
    <row r="251" spans="1:11" ht="14.4" customHeight="1" x14ac:dyDescent="0.3">
      <c r="A251" s="615" t="s">
        <v>471</v>
      </c>
      <c r="B251" s="616" t="s">
        <v>2151</v>
      </c>
      <c r="C251" s="617" t="s">
        <v>476</v>
      </c>
      <c r="D251" s="618" t="s">
        <v>2152</v>
      </c>
      <c r="E251" s="617" t="s">
        <v>2998</v>
      </c>
      <c r="F251" s="618" t="s">
        <v>2999</v>
      </c>
      <c r="G251" s="617" t="s">
        <v>2886</v>
      </c>
      <c r="H251" s="617" t="s">
        <v>2887</v>
      </c>
      <c r="I251" s="619">
        <v>0.30624999999999997</v>
      </c>
      <c r="J251" s="619">
        <v>8700</v>
      </c>
      <c r="K251" s="620">
        <v>2672</v>
      </c>
    </row>
    <row r="252" spans="1:11" ht="14.4" customHeight="1" x14ac:dyDescent="0.3">
      <c r="A252" s="615" t="s">
        <v>471</v>
      </c>
      <c r="B252" s="616" t="s">
        <v>2151</v>
      </c>
      <c r="C252" s="617" t="s">
        <v>476</v>
      </c>
      <c r="D252" s="618" t="s">
        <v>2152</v>
      </c>
      <c r="E252" s="617" t="s">
        <v>2998</v>
      </c>
      <c r="F252" s="618" t="s">
        <v>2999</v>
      </c>
      <c r="G252" s="617" t="s">
        <v>2888</v>
      </c>
      <c r="H252" s="617" t="s">
        <v>2889</v>
      </c>
      <c r="I252" s="619">
        <v>0.30499999999999999</v>
      </c>
      <c r="J252" s="619">
        <v>500</v>
      </c>
      <c r="K252" s="620">
        <v>152</v>
      </c>
    </row>
    <row r="253" spans="1:11" ht="14.4" customHeight="1" x14ac:dyDescent="0.3">
      <c r="A253" s="615" t="s">
        <v>471</v>
      </c>
      <c r="B253" s="616" t="s">
        <v>2151</v>
      </c>
      <c r="C253" s="617" t="s">
        <v>476</v>
      </c>
      <c r="D253" s="618" t="s">
        <v>2152</v>
      </c>
      <c r="E253" s="617" t="s">
        <v>2998</v>
      </c>
      <c r="F253" s="618" t="s">
        <v>2999</v>
      </c>
      <c r="G253" s="617" t="s">
        <v>2890</v>
      </c>
      <c r="H253" s="617" t="s">
        <v>2891</v>
      </c>
      <c r="I253" s="619">
        <v>0.68</v>
      </c>
      <c r="J253" s="619">
        <v>200</v>
      </c>
      <c r="K253" s="620">
        <v>136</v>
      </c>
    </row>
    <row r="254" spans="1:11" ht="14.4" customHeight="1" x14ac:dyDescent="0.3">
      <c r="A254" s="615" t="s">
        <v>471</v>
      </c>
      <c r="B254" s="616" t="s">
        <v>2151</v>
      </c>
      <c r="C254" s="617" t="s">
        <v>476</v>
      </c>
      <c r="D254" s="618" t="s">
        <v>2152</v>
      </c>
      <c r="E254" s="617" t="s">
        <v>2998</v>
      </c>
      <c r="F254" s="618" t="s">
        <v>2999</v>
      </c>
      <c r="G254" s="617" t="s">
        <v>2892</v>
      </c>
      <c r="H254" s="617" t="s">
        <v>2893</v>
      </c>
      <c r="I254" s="619">
        <v>10.99</v>
      </c>
      <c r="J254" s="619">
        <v>50</v>
      </c>
      <c r="K254" s="620">
        <v>549.34</v>
      </c>
    </row>
    <row r="255" spans="1:11" ht="14.4" customHeight="1" x14ac:dyDescent="0.3">
      <c r="A255" s="615" t="s">
        <v>471</v>
      </c>
      <c r="B255" s="616" t="s">
        <v>2151</v>
      </c>
      <c r="C255" s="617" t="s">
        <v>476</v>
      </c>
      <c r="D255" s="618" t="s">
        <v>2152</v>
      </c>
      <c r="E255" s="617" t="s">
        <v>2998</v>
      </c>
      <c r="F255" s="618" t="s">
        <v>2999</v>
      </c>
      <c r="G255" s="617" t="s">
        <v>2894</v>
      </c>
      <c r="H255" s="617" t="s">
        <v>2895</v>
      </c>
      <c r="I255" s="619">
        <v>0.48272727272727278</v>
      </c>
      <c r="J255" s="619">
        <v>23700</v>
      </c>
      <c r="K255" s="620">
        <v>11433</v>
      </c>
    </row>
    <row r="256" spans="1:11" ht="14.4" customHeight="1" x14ac:dyDescent="0.3">
      <c r="A256" s="615" t="s">
        <v>471</v>
      </c>
      <c r="B256" s="616" t="s">
        <v>2151</v>
      </c>
      <c r="C256" s="617" t="s">
        <v>476</v>
      </c>
      <c r="D256" s="618" t="s">
        <v>2152</v>
      </c>
      <c r="E256" s="617" t="s">
        <v>2998</v>
      </c>
      <c r="F256" s="618" t="s">
        <v>2999</v>
      </c>
      <c r="G256" s="617" t="s">
        <v>2896</v>
      </c>
      <c r="H256" s="617" t="s">
        <v>2897</v>
      </c>
      <c r="I256" s="619">
        <v>1.8050000000000002</v>
      </c>
      <c r="J256" s="619">
        <v>200</v>
      </c>
      <c r="K256" s="620">
        <v>361</v>
      </c>
    </row>
    <row r="257" spans="1:11" ht="14.4" customHeight="1" x14ac:dyDescent="0.3">
      <c r="A257" s="615" t="s">
        <v>471</v>
      </c>
      <c r="B257" s="616" t="s">
        <v>2151</v>
      </c>
      <c r="C257" s="617" t="s">
        <v>476</v>
      </c>
      <c r="D257" s="618" t="s">
        <v>2152</v>
      </c>
      <c r="E257" s="617" t="s">
        <v>2998</v>
      </c>
      <c r="F257" s="618" t="s">
        <v>2999</v>
      </c>
      <c r="G257" s="617" t="s">
        <v>2898</v>
      </c>
      <c r="H257" s="617" t="s">
        <v>2899</v>
      </c>
      <c r="I257" s="619">
        <v>10.67</v>
      </c>
      <c r="J257" s="619">
        <v>50</v>
      </c>
      <c r="K257" s="620">
        <v>533.61</v>
      </c>
    </row>
    <row r="258" spans="1:11" ht="14.4" customHeight="1" x14ac:dyDescent="0.3">
      <c r="A258" s="615" t="s">
        <v>471</v>
      </c>
      <c r="B258" s="616" t="s">
        <v>2151</v>
      </c>
      <c r="C258" s="617" t="s">
        <v>476</v>
      </c>
      <c r="D258" s="618" t="s">
        <v>2152</v>
      </c>
      <c r="E258" s="617" t="s">
        <v>3000</v>
      </c>
      <c r="F258" s="618" t="s">
        <v>3001</v>
      </c>
      <c r="G258" s="617" t="s">
        <v>2900</v>
      </c>
      <c r="H258" s="617" t="s">
        <v>2901</v>
      </c>
      <c r="I258" s="619">
        <v>20.16</v>
      </c>
      <c r="J258" s="619">
        <v>50</v>
      </c>
      <c r="K258" s="620">
        <v>1007.93</v>
      </c>
    </row>
    <row r="259" spans="1:11" ht="14.4" customHeight="1" x14ac:dyDescent="0.3">
      <c r="A259" s="615" t="s">
        <v>471</v>
      </c>
      <c r="B259" s="616" t="s">
        <v>2151</v>
      </c>
      <c r="C259" s="617" t="s">
        <v>476</v>
      </c>
      <c r="D259" s="618" t="s">
        <v>2152</v>
      </c>
      <c r="E259" s="617" t="s">
        <v>3000</v>
      </c>
      <c r="F259" s="618" t="s">
        <v>3001</v>
      </c>
      <c r="G259" s="617" t="s">
        <v>2902</v>
      </c>
      <c r="H259" s="617" t="s">
        <v>2903</v>
      </c>
      <c r="I259" s="619">
        <v>0.71</v>
      </c>
      <c r="J259" s="619">
        <v>130000</v>
      </c>
      <c r="K259" s="620">
        <v>92300</v>
      </c>
    </row>
    <row r="260" spans="1:11" ht="14.4" customHeight="1" x14ac:dyDescent="0.3">
      <c r="A260" s="615" t="s">
        <v>471</v>
      </c>
      <c r="B260" s="616" t="s">
        <v>2151</v>
      </c>
      <c r="C260" s="617" t="s">
        <v>476</v>
      </c>
      <c r="D260" s="618" t="s">
        <v>2152</v>
      </c>
      <c r="E260" s="617" t="s">
        <v>3000</v>
      </c>
      <c r="F260" s="618" t="s">
        <v>3001</v>
      </c>
      <c r="G260" s="617" t="s">
        <v>2904</v>
      </c>
      <c r="H260" s="617" t="s">
        <v>2905</v>
      </c>
      <c r="I260" s="619">
        <v>0.71</v>
      </c>
      <c r="J260" s="619">
        <v>720</v>
      </c>
      <c r="K260" s="620">
        <v>511.2</v>
      </c>
    </row>
    <row r="261" spans="1:11" ht="14.4" customHeight="1" x14ac:dyDescent="0.3">
      <c r="A261" s="615" t="s">
        <v>471</v>
      </c>
      <c r="B261" s="616" t="s">
        <v>2151</v>
      </c>
      <c r="C261" s="617" t="s">
        <v>476</v>
      </c>
      <c r="D261" s="618" t="s">
        <v>2152</v>
      </c>
      <c r="E261" s="617" t="s">
        <v>3000</v>
      </c>
      <c r="F261" s="618" t="s">
        <v>3001</v>
      </c>
      <c r="G261" s="617" t="s">
        <v>2906</v>
      </c>
      <c r="H261" s="617" t="s">
        <v>2907</v>
      </c>
      <c r="I261" s="619">
        <v>0.71</v>
      </c>
      <c r="J261" s="619">
        <v>2600</v>
      </c>
      <c r="K261" s="620">
        <v>1846</v>
      </c>
    </row>
    <row r="262" spans="1:11" ht="14.4" customHeight="1" x14ac:dyDescent="0.3">
      <c r="A262" s="615" t="s">
        <v>471</v>
      </c>
      <c r="B262" s="616" t="s">
        <v>2151</v>
      </c>
      <c r="C262" s="617" t="s">
        <v>476</v>
      </c>
      <c r="D262" s="618" t="s">
        <v>2152</v>
      </c>
      <c r="E262" s="617" t="s">
        <v>3000</v>
      </c>
      <c r="F262" s="618" t="s">
        <v>3001</v>
      </c>
      <c r="G262" s="617" t="s">
        <v>2908</v>
      </c>
      <c r="H262" s="617" t="s">
        <v>2909</v>
      </c>
      <c r="I262" s="619">
        <v>0.71</v>
      </c>
      <c r="J262" s="619">
        <v>9000</v>
      </c>
      <c r="K262" s="620">
        <v>6390</v>
      </c>
    </row>
    <row r="263" spans="1:11" ht="14.4" customHeight="1" x14ac:dyDescent="0.3">
      <c r="A263" s="615" t="s">
        <v>471</v>
      </c>
      <c r="B263" s="616" t="s">
        <v>2151</v>
      </c>
      <c r="C263" s="617" t="s">
        <v>476</v>
      </c>
      <c r="D263" s="618" t="s">
        <v>2152</v>
      </c>
      <c r="E263" s="617" t="s">
        <v>3000</v>
      </c>
      <c r="F263" s="618" t="s">
        <v>3001</v>
      </c>
      <c r="G263" s="617" t="s">
        <v>2910</v>
      </c>
      <c r="H263" s="617" t="s">
        <v>2911</v>
      </c>
      <c r="I263" s="619">
        <v>12.583333333333334</v>
      </c>
      <c r="J263" s="619">
        <v>300</v>
      </c>
      <c r="K263" s="620">
        <v>3775</v>
      </c>
    </row>
    <row r="264" spans="1:11" ht="14.4" customHeight="1" x14ac:dyDescent="0.3">
      <c r="A264" s="615" t="s">
        <v>471</v>
      </c>
      <c r="B264" s="616" t="s">
        <v>2151</v>
      </c>
      <c r="C264" s="617" t="s">
        <v>476</v>
      </c>
      <c r="D264" s="618" t="s">
        <v>2152</v>
      </c>
      <c r="E264" s="617" t="s">
        <v>3000</v>
      </c>
      <c r="F264" s="618" t="s">
        <v>3001</v>
      </c>
      <c r="G264" s="617" t="s">
        <v>2912</v>
      </c>
      <c r="H264" s="617" t="s">
        <v>2913</v>
      </c>
      <c r="I264" s="619">
        <v>12.58</v>
      </c>
      <c r="J264" s="619">
        <v>270</v>
      </c>
      <c r="K264" s="620">
        <v>3396.6</v>
      </c>
    </row>
    <row r="265" spans="1:11" ht="14.4" customHeight="1" x14ac:dyDescent="0.3">
      <c r="A265" s="615" t="s">
        <v>471</v>
      </c>
      <c r="B265" s="616" t="s">
        <v>2151</v>
      </c>
      <c r="C265" s="617" t="s">
        <v>476</v>
      </c>
      <c r="D265" s="618" t="s">
        <v>2152</v>
      </c>
      <c r="E265" s="617" t="s">
        <v>3000</v>
      </c>
      <c r="F265" s="618" t="s">
        <v>3001</v>
      </c>
      <c r="G265" s="617" t="s">
        <v>2914</v>
      </c>
      <c r="H265" s="617" t="s">
        <v>2915</v>
      </c>
      <c r="I265" s="619">
        <v>12.59</v>
      </c>
      <c r="J265" s="619">
        <v>100</v>
      </c>
      <c r="K265" s="620">
        <v>1259</v>
      </c>
    </row>
    <row r="266" spans="1:11" ht="14.4" customHeight="1" x14ac:dyDescent="0.3">
      <c r="A266" s="615" t="s">
        <v>471</v>
      </c>
      <c r="B266" s="616" t="s">
        <v>2151</v>
      </c>
      <c r="C266" s="617" t="s">
        <v>476</v>
      </c>
      <c r="D266" s="618" t="s">
        <v>2152</v>
      </c>
      <c r="E266" s="617" t="s">
        <v>3000</v>
      </c>
      <c r="F266" s="618" t="s">
        <v>3001</v>
      </c>
      <c r="G266" s="617" t="s">
        <v>2916</v>
      </c>
      <c r="H266" s="617" t="s">
        <v>2917</v>
      </c>
      <c r="I266" s="619">
        <v>12.58</v>
      </c>
      <c r="J266" s="619">
        <v>120</v>
      </c>
      <c r="K266" s="620">
        <v>1509.6</v>
      </c>
    </row>
    <row r="267" spans="1:11" ht="14.4" customHeight="1" x14ac:dyDescent="0.3">
      <c r="A267" s="615" t="s">
        <v>471</v>
      </c>
      <c r="B267" s="616" t="s">
        <v>2151</v>
      </c>
      <c r="C267" s="617" t="s">
        <v>476</v>
      </c>
      <c r="D267" s="618" t="s">
        <v>2152</v>
      </c>
      <c r="E267" s="617" t="s">
        <v>3000</v>
      </c>
      <c r="F267" s="618" t="s">
        <v>3001</v>
      </c>
      <c r="G267" s="617" t="s">
        <v>2918</v>
      </c>
      <c r="H267" s="617" t="s">
        <v>2919</v>
      </c>
      <c r="I267" s="619">
        <v>20.16</v>
      </c>
      <c r="J267" s="619">
        <v>50</v>
      </c>
      <c r="K267" s="620">
        <v>1007.93</v>
      </c>
    </row>
    <row r="268" spans="1:11" ht="14.4" customHeight="1" x14ac:dyDescent="0.3">
      <c r="A268" s="615" t="s">
        <v>471</v>
      </c>
      <c r="B268" s="616" t="s">
        <v>2151</v>
      </c>
      <c r="C268" s="617" t="s">
        <v>476</v>
      </c>
      <c r="D268" s="618" t="s">
        <v>2152</v>
      </c>
      <c r="E268" s="617" t="s">
        <v>3002</v>
      </c>
      <c r="F268" s="618" t="s">
        <v>3003</v>
      </c>
      <c r="G268" s="617" t="s">
        <v>2920</v>
      </c>
      <c r="H268" s="617" t="s">
        <v>2921</v>
      </c>
      <c r="I268" s="619">
        <v>139.44000000000003</v>
      </c>
      <c r="J268" s="619">
        <v>90</v>
      </c>
      <c r="K268" s="620">
        <v>12549.49</v>
      </c>
    </row>
    <row r="269" spans="1:11" ht="14.4" customHeight="1" x14ac:dyDescent="0.3">
      <c r="A269" s="615" t="s">
        <v>471</v>
      </c>
      <c r="B269" s="616" t="s">
        <v>2151</v>
      </c>
      <c r="C269" s="617" t="s">
        <v>476</v>
      </c>
      <c r="D269" s="618" t="s">
        <v>2152</v>
      </c>
      <c r="E269" s="617" t="s">
        <v>3002</v>
      </c>
      <c r="F269" s="618" t="s">
        <v>3003</v>
      </c>
      <c r="G269" s="617" t="s">
        <v>2922</v>
      </c>
      <c r="H269" s="617" t="s">
        <v>2923</v>
      </c>
      <c r="I269" s="619">
        <v>139.44000000000003</v>
      </c>
      <c r="J269" s="619">
        <v>90</v>
      </c>
      <c r="K269" s="620">
        <v>12549.44</v>
      </c>
    </row>
    <row r="270" spans="1:11" ht="14.4" customHeight="1" x14ac:dyDescent="0.3">
      <c r="A270" s="615" t="s">
        <v>471</v>
      </c>
      <c r="B270" s="616" t="s">
        <v>2151</v>
      </c>
      <c r="C270" s="617" t="s">
        <v>476</v>
      </c>
      <c r="D270" s="618" t="s">
        <v>2152</v>
      </c>
      <c r="E270" s="617" t="s">
        <v>3002</v>
      </c>
      <c r="F270" s="618" t="s">
        <v>3003</v>
      </c>
      <c r="G270" s="617" t="s">
        <v>2924</v>
      </c>
      <c r="H270" s="617" t="s">
        <v>2925</v>
      </c>
      <c r="I270" s="619">
        <v>121</v>
      </c>
      <c r="J270" s="619">
        <v>5</v>
      </c>
      <c r="K270" s="620">
        <v>605</v>
      </c>
    </row>
    <row r="271" spans="1:11" ht="14.4" customHeight="1" x14ac:dyDescent="0.3">
      <c r="A271" s="615" t="s">
        <v>471</v>
      </c>
      <c r="B271" s="616" t="s">
        <v>2151</v>
      </c>
      <c r="C271" s="617" t="s">
        <v>476</v>
      </c>
      <c r="D271" s="618" t="s">
        <v>2152</v>
      </c>
      <c r="E271" s="617" t="s">
        <v>3002</v>
      </c>
      <c r="F271" s="618" t="s">
        <v>3003</v>
      </c>
      <c r="G271" s="617" t="s">
        <v>2926</v>
      </c>
      <c r="H271" s="617" t="s">
        <v>2927</v>
      </c>
      <c r="I271" s="619">
        <v>142.78</v>
      </c>
      <c r="J271" s="619">
        <v>18</v>
      </c>
      <c r="K271" s="620">
        <v>2570.04</v>
      </c>
    </row>
    <row r="272" spans="1:11" ht="14.4" customHeight="1" x14ac:dyDescent="0.3">
      <c r="A272" s="615" t="s">
        <v>471</v>
      </c>
      <c r="B272" s="616" t="s">
        <v>2151</v>
      </c>
      <c r="C272" s="617" t="s">
        <v>476</v>
      </c>
      <c r="D272" s="618" t="s">
        <v>2152</v>
      </c>
      <c r="E272" s="617" t="s">
        <v>3002</v>
      </c>
      <c r="F272" s="618" t="s">
        <v>3003</v>
      </c>
      <c r="G272" s="617" t="s">
        <v>2928</v>
      </c>
      <c r="H272" s="617" t="s">
        <v>2929</v>
      </c>
      <c r="I272" s="619">
        <v>3709.67</v>
      </c>
      <c r="J272" s="619">
        <v>1</v>
      </c>
      <c r="K272" s="620">
        <v>3709.67</v>
      </c>
    </row>
    <row r="273" spans="1:11" ht="14.4" customHeight="1" x14ac:dyDescent="0.3">
      <c r="A273" s="615" t="s">
        <v>471</v>
      </c>
      <c r="B273" s="616" t="s">
        <v>2151</v>
      </c>
      <c r="C273" s="617" t="s">
        <v>476</v>
      </c>
      <c r="D273" s="618" t="s">
        <v>2152</v>
      </c>
      <c r="E273" s="617" t="s">
        <v>3002</v>
      </c>
      <c r="F273" s="618" t="s">
        <v>3003</v>
      </c>
      <c r="G273" s="617" t="s">
        <v>2930</v>
      </c>
      <c r="H273" s="617" t="s">
        <v>2931</v>
      </c>
      <c r="I273" s="619">
        <v>5445</v>
      </c>
      <c r="J273" s="619">
        <v>1</v>
      </c>
      <c r="K273" s="620">
        <v>5445</v>
      </c>
    </row>
    <row r="274" spans="1:11" ht="14.4" customHeight="1" x14ac:dyDescent="0.3">
      <c r="A274" s="615" t="s">
        <v>471</v>
      </c>
      <c r="B274" s="616" t="s">
        <v>2151</v>
      </c>
      <c r="C274" s="617" t="s">
        <v>476</v>
      </c>
      <c r="D274" s="618" t="s">
        <v>2152</v>
      </c>
      <c r="E274" s="617" t="s">
        <v>3002</v>
      </c>
      <c r="F274" s="618" t="s">
        <v>3003</v>
      </c>
      <c r="G274" s="617" t="s">
        <v>2932</v>
      </c>
      <c r="H274" s="617" t="s">
        <v>2933</v>
      </c>
      <c r="I274" s="619">
        <v>105.8</v>
      </c>
      <c r="J274" s="619">
        <v>1</v>
      </c>
      <c r="K274" s="620">
        <v>105.8</v>
      </c>
    </row>
    <row r="275" spans="1:11" ht="14.4" customHeight="1" x14ac:dyDescent="0.3">
      <c r="A275" s="615" t="s">
        <v>471</v>
      </c>
      <c r="B275" s="616" t="s">
        <v>2151</v>
      </c>
      <c r="C275" s="617" t="s">
        <v>476</v>
      </c>
      <c r="D275" s="618" t="s">
        <v>2152</v>
      </c>
      <c r="E275" s="617" t="s">
        <v>3002</v>
      </c>
      <c r="F275" s="618" t="s">
        <v>3003</v>
      </c>
      <c r="G275" s="617" t="s">
        <v>2934</v>
      </c>
      <c r="H275" s="617" t="s">
        <v>2935</v>
      </c>
      <c r="I275" s="619">
        <v>3035.3050000000003</v>
      </c>
      <c r="J275" s="619">
        <v>6</v>
      </c>
      <c r="K275" s="620">
        <v>18211.849999999999</v>
      </c>
    </row>
    <row r="276" spans="1:11" ht="14.4" customHeight="1" x14ac:dyDescent="0.3">
      <c r="A276" s="615" t="s">
        <v>471</v>
      </c>
      <c r="B276" s="616" t="s">
        <v>2151</v>
      </c>
      <c r="C276" s="617" t="s">
        <v>476</v>
      </c>
      <c r="D276" s="618" t="s">
        <v>2152</v>
      </c>
      <c r="E276" s="617" t="s">
        <v>3002</v>
      </c>
      <c r="F276" s="618" t="s">
        <v>3003</v>
      </c>
      <c r="G276" s="617" t="s">
        <v>2936</v>
      </c>
      <c r="H276" s="617" t="s">
        <v>2937</v>
      </c>
      <c r="I276" s="619">
        <v>2722.5</v>
      </c>
      <c r="J276" s="619">
        <v>30</v>
      </c>
      <c r="K276" s="620">
        <v>81674.990000000005</v>
      </c>
    </row>
    <row r="277" spans="1:11" ht="14.4" customHeight="1" x14ac:dyDescent="0.3">
      <c r="A277" s="615" t="s">
        <v>471</v>
      </c>
      <c r="B277" s="616" t="s">
        <v>2151</v>
      </c>
      <c r="C277" s="617" t="s">
        <v>476</v>
      </c>
      <c r="D277" s="618" t="s">
        <v>2152</v>
      </c>
      <c r="E277" s="617" t="s">
        <v>3002</v>
      </c>
      <c r="F277" s="618" t="s">
        <v>3003</v>
      </c>
      <c r="G277" s="617" t="s">
        <v>2938</v>
      </c>
      <c r="H277" s="617" t="s">
        <v>2939</v>
      </c>
      <c r="I277" s="619">
        <v>5445</v>
      </c>
      <c r="J277" s="619">
        <v>1</v>
      </c>
      <c r="K277" s="620">
        <v>5445</v>
      </c>
    </row>
    <row r="278" spans="1:11" ht="14.4" customHeight="1" x14ac:dyDescent="0.3">
      <c r="A278" s="615" t="s">
        <v>471</v>
      </c>
      <c r="B278" s="616" t="s">
        <v>2151</v>
      </c>
      <c r="C278" s="617" t="s">
        <v>476</v>
      </c>
      <c r="D278" s="618" t="s">
        <v>2152</v>
      </c>
      <c r="E278" s="617" t="s">
        <v>3002</v>
      </c>
      <c r="F278" s="618" t="s">
        <v>3003</v>
      </c>
      <c r="G278" s="617" t="s">
        <v>2940</v>
      </c>
      <c r="H278" s="617" t="s">
        <v>2941</v>
      </c>
      <c r="I278" s="619">
        <v>5445</v>
      </c>
      <c r="J278" s="619">
        <v>1</v>
      </c>
      <c r="K278" s="620">
        <v>5445</v>
      </c>
    </row>
    <row r="279" spans="1:11" ht="14.4" customHeight="1" x14ac:dyDescent="0.3">
      <c r="A279" s="615" t="s">
        <v>471</v>
      </c>
      <c r="B279" s="616" t="s">
        <v>2151</v>
      </c>
      <c r="C279" s="617" t="s">
        <v>476</v>
      </c>
      <c r="D279" s="618" t="s">
        <v>2152</v>
      </c>
      <c r="E279" s="617" t="s">
        <v>3002</v>
      </c>
      <c r="F279" s="618" t="s">
        <v>3003</v>
      </c>
      <c r="G279" s="617" t="s">
        <v>2942</v>
      </c>
      <c r="H279" s="617" t="s">
        <v>2943</v>
      </c>
      <c r="I279" s="619">
        <v>2277.85</v>
      </c>
      <c r="J279" s="619">
        <v>3</v>
      </c>
      <c r="K279" s="620">
        <v>6833.55</v>
      </c>
    </row>
    <row r="280" spans="1:11" ht="14.4" customHeight="1" x14ac:dyDescent="0.3">
      <c r="A280" s="615" t="s">
        <v>471</v>
      </c>
      <c r="B280" s="616" t="s">
        <v>2151</v>
      </c>
      <c r="C280" s="617" t="s">
        <v>476</v>
      </c>
      <c r="D280" s="618" t="s">
        <v>2152</v>
      </c>
      <c r="E280" s="617" t="s">
        <v>3002</v>
      </c>
      <c r="F280" s="618" t="s">
        <v>3003</v>
      </c>
      <c r="G280" s="617" t="s">
        <v>2944</v>
      </c>
      <c r="H280" s="617" t="s">
        <v>2945</v>
      </c>
      <c r="I280" s="619">
        <v>3130.7550000000001</v>
      </c>
      <c r="J280" s="619">
        <v>3</v>
      </c>
      <c r="K280" s="620">
        <v>9392.27</v>
      </c>
    </row>
    <row r="281" spans="1:11" ht="14.4" customHeight="1" x14ac:dyDescent="0.3">
      <c r="A281" s="615" t="s">
        <v>471</v>
      </c>
      <c r="B281" s="616" t="s">
        <v>2151</v>
      </c>
      <c r="C281" s="617" t="s">
        <v>476</v>
      </c>
      <c r="D281" s="618" t="s">
        <v>2152</v>
      </c>
      <c r="E281" s="617" t="s">
        <v>3002</v>
      </c>
      <c r="F281" s="618" t="s">
        <v>3003</v>
      </c>
      <c r="G281" s="617" t="s">
        <v>2946</v>
      </c>
      <c r="H281" s="617" t="s">
        <v>2947</v>
      </c>
      <c r="I281" s="619">
        <v>2277.85</v>
      </c>
      <c r="J281" s="619">
        <v>2</v>
      </c>
      <c r="K281" s="620">
        <v>4555.7</v>
      </c>
    </row>
    <row r="282" spans="1:11" ht="14.4" customHeight="1" x14ac:dyDescent="0.3">
      <c r="A282" s="615" t="s">
        <v>471</v>
      </c>
      <c r="B282" s="616" t="s">
        <v>2151</v>
      </c>
      <c r="C282" s="617" t="s">
        <v>476</v>
      </c>
      <c r="D282" s="618" t="s">
        <v>2152</v>
      </c>
      <c r="E282" s="617" t="s">
        <v>3002</v>
      </c>
      <c r="F282" s="618" t="s">
        <v>3003</v>
      </c>
      <c r="G282" s="617" t="s">
        <v>2948</v>
      </c>
      <c r="H282" s="617" t="s">
        <v>2949</v>
      </c>
      <c r="I282" s="619">
        <v>3035.3</v>
      </c>
      <c r="J282" s="619">
        <v>2</v>
      </c>
      <c r="K282" s="620">
        <v>6070.61</v>
      </c>
    </row>
    <row r="283" spans="1:11" ht="14.4" customHeight="1" x14ac:dyDescent="0.3">
      <c r="A283" s="615" t="s">
        <v>471</v>
      </c>
      <c r="B283" s="616" t="s">
        <v>2151</v>
      </c>
      <c r="C283" s="617" t="s">
        <v>476</v>
      </c>
      <c r="D283" s="618" t="s">
        <v>2152</v>
      </c>
      <c r="E283" s="617" t="s">
        <v>3002</v>
      </c>
      <c r="F283" s="618" t="s">
        <v>3003</v>
      </c>
      <c r="G283" s="617" t="s">
        <v>2950</v>
      </c>
      <c r="H283" s="617" t="s">
        <v>2951</v>
      </c>
      <c r="I283" s="619">
        <v>213.35</v>
      </c>
      <c r="J283" s="619">
        <v>10</v>
      </c>
      <c r="K283" s="620">
        <v>2133.4699999999998</v>
      </c>
    </row>
    <row r="284" spans="1:11" ht="14.4" customHeight="1" x14ac:dyDescent="0.3">
      <c r="A284" s="615" t="s">
        <v>471</v>
      </c>
      <c r="B284" s="616" t="s">
        <v>2151</v>
      </c>
      <c r="C284" s="617" t="s">
        <v>476</v>
      </c>
      <c r="D284" s="618" t="s">
        <v>2152</v>
      </c>
      <c r="E284" s="617" t="s">
        <v>3002</v>
      </c>
      <c r="F284" s="618" t="s">
        <v>3003</v>
      </c>
      <c r="G284" s="617" t="s">
        <v>2952</v>
      </c>
      <c r="H284" s="617" t="s">
        <v>2953</v>
      </c>
      <c r="I284" s="619">
        <v>5445</v>
      </c>
      <c r="J284" s="619">
        <v>0.5</v>
      </c>
      <c r="K284" s="620">
        <v>2722.5</v>
      </c>
    </row>
    <row r="285" spans="1:11" ht="14.4" customHeight="1" x14ac:dyDescent="0.3">
      <c r="A285" s="615" t="s">
        <v>471</v>
      </c>
      <c r="B285" s="616" t="s">
        <v>2151</v>
      </c>
      <c r="C285" s="617" t="s">
        <v>476</v>
      </c>
      <c r="D285" s="618" t="s">
        <v>2152</v>
      </c>
      <c r="E285" s="617" t="s">
        <v>3002</v>
      </c>
      <c r="F285" s="618" t="s">
        <v>3003</v>
      </c>
      <c r="G285" s="617" t="s">
        <v>2954</v>
      </c>
      <c r="H285" s="617" t="s">
        <v>2955</v>
      </c>
      <c r="I285" s="619">
        <v>9228.19</v>
      </c>
      <c r="J285" s="619">
        <v>1</v>
      </c>
      <c r="K285" s="620">
        <v>9228.19</v>
      </c>
    </row>
    <row r="286" spans="1:11" ht="14.4" customHeight="1" x14ac:dyDescent="0.3">
      <c r="A286" s="615" t="s">
        <v>471</v>
      </c>
      <c r="B286" s="616" t="s">
        <v>2151</v>
      </c>
      <c r="C286" s="617" t="s">
        <v>476</v>
      </c>
      <c r="D286" s="618" t="s">
        <v>2152</v>
      </c>
      <c r="E286" s="617" t="s">
        <v>3002</v>
      </c>
      <c r="F286" s="618" t="s">
        <v>3003</v>
      </c>
      <c r="G286" s="617" t="s">
        <v>2956</v>
      </c>
      <c r="H286" s="617" t="s">
        <v>2957</v>
      </c>
      <c r="I286" s="619">
        <v>22994.6</v>
      </c>
      <c r="J286" s="619">
        <v>1</v>
      </c>
      <c r="K286" s="620">
        <v>22994.6</v>
      </c>
    </row>
    <row r="287" spans="1:11" ht="14.4" customHeight="1" x14ac:dyDescent="0.3">
      <c r="A287" s="615" t="s">
        <v>471</v>
      </c>
      <c r="B287" s="616" t="s">
        <v>2151</v>
      </c>
      <c r="C287" s="617" t="s">
        <v>476</v>
      </c>
      <c r="D287" s="618" t="s">
        <v>2152</v>
      </c>
      <c r="E287" s="617" t="s">
        <v>3002</v>
      </c>
      <c r="F287" s="618" t="s">
        <v>3003</v>
      </c>
      <c r="G287" s="617" t="s">
        <v>2958</v>
      </c>
      <c r="H287" s="617" t="s">
        <v>2959</v>
      </c>
      <c r="I287" s="619">
        <v>22994.6</v>
      </c>
      <c r="J287" s="619">
        <v>1</v>
      </c>
      <c r="K287" s="620">
        <v>22994.6</v>
      </c>
    </row>
    <row r="288" spans="1:11" ht="14.4" customHeight="1" x14ac:dyDescent="0.3">
      <c r="A288" s="615" t="s">
        <v>471</v>
      </c>
      <c r="B288" s="616" t="s">
        <v>2151</v>
      </c>
      <c r="C288" s="617" t="s">
        <v>476</v>
      </c>
      <c r="D288" s="618" t="s">
        <v>2152</v>
      </c>
      <c r="E288" s="617" t="s">
        <v>3002</v>
      </c>
      <c r="F288" s="618" t="s">
        <v>3003</v>
      </c>
      <c r="G288" s="617" t="s">
        <v>2960</v>
      </c>
      <c r="H288" s="617" t="s">
        <v>2961</v>
      </c>
      <c r="I288" s="619">
        <v>34908.5</v>
      </c>
      <c r="J288" s="619">
        <v>0.5</v>
      </c>
      <c r="K288" s="620">
        <v>17454.25</v>
      </c>
    </row>
    <row r="289" spans="1:11" ht="14.4" customHeight="1" x14ac:dyDescent="0.3">
      <c r="A289" s="615" t="s">
        <v>471</v>
      </c>
      <c r="B289" s="616" t="s">
        <v>2151</v>
      </c>
      <c r="C289" s="617" t="s">
        <v>476</v>
      </c>
      <c r="D289" s="618" t="s">
        <v>2152</v>
      </c>
      <c r="E289" s="617" t="s">
        <v>3004</v>
      </c>
      <c r="F289" s="618" t="s">
        <v>3005</v>
      </c>
      <c r="G289" s="617" t="s">
        <v>2962</v>
      </c>
      <c r="H289" s="617" t="s">
        <v>2963</v>
      </c>
      <c r="I289" s="619">
        <v>36.83</v>
      </c>
      <c r="J289" s="619">
        <v>23</v>
      </c>
      <c r="K289" s="620">
        <v>847.15</v>
      </c>
    </row>
    <row r="290" spans="1:11" ht="14.4" customHeight="1" x14ac:dyDescent="0.3">
      <c r="A290" s="615" t="s">
        <v>471</v>
      </c>
      <c r="B290" s="616" t="s">
        <v>2151</v>
      </c>
      <c r="C290" s="617" t="s">
        <v>476</v>
      </c>
      <c r="D290" s="618" t="s">
        <v>2152</v>
      </c>
      <c r="E290" s="617" t="s">
        <v>3004</v>
      </c>
      <c r="F290" s="618" t="s">
        <v>3005</v>
      </c>
      <c r="G290" s="617" t="s">
        <v>2964</v>
      </c>
      <c r="H290" s="617" t="s">
        <v>2965</v>
      </c>
      <c r="I290" s="619">
        <v>15.208000000000002</v>
      </c>
      <c r="J290" s="619">
        <v>250</v>
      </c>
      <c r="K290" s="620">
        <v>3801.7899999999995</v>
      </c>
    </row>
    <row r="291" spans="1:11" ht="14.4" customHeight="1" x14ac:dyDescent="0.3">
      <c r="A291" s="615" t="s">
        <v>471</v>
      </c>
      <c r="B291" s="616" t="s">
        <v>2151</v>
      </c>
      <c r="C291" s="617" t="s">
        <v>476</v>
      </c>
      <c r="D291" s="618" t="s">
        <v>2152</v>
      </c>
      <c r="E291" s="617" t="s">
        <v>3004</v>
      </c>
      <c r="F291" s="618" t="s">
        <v>3005</v>
      </c>
      <c r="G291" s="617" t="s">
        <v>2966</v>
      </c>
      <c r="H291" s="617" t="s">
        <v>2967</v>
      </c>
      <c r="I291" s="619">
        <v>23.474285714285713</v>
      </c>
      <c r="J291" s="619">
        <v>330</v>
      </c>
      <c r="K291" s="620">
        <v>7746.5999999999995</v>
      </c>
    </row>
    <row r="292" spans="1:11" ht="14.4" customHeight="1" x14ac:dyDescent="0.3">
      <c r="A292" s="615" t="s">
        <v>471</v>
      </c>
      <c r="B292" s="616" t="s">
        <v>2151</v>
      </c>
      <c r="C292" s="617" t="s">
        <v>476</v>
      </c>
      <c r="D292" s="618" t="s">
        <v>2152</v>
      </c>
      <c r="E292" s="617" t="s">
        <v>3004</v>
      </c>
      <c r="F292" s="618" t="s">
        <v>3005</v>
      </c>
      <c r="G292" s="617" t="s">
        <v>2968</v>
      </c>
      <c r="H292" s="617" t="s">
        <v>2969</v>
      </c>
      <c r="I292" s="619">
        <v>36.83</v>
      </c>
      <c r="J292" s="619">
        <v>10</v>
      </c>
      <c r="K292" s="620">
        <v>368.3</v>
      </c>
    </row>
    <row r="293" spans="1:11" ht="14.4" customHeight="1" x14ac:dyDescent="0.3">
      <c r="A293" s="615" t="s">
        <v>471</v>
      </c>
      <c r="B293" s="616" t="s">
        <v>2151</v>
      </c>
      <c r="C293" s="617" t="s">
        <v>476</v>
      </c>
      <c r="D293" s="618" t="s">
        <v>2152</v>
      </c>
      <c r="E293" s="617" t="s">
        <v>3004</v>
      </c>
      <c r="F293" s="618" t="s">
        <v>3005</v>
      </c>
      <c r="G293" s="617" t="s">
        <v>2970</v>
      </c>
      <c r="H293" s="617" t="s">
        <v>2971</v>
      </c>
      <c r="I293" s="619">
        <v>220.22</v>
      </c>
      <c r="J293" s="619">
        <v>80</v>
      </c>
      <c r="K293" s="620">
        <v>17617.599999999999</v>
      </c>
    </row>
    <row r="294" spans="1:11" ht="14.4" customHeight="1" x14ac:dyDescent="0.3">
      <c r="A294" s="615" t="s">
        <v>471</v>
      </c>
      <c r="B294" s="616" t="s">
        <v>2151</v>
      </c>
      <c r="C294" s="617" t="s">
        <v>476</v>
      </c>
      <c r="D294" s="618" t="s">
        <v>2152</v>
      </c>
      <c r="E294" s="617" t="s">
        <v>3004</v>
      </c>
      <c r="F294" s="618" t="s">
        <v>3005</v>
      </c>
      <c r="G294" s="617" t="s">
        <v>2972</v>
      </c>
      <c r="H294" s="617" t="s">
        <v>2973</v>
      </c>
      <c r="I294" s="619">
        <v>440.44</v>
      </c>
      <c r="J294" s="619">
        <v>50</v>
      </c>
      <c r="K294" s="620">
        <v>22022</v>
      </c>
    </row>
    <row r="295" spans="1:11" ht="14.4" customHeight="1" x14ac:dyDescent="0.3">
      <c r="A295" s="615" t="s">
        <v>471</v>
      </c>
      <c r="B295" s="616" t="s">
        <v>2151</v>
      </c>
      <c r="C295" s="617" t="s">
        <v>476</v>
      </c>
      <c r="D295" s="618" t="s">
        <v>2152</v>
      </c>
      <c r="E295" s="617" t="s">
        <v>3004</v>
      </c>
      <c r="F295" s="618" t="s">
        <v>3005</v>
      </c>
      <c r="G295" s="617" t="s">
        <v>2974</v>
      </c>
      <c r="H295" s="617" t="s">
        <v>2975</v>
      </c>
      <c r="I295" s="619">
        <v>1045.44</v>
      </c>
      <c r="J295" s="619">
        <v>25</v>
      </c>
      <c r="K295" s="620">
        <v>26136</v>
      </c>
    </row>
    <row r="296" spans="1:11" ht="14.4" customHeight="1" x14ac:dyDescent="0.3">
      <c r="A296" s="615" t="s">
        <v>471</v>
      </c>
      <c r="B296" s="616" t="s">
        <v>2151</v>
      </c>
      <c r="C296" s="617" t="s">
        <v>476</v>
      </c>
      <c r="D296" s="618" t="s">
        <v>2152</v>
      </c>
      <c r="E296" s="617" t="s">
        <v>3004</v>
      </c>
      <c r="F296" s="618" t="s">
        <v>3005</v>
      </c>
      <c r="G296" s="617" t="s">
        <v>2976</v>
      </c>
      <c r="H296" s="617" t="s">
        <v>2977</v>
      </c>
      <c r="I296" s="619">
        <v>36.83</v>
      </c>
      <c r="J296" s="619">
        <v>3</v>
      </c>
      <c r="K296" s="620">
        <v>110.5</v>
      </c>
    </row>
    <row r="297" spans="1:11" ht="14.4" customHeight="1" x14ac:dyDescent="0.3">
      <c r="A297" s="615" t="s">
        <v>471</v>
      </c>
      <c r="B297" s="616" t="s">
        <v>2151</v>
      </c>
      <c r="C297" s="617" t="s">
        <v>476</v>
      </c>
      <c r="D297" s="618" t="s">
        <v>2152</v>
      </c>
      <c r="E297" s="617" t="s">
        <v>3004</v>
      </c>
      <c r="F297" s="618" t="s">
        <v>3005</v>
      </c>
      <c r="G297" s="617" t="s">
        <v>2978</v>
      </c>
      <c r="H297" s="617" t="s">
        <v>2979</v>
      </c>
      <c r="I297" s="619">
        <v>36.83</v>
      </c>
      <c r="J297" s="619">
        <v>23</v>
      </c>
      <c r="K297" s="620">
        <v>847.1</v>
      </c>
    </row>
    <row r="298" spans="1:11" ht="14.4" customHeight="1" x14ac:dyDescent="0.3">
      <c r="A298" s="615" t="s">
        <v>471</v>
      </c>
      <c r="B298" s="616" t="s">
        <v>2151</v>
      </c>
      <c r="C298" s="617" t="s">
        <v>476</v>
      </c>
      <c r="D298" s="618" t="s">
        <v>2152</v>
      </c>
      <c r="E298" s="617" t="s">
        <v>3004</v>
      </c>
      <c r="F298" s="618" t="s">
        <v>3005</v>
      </c>
      <c r="G298" s="617" t="s">
        <v>2980</v>
      </c>
      <c r="H298" s="617" t="s">
        <v>2981</v>
      </c>
      <c r="I298" s="619">
        <v>50.600000000000009</v>
      </c>
      <c r="J298" s="619">
        <v>400</v>
      </c>
      <c r="K298" s="620">
        <v>20240.890000000003</v>
      </c>
    </row>
    <row r="299" spans="1:11" ht="14.4" customHeight="1" x14ac:dyDescent="0.3">
      <c r="A299" s="615" t="s">
        <v>471</v>
      </c>
      <c r="B299" s="616" t="s">
        <v>2151</v>
      </c>
      <c r="C299" s="617" t="s">
        <v>476</v>
      </c>
      <c r="D299" s="618" t="s">
        <v>2152</v>
      </c>
      <c r="E299" s="617" t="s">
        <v>3004</v>
      </c>
      <c r="F299" s="618" t="s">
        <v>3005</v>
      </c>
      <c r="G299" s="617" t="s">
        <v>2982</v>
      </c>
      <c r="H299" s="617" t="s">
        <v>2983</v>
      </c>
      <c r="I299" s="619">
        <v>154.88</v>
      </c>
      <c r="J299" s="619">
        <v>50</v>
      </c>
      <c r="K299" s="620">
        <v>7744</v>
      </c>
    </row>
    <row r="300" spans="1:11" ht="14.4" customHeight="1" thickBot="1" x14ac:dyDescent="0.35">
      <c r="A300" s="621" t="s">
        <v>471</v>
      </c>
      <c r="B300" s="622" t="s">
        <v>2151</v>
      </c>
      <c r="C300" s="623" t="s">
        <v>476</v>
      </c>
      <c r="D300" s="624" t="s">
        <v>2152</v>
      </c>
      <c r="E300" s="623" t="s">
        <v>3004</v>
      </c>
      <c r="F300" s="624" t="s">
        <v>3005</v>
      </c>
      <c r="G300" s="623" t="s">
        <v>2984</v>
      </c>
      <c r="H300" s="623" t="s">
        <v>2985</v>
      </c>
      <c r="I300" s="625">
        <v>36.83</v>
      </c>
      <c r="J300" s="625">
        <v>15</v>
      </c>
      <c r="K300" s="626">
        <v>552.49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M36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L1"/>
    </sheetView>
  </sheetViews>
  <sheetFormatPr defaultRowHeight="14.4" outlineLevelRow="1" x14ac:dyDescent="0.3"/>
  <cols>
    <col min="1" max="1" width="37.21875" customWidth="1"/>
    <col min="2" max="12" width="13.109375" customWidth="1"/>
  </cols>
  <sheetData>
    <row r="1" spans="1:13" ht="18.600000000000001" thickBot="1" x14ac:dyDescent="0.4">
      <c r="A1" s="510" t="s">
        <v>117</v>
      </c>
      <c r="B1" s="485"/>
      <c r="C1" s="485"/>
      <c r="D1" s="485"/>
      <c r="E1" s="485"/>
      <c r="F1" s="485"/>
      <c r="G1" s="485"/>
      <c r="H1" s="485"/>
      <c r="I1" s="485"/>
      <c r="J1" s="485"/>
      <c r="K1" s="485"/>
      <c r="L1" s="485"/>
    </row>
    <row r="2" spans="1:13" ht="15" thickBot="1" x14ac:dyDescent="0.35">
      <c r="A2" s="360" t="s">
        <v>280</v>
      </c>
      <c r="B2" s="361"/>
      <c r="C2" s="361"/>
      <c r="D2" s="361"/>
      <c r="E2" s="361"/>
      <c r="F2" s="361"/>
      <c r="G2" s="361"/>
      <c r="H2" s="361"/>
      <c r="I2" s="361"/>
      <c r="J2" s="361"/>
    </row>
    <row r="3" spans="1:13" x14ac:dyDescent="0.3">
      <c r="A3" s="379" t="s">
        <v>218</v>
      </c>
      <c r="B3" s="508" t="s">
        <v>201</v>
      </c>
      <c r="C3" s="362">
        <v>0</v>
      </c>
      <c r="D3" s="382">
        <v>100</v>
      </c>
      <c r="E3" s="382">
        <v>101</v>
      </c>
      <c r="F3" s="382">
        <v>302</v>
      </c>
      <c r="G3" s="382">
        <v>303</v>
      </c>
      <c r="H3" s="382">
        <v>304</v>
      </c>
      <c r="I3" s="382">
        <v>305</v>
      </c>
      <c r="J3" s="363">
        <v>636</v>
      </c>
      <c r="K3" s="363">
        <v>642</v>
      </c>
      <c r="L3" s="680">
        <v>930</v>
      </c>
      <c r="M3" s="695"/>
    </row>
    <row r="4" spans="1:13" ht="24.6" outlineLevel="1" thickBot="1" x14ac:dyDescent="0.35">
      <c r="A4" s="380">
        <v>2016</v>
      </c>
      <c r="B4" s="509"/>
      <c r="C4" s="364" t="s">
        <v>202</v>
      </c>
      <c r="D4" s="383" t="s">
        <v>246</v>
      </c>
      <c r="E4" s="383" t="s">
        <v>247</v>
      </c>
      <c r="F4" s="383" t="s">
        <v>248</v>
      </c>
      <c r="G4" s="383" t="s">
        <v>249</v>
      </c>
      <c r="H4" s="383" t="s">
        <v>250</v>
      </c>
      <c r="I4" s="383" t="s">
        <v>251</v>
      </c>
      <c r="J4" s="365" t="s">
        <v>227</v>
      </c>
      <c r="K4" s="365" t="s">
        <v>228</v>
      </c>
      <c r="L4" s="681" t="s">
        <v>220</v>
      </c>
      <c r="M4" s="695"/>
    </row>
    <row r="5" spans="1:13" x14ac:dyDescent="0.3">
      <c r="A5" s="366" t="s">
        <v>203</v>
      </c>
      <c r="B5" s="404"/>
      <c r="C5" s="405"/>
      <c r="D5" s="406"/>
      <c r="E5" s="406"/>
      <c r="F5" s="406"/>
      <c r="G5" s="406"/>
      <c r="H5" s="406"/>
      <c r="I5" s="406"/>
      <c r="J5" s="406"/>
      <c r="K5" s="406"/>
      <c r="L5" s="682"/>
      <c r="M5" s="695"/>
    </row>
    <row r="6" spans="1:13" ht="15" collapsed="1" thickBot="1" x14ac:dyDescent="0.35">
      <c r="A6" s="367" t="s">
        <v>81</v>
      </c>
      <c r="B6" s="407">
        <f xml:space="preserve">
TRUNC(IF($A$4&lt;=12,SUMIFS('ON Data'!F:F,'ON Data'!$D:$D,$A$4,'ON Data'!$E:$E,1),SUMIFS('ON Data'!F:F,'ON Data'!$E:$E,1)/'ON Data'!$D$3),1)</f>
        <v>57.2</v>
      </c>
      <c r="C6" s="408">
        <f xml:space="preserve">
TRUNC(IF($A$4&lt;=12,SUMIFS('ON Data'!G:G,'ON Data'!$D:$D,$A$4,'ON Data'!$E:$E,1),SUMIFS('ON Data'!G:G,'ON Data'!$E:$E,1)/'ON Data'!$D$3),1)</f>
        <v>0</v>
      </c>
      <c r="D6" s="409">
        <f xml:space="preserve">
TRUNC(IF($A$4&lt;=12,SUMIFS('ON Data'!J:J,'ON Data'!$D:$D,$A$4,'ON Data'!$E:$E,1),SUMIFS('ON Data'!J:J,'ON Data'!$E:$E,1)/'ON Data'!$D$3),1)</f>
        <v>1.8</v>
      </c>
      <c r="E6" s="409">
        <f xml:space="preserve">
TRUNC(IF($A$4&lt;=12,SUMIFS('ON Data'!K:K,'ON Data'!$D:$D,$A$4,'ON Data'!$E:$E,1),SUMIFS('ON Data'!K:K,'ON Data'!$E:$E,1)/'ON Data'!$D$3),1)</f>
        <v>6.5</v>
      </c>
      <c r="F6" s="409">
        <f xml:space="preserve">
TRUNC(IF($A$4&lt;=12,SUMIFS('ON Data'!O:O,'ON Data'!$D:$D,$A$4,'ON Data'!$E:$E,1),SUMIFS('ON Data'!O:O,'ON Data'!$E:$E,1)/'ON Data'!$D$3),1)</f>
        <v>0.2</v>
      </c>
      <c r="G6" s="409">
        <f xml:space="preserve">
TRUNC(IF($A$4&lt;=12,SUMIFS('ON Data'!P:P,'ON Data'!$D:$D,$A$4,'ON Data'!$E:$E,1),SUMIFS('ON Data'!P:P,'ON Data'!$E:$E,1)/'ON Data'!$D$3),1)</f>
        <v>12</v>
      </c>
      <c r="H6" s="409">
        <f xml:space="preserve">
TRUNC(IF($A$4&lt;=12,SUMIFS('ON Data'!Q:Q,'ON Data'!$D:$D,$A$4,'ON Data'!$E:$E,1),SUMIFS('ON Data'!Q:Q,'ON Data'!$E:$E,1)/'ON Data'!$D$3),1)</f>
        <v>21</v>
      </c>
      <c r="I6" s="409">
        <f xml:space="preserve">
TRUNC(IF($A$4&lt;=12,SUMIFS('ON Data'!R:R,'ON Data'!$D:$D,$A$4,'ON Data'!$E:$E,1),SUMIFS('ON Data'!R:R,'ON Data'!$E:$E,1)/'ON Data'!$D$3),1)</f>
        <v>10.3</v>
      </c>
      <c r="J6" s="409">
        <f xml:space="preserve">
TRUNC(IF($A$4&lt;=12,SUMIFS('ON Data'!AO:AO,'ON Data'!$D:$D,$A$4,'ON Data'!$E:$E,1),SUMIFS('ON Data'!AO:AO,'ON Data'!$E:$E,1)/'ON Data'!$D$3),1)</f>
        <v>2.1</v>
      </c>
      <c r="K6" s="409">
        <f xml:space="preserve">
TRUNC(IF($A$4&lt;=12,SUMIFS('ON Data'!AR:AR,'ON Data'!$D:$D,$A$4,'ON Data'!$E:$E,1),SUMIFS('ON Data'!AR:AR,'ON Data'!$E:$E,1)/'ON Data'!$D$3),1)</f>
        <v>2</v>
      </c>
      <c r="L6" s="683">
        <f xml:space="preserve">
TRUNC(IF($A$4&lt;=12,SUMIFS('ON Data'!AW:AW,'ON Data'!$D:$D,$A$4,'ON Data'!$E:$E,1),SUMIFS('ON Data'!AW:AW,'ON Data'!$E:$E,1)/'ON Data'!$D$3),1)</f>
        <v>1</v>
      </c>
      <c r="M6" s="695"/>
    </row>
    <row r="7" spans="1:13" ht="15" hidden="1" outlineLevel="1" thickBot="1" x14ac:dyDescent="0.35">
      <c r="A7" s="367" t="s">
        <v>118</v>
      </c>
      <c r="B7" s="407"/>
      <c r="C7" s="410"/>
      <c r="D7" s="409"/>
      <c r="E7" s="409"/>
      <c r="F7" s="409"/>
      <c r="G7" s="409"/>
      <c r="H7" s="409"/>
      <c r="I7" s="409"/>
      <c r="J7" s="409"/>
      <c r="K7" s="409"/>
      <c r="L7" s="683"/>
      <c r="M7" s="695"/>
    </row>
    <row r="8" spans="1:13" ht="15" hidden="1" outlineLevel="1" thickBot="1" x14ac:dyDescent="0.35">
      <c r="A8" s="367" t="s">
        <v>83</v>
      </c>
      <c r="B8" s="407"/>
      <c r="C8" s="410"/>
      <c r="D8" s="409"/>
      <c r="E8" s="409"/>
      <c r="F8" s="409"/>
      <c r="G8" s="409"/>
      <c r="H8" s="409"/>
      <c r="I8" s="409"/>
      <c r="J8" s="409"/>
      <c r="K8" s="409"/>
      <c r="L8" s="683"/>
      <c r="M8" s="695"/>
    </row>
    <row r="9" spans="1:13" ht="15" hidden="1" outlineLevel="1" thickBot="1" x14ac:dyDescent="0.35">
      <c r="A9" s="368" t="s">
        <v>56</v>
      </c>
      <c r="B9" s="411"/>
      <c r="C9" s="412"/>
      <c r="D9" s="413"/>
      <c r="E9" s="413"/>
      <c r="F9" s="413"/>
      <c r="G9" s="413"/>
      <c r="H9" s="413"/>
      <c r="I9" s="413"/>
      <c r="J9" s="413"/>
      <c r="K9" s="413"/>
      <c r="L9" s="684"/>
      <c r="M9" s="695"/>
    </row>
    <row r="10" spans="1:13" x14ac:dyDescent="0.3">
      <c r="A10" s="369" t="s">
        <v>204</v>
      </c>
      <c r="B10" s="384"/>
      <c r="C10" s="385"/>
      <c r="D10" s="386"/>
      <c r="E10" s="386"/>
      <c r="F10" s="386"/>
      <c r="G10" s="386"/>
      <c r="H10" s="386"/>
      <c r="I10" s="386"/>
      <c r="J10" s="386"/>
      <c r="K10" s="386"/>
      <c r="L10" s="685"/>
      <c r="M10" s="695"/>
    </row>
    <row r="11" spans="1:13" x14ac:dyDescent="0.3">
      <c r="A11" s="370" t="s">
        <v>205</v>
      </c>
      <c r="B11" s="387">
        <f xml:space="preserve">
IF($A$4&lt;=12,SUMIFS('ON Data'!F:F,'ON Data'!$D:$D,$A$4,'ON Data'!$E:$E,2),SUMIFS('ON Data'!F:F,'ON Data'!$E:$E,2))</f>
        <v>55804.22</v>
      </c>
      <c r="C11" s="388">
        <f xml:space="preserve">
IF($A$4&lt;=12,SUMIFS('ON Data'!G:G,'ON Data'!$D:$D,$A$4,'ON Data'!$E:$E,2),SUMIFS('ON Data'!G:G,'ON Data'!$E:$E,2))</f>
        <v>0</v>
      </c>
      <c r="D11" s="389">
        <f xml:space="preserve">
IF($A$4&lt;=12,SUMIFS('ON Data'!J:J,'ON Data'!$D:$D,$A$4,'ON Data'!$E:$E,2),SUMIFS('ON Data'!J:J,'ON Data'!$E:$E,2))</f>
        <v>1878</v>
      </c>
      <c r="E11" s="389">
        <f xml:space="preserve">
IF($A$4&lt;=12,SUMIFS('ON Data'!K:K,'ON Data'!$D:$D,$A$4,'ON Data'!$E:$E,2),SUMIFS('ON Data'!K:K,'ON Data'!$E:$E,2))</f>
        <v>6817.5399999999991</v>
      </c>
      <c r="F11" s="389">
        <f xml:space="preserve">
IF($A$4&lt;=12,SUMIFS('ON Data'!O:O,'ON Data'!$D:$D,$A$4,'ON Data'!$E:$E,2),SUMIFS('ON Data'!O:O,'ON Data'!$E:$E,2))</f>
        <v>315</v>
      </c>
      <c r="G11" s="389">
        <f xml:space="preserve">
IF($A$4&lt;=12,SUMIFS('ON Data'!P:P,'ON Data'!$D:$D,$A$4,'ON Data'!$E:$E,2),SUMIFS('ON Data'!P:P,'ON Data'!$E:$E,2))</f>
        <v>11979.939999999999</v>
      </c>
      <c r="H11" s="389">
        <f xml:space="preserve">
IF($A$4&lt;=12,SUMIFS('ON Data'!Q:Q,'ON Data'!$D:$D,$A$4,'ON Data'!$E:$E,2),SUMIFS('ON Data'!Q:Q,'ON Data'!$E:$E,2))</f>
        <v>19542.95</v>
      </c>
      <c r="I11" s="389">
        <f xml:space="preserve">
IF($A$4&lt;=12,SUMIFS('ON Data'!R:R,'ON Data'!$D:$D,$A$4,'ON Data'!$E:$E,2),SUMIFS('ON Data'!R:R,'ON Data'!$E:$E,2))</f>
        <v>9718.2900000000009</v>
      </c>
      <c r="J11" s="389">
        <f xml:space="preserve">
IF($A$4&lt;=12,SUMIFS('ON Data'!AO:AO,'ON Data'!$D:$D,$A$4,'ON Data'!$E:$E,2),SUMIFS('ON Data'!AO:AO,'ON Data'!$E:$E,2))</f>
        <v>2396</v>
      </c>
      <c r="K11" s="389">
        <f xml:space="preserve">
IF($A$4&lt;=12,SUMIFS('ON Data'!AR:AR,'ON Data'!$D:$D,$A$4,'ON Data'!$E:$E,2),SUMIFS('ON Data'!AR:AR,'ON Data'!$E:$E,2))</f>
        <v>2044.5</v>
      </c>
      <c r="L11" s="686">
        <f xml:space="preserve">
IF($A$4&lt;=12,SUMIFS('ON Data'!AW:AW,'ON Data'!$D:$D,$A$4,'ON Data'!$E:$E,2),SUMIFS('ON Data'!AW:AW,'ON Data'!$E:$E,2))</f>
        <v>1112</v>
      </c>
      <c r="M11" s="695"/>
    </row>
    <row r="12" spans="1:13" x14ac:dyDescent="0.3">
      <c r="A12" s="370" t="s">
        <v>206</v>
      </c>
      <c r="B12" s="387">
        <f xml:space="preserve">
IF($A$4&lt;=12,SUMIFS('ON Data'!F:F,'ON Data'!$D:$D,$A$4,'ON Data'!$E:$E,3),SUMIFS('ON Data'!F:F,'ON Data'!$E:$E,3))</f>
        <v>1928.56</v>
      </c>
      <c r="C12" s="388">
        <f xml:space="preserve">
IF($A$4&lt;=12,SUMIFS('ON Data'!G:G,'ON Data'!$D:$D,$A$4,'ON Data'!$E:$E,3),SUMIFS('ON Data'!G:G,'ON Data'!$E:$E,3))</f>
        <v>0</v>
      </c>
      <c r="D12" s="389">
        <f xml:space="preserve">
IF($A$4&lt;=12,SUMIFS('ON Data'!J:J,'ON Data'!$D:$D,$A$4,'ON Data'!$E:$E,3),SUMIFS('ON Data'!J:J,'ON Data'!$E:$E,3))</f>
        <v>111</v>
      </c>
      <c r="E12" s="389">
        <f xml:space="preserve">
IF($A$4&lt;=12,SUMIFS('ON Data'!K:K,'ON Data'!$D:$D,$A$4,'ON Data'!$E:$E,3),SUMIFS('ON Data'!K:K,'ON Data'!$E:$E,3))</f>
        <v>251</v>
      </c>
      <c r="F12" s="389">
        <f xml:space="preserve">
IF($A$4&lt;=12,SUMIFS('ON Data'!O:O,'ON Data'!$D:$D,$A$4,'ON Data'!$E:$E,3),SUMIFS('ON Data'!O:O,'ON Data'!$E:$E,3))</f>
        <v>0</v>
      </c>
      <c r="G12" s="389">
        <f xml:space="preserve">
IF($A$4&lt;=12,SUMIFS('ON Data'!P:P,'ON Data'!$D:$D,$A$4,'ON Data'!$E:$E,3),SUMIFS('ON Data'!P:P,'ON Data'!$E:$E,3))</f>
        <v>508.26</v>
      </c>
      <c r="H12" s="389">
        <f xml:space="preserve">
IF($A$4&lt;=12,SUMIFS('ON Data'!Q:Q,'ON Data'!$D:$D,$A$4,'ON Data'!$E:$E,3),SUMIFS('ON Data'!Q:Q,'ON Data'!$E:$E,3))</f>
        <v>754.3</v>
      </c>
      <c r="I12" s="389">
        <f xml:space="preserve">
IF($A$4&lt;=12,SUMIFS('ON Data'!R:R,'ON Data'!$D:$D,$A$4,'ON Data'!$E:$E,3),SUMIFS('ON Data'!R:R,'ON Data'!$E:$E,3))</f>
        <v>304</v>
      </c>
      <c r="J12" s="389">
        <f xml:space="preserve">
IF($A$4&lt;=12,SUMIFS('ON Data'!AO:AO,'ON Data'!$D:$D,$A$4,'ON Data'!$E:$E,3),SUMIFS('ON Data'!AO:AO,'ON Data'!$E:$E,3))</f>
        <v>0</v>
      </c>
      <c r="K12" s="389">
        <f xml:space="preserve">
IF($A$4&lt;=12,SUMIFS('ON Data'!AR:AR,'ON Data'!$D:$D,$A$4,'ON Data'!$E:$E,3),SUMIFS('ON Data'!AR:AR,'ON Data'!$E:$E,3))</f>
        <v>0</v>
      </c>
      <c r="L12" s="686">
        <f xml:space="preserve">
IF($A$4&lt;=12,SUMIFS('ON Data'!AW:AW,'ON Data'!$D:$D,$A$4,'ON Data'!$E:$E,3),SUMIFS('ON Data'!AW:AW,'ON Data'!$E:$E,3))</f>
        <v>0</v>
      </c>
      <c r="M12" s="695"/>
    </row>
    <row r="13" spans="1:13" x14ac:dyDescent="0.3">
      <c r="A13" s="370" t="s">
        <v>213</v>
      </c>
      <c r="B13" s="387">
        <f xml:space="preserve">
IF($A$4&lt;=12,SUMIFS('ON Data'!F:F,'ON Data'!$D:$D,$A$4,'ON Data'!$E:$E,4),SUMIFS('ON Data'!F:F,'ON Data'!$E:$E,4))</f>
        <v>5123.7</v>
      </c>
      <c r="C13" s="388">
        <f xml:space="preserve">
IF($A$4&lt;=12,SUMIFS('ON Data'!G:G,'ON Data'!$D:$D,$A$4,'ON Data'!$E:$E,4),SUMIFS('ON Data'!G:G,'ON Data'!$E:$E,4))</f>
        <v>0</v>
      </c>
      <c r="D13" s="389">
        <f xml:space="preserve">
IF($A$4&lt;=12,SUMIFS('ON Data'!J:J,'ON Data'!$D:$D,$A$4,'ON Data'!$E:$E,4),SUMIFS('ON Data'!J:J,'ON Data'!$E:$E,4))</f>
        <v>157</v>
      </c>
      <c r="E13" s="389">
        <f xml:space="preserve">
IF($A$4&lt;=12,SUMIFS('ON Data'!K:K,'ON Data'!$D:$D,$A$4,'ON Data'!$E:$E,4),SUMIFS('ON Data'!K:K,'ON Data'!$E:$E,4))</f>
        <v>853</v>
      </c>
      <c r="F13" s="389">
        <f xml:space="preserve">
IF($A$4&lt;=12,SUMIFS('ON Data'!O:O,'ON Data'!$D:$D,$A$4,'ON Data'!$E:$E,4),SUMIFS('ON Data'!O:O,'ON Data'!$E:$E,4))</f>
        <v>30</v>
      </c>
      <c r="G13" s="389">
        <f xml:space="preserve">
IF($A$4&lt;=12,SUMIFS('ON Data'!P:P,'ON Data'!$D:$D,$A$4,'ON Data'!$E:$E,4),SUMIFS('ON Data'!P:P,'ON Data'!$E:$E,4))</f>
        <v>1018.33</v>
      </c>
      <c r="H13" s="389">
        <f xml:space="preserve">
IF($A$4&lt;=12,SUMIFS('ON Data'!Q:Q,'ON Data'!$D:$D,$A$4,'ON Data'!$E:$E,4),SUMIFS('ON Data'!Q:Q,'ON Data'!$E:$E,4))</f>
        <v>1927.62</v>
      </c>
      <c r="I13" s="389">
        <f xml:space="preserve">
IF($A$4&lt;=12,SUMIFS('ON Data'!R:R,'ON Data'!$D:$D,$A$4,'ON Data'!$E:$E,4),SUMIFS('ON Data'!R:R,'ON Data'!$E:$E,4))</f>
        <v>871.75</v>
      </c>
      <c r="J13" s="389">
        <f xml:space="preserve">
IF($A$4&lt;=12,SUMIFS('ON Data'!AO:AO,'ON Data'!$D:$D,$A$4,'ON Data'!$E:$E,4),SUMIFS('ON Data'!AO:AO,'ON Data'!$E:$E,4))</f>
        <v>139</v>
      </c>
      <c r="K13" s="389">
        <f xml:space="preserve">
IF($A$4&lt;=12,SUMIFS('ON Data'!AR:AR,'ON Data'!$D:$D,$A$4,'ON Data'!$E:$E,4),SUMIFS('ON Data'!AR:AR,'ON Data'!$E:$E,4))</f>
        <v>127</v>
      </c>
      <c r="L13" s="686">
        <f xml:space="preserve">
IF($A$4&lt;=12,SUMIFS('ON Data'!AW:AW,'ON Data'!$D:$D,$A$4,'ON Data'!$E:$E,4),SUMIFS('ON Data'!AW:AW,'ON Data'!$E:$E,4))</f>
        <v>0</v>
      </c>
      <c r="M13" s="695"/>
    </row>
    <row r="14" spans="1:13" ht="15" thickBot="1" x14ac:dyDescent="0.35">
      <c r="A14" s="371" t="s">
        <v>207</v>
      </c>
      <c r="B14" s="391">
        <f xml:space="preserve">
IF($A$4&lt;=12,SUMIFS('ON Data'!F:F,'ON Data'!$D:$D,$A$4,'ON Data'!$E:$E,5),SUMIFS('ON Data'!F:F,'ON Data'!$E:$E,5))</f>
        <v>336</v>
      </c>
      <c r="C14" s="392">
        <f xml:space="preserve">
IF($A$4&lt;=12,SUMIFS('ON Data'!G:G,'ON Data'!$D:$D,$A$4,'ON Data'!$E:$E,5),SUMIFS('ON Data'!G:G,'ON Data'!$E:$E,5))</f>
        <v>336</v>
      </c>
      <c r="D14" s="393">
        <f xml:space="preserve">
IF($A$4&lt;=12,SUMIFS('ON Data'!J:J,'ON Data'!$D:$D,$A$4,'ON Data'!$E:$E,5),SUMIFS('ON Data'!J:J,'ON Data'!$E:$E,5))</f>
        <v>0</v>
      </c>
      <c r="E14" s="393">
        <f xml:space="preserve">
IF($A$4&lt;=12,SUMIFS('ON Data'!K:K,'ON Data'!$D:$D,$A$4,'ON Data'!$E:$E,5),SUMIFS('ON Data'!K:K,'ON Data'!$E:$E,5))</f>
        <v>0</v>
      </c>
      <c r="F14" s="393">
        <f xml:space="preserve">
IF($A$4&lt;=12,SUMIFS('ON Data'!O:O,'ON Data'!$D:$D,$A$4,'ON Data'!$E:$E,5),SUMIFS('ON Data'!O:O,'ON Data'!$E:$E,5))</f>
        <v>0</v>
      </c>
      <c r="G14" s="393">
        <f xml:space="preserve">
IF($A$4&lt;=12,SUMIFS('ON Data'!P:P,'ON Data'!$D:$D,$A$4,'ON Data'!$E:$E,5),SUMIFS('ON Data'!P:P,'ON Data'!$E:$E,5))</f>
        <v>0</v>
      </c>
      <c r="H14" s="393">
        <f xml:space="preserve">
IF($A$4&lt;=12,SUMIFS('ON Data'!Q:Q,'ON Data'!$D:$D,$A$4,'ON Data'!$E:$E,5),SUMIFS('ON Data'!Q:Q,'ON Data'!$E:$E,5))</f>
        <v>0</v>
      </c>
      <c r="I14" s="393">
        <f xml:space="preserve">
IF($A$4&lt;=12,SUMIFS('ON Data'!R:R,'ON Data'!$D:$D,$A$4,'ON Data'!$E:$E,5),SUMIFS('ON Data'!R:R,'ON Data'!$E:$E,5))</f>
        <v>0</v>
      </c>
      <c r="J14" s="393">
        <f xml:space="preserve">
IF($A$4&lt;=12,SUMIFS('ON Data'!AO:AO,'ON Data'!$D:$D,$A$4,'ON Data'!$E:$E,5),SUMIFS('ON Data'!AO:AO,'ON Data'!$E:$E,5))</f>
        <v>0</v>
      </c>
      <c r="K14" s="393">
        <f xml:space="preserve">
IF($A$4&lt;=12,SUMIFS('ON Data'!AR:AR,'ON Data'!$D:$D,$A$4,'ON Data'!$E:$E,5),SUMIFS('ON Data'!AR:AR,'ON Data'!$E:$E,5))</f>
        <v>0</v>
      </c>
      <c r="L14" s="687">
        <f xml:space="preserve">
IF($A$4&lt;=12,SUMIFS('ON Data'!AW:AW,'ON Data'!$D:$D,$A$4,'ON Data'!$E:$E,5),SUMIFS('ON Data'!AW:AW,'ON Data'!$E:$E,5))</f>
        <v>0</v>
      </c>
      <c r="M14" s="695"/>
    </row>
    <row r="15" spans="1:13" x14ac:dyDescent="0.3">
      <c r="A15" s="271" t="s">
        <v>217</v>
      </c>
      <c r="B15" s="395"/>
      <c r="C15" s="396"/>
      <c r="D15" s="397"/>
      <c r="E15" s="397"/>
      <c r="F15" s="397"/>
      <c r="G15" s="397"/>
      <c r="H15" s="397"/>
      <c r="I15" s="397"/>
      <c r="J15" s="397"/>
      <c r="K15" s="397"/>
      <c r="L15" s="688"/>
      <c r="M15" s="695"/>
    </row>
    <row r="16" spans="1:13" x14ac:dyDescent="0.3">
      <c r="A16" s="372" t="s">
        <v>208</v>
      </c>
      <c r="B16" s="387">
        <f xml:space="preserve">
IF($A$4&lt;=12,SUMIFS('ON Data'!F:F,'ON Data'!$D:$D,$A$4,'ON Data'!$E:$E,7),SUMIFS('ON Data'!F:F,'ON Data'!$E:$E,7))</f>
        <v>0</v>
      </c>
      <c r="C16" s="388">
        <f xml:space="preserve">
IF($A$4&lt;=12,SUMIFS('ON Data'!G:G,'ON Data'!$D:$D,$A$4,'ON Data'!$E:$E,7),SUMIFS('ON Data'!G:G,'ON Data'!$E:$E,7))</f>
        <v>0</v>
      </c>
      <c r="D16" s="389">
        <f xml:space="preserve">
IF($A$4&lt;=12,SUMIFS('ON Data'!J:J,'ON Data'!$D:$D,$A$4,'ON Data'!$E:$E,7),SUMIFS('ON Data'!J:J,'ON Data'!$E:$E,7))</f>
        <v>0</v>
      </c>
      <c r="E16" s="389">
        <f xml:space="preserve">
IF($A$4&lt;=12,SUMIFS('ON Data'!K:K,'ON Data'!$D:$D,$A$4,'ON Data'!$E:$E,7),SUMIFS('ON Data'!K:K,'ON Data'!$E:$E,7))</f>
        <v>0</v>
      </c>
      <c r="F16" s="389">
        <f xml:space="preserve">
IF($A$4&lt;=12,SUMIFS('ON Data'!O:O,'ON Data'!$D:$D,$A$4,'ON Data'!$E:$E,7),SUMIFS('ON Data'!O:O,'ON Data'!$E:$E,7))</f>
        <v>0</v>
      </c>
      <c r="G16" s="389">
        <f xml:space="preserve">
IF($A$4&lt;=12,SUMIFS('ON Data'!P:P,'ON Data'!$D:$D,$A$4,'ON Data'!$E:$E,7),SUMIFS('ON Data'!P:P,'ON Data'!$E:$E,7))</f>
        <v>0</v>
      </c>
      <c r="H16" s="389">
        <f xml:space="preserve">
IF($A$4&lt;=12,SUMIFS('ON Data'!Q:Q,'ON Data'!$D:$D,$A$4,'ON Data'!$E:$E,7),SUMIFS('ON Data'!Q:Q,'ON Data'!$E:$E,7))</f>
        <v>0</v>
      </c>
      <c r="I16" s="389">
        <f xml:space="preserve">
IF($A$4&lt;=12,SUMIFS('ON Data'!R:R,'ON Data'!$D:$D,$A$4,'ON Data'!$E:$E,7),SUMIFS('ON Data'!R:R,'ON Data'!$E:$E,7))</f>
        <v>0</v>
      </c>
      <c r="J16" s="389">
        <f xml:space="preserve">
IF($A$4&lt;=12,SUMIFS('ON Data'!AO:AO,'ON Data'!$D:$D,$A$4,'ON Data'!$E:$E,7),SUMIFS('ON Data'!AO:AO,'ON Data'!$E:$E,7))</f>
        <v>0</v>
      </c>
      <c r="K16" s="389">
        <f xml:space="preserve">
IF($A$4&lt;=12,SUMIFS('ON Data'!AR:AR,'ON Data'!$D:$D,$A$4,'ON Data'!$E:$E,7),SUMIFS('ON Data'!AR:AR,'ON Data'!$E:$E,7))</f>
        <v>0</v>
      </c>
      <c r="L16" s="686">
        <f xml:space="preserve">
IF($A$4&lt;=12,SUMIFS('ON Data'!AW:AW,'ON Data'!$D:$D,$A$4,'ON Data'!$E:$E,7),SUMIFS('ON Data'!AW:AW,'ON Data'!$E:$E,7))</f>
        <v>0</v>
      </c>
      <c r="M16" s="695"/>
    </row>
    <row r="17" spans="1:13" x14ac:dyDescent="0.3">
      <c r="A17" s="372" t="s">
        <v>209</v>
      </c>
      <c r="B17" s="387">
        <f xml:space="preserve">
IF($A$4&lt;=12,SUMIFS('ON Data'!F:F,'ON Data'!$D:$D,$A$4,'ON Data'!$E:$E,8),SUMIFS('ON Data'!F:F,'ON Data'!$E:$E,8))</f>
        <v>0</v>
      </c>
      <c r="C17" s="388">
        <f xml:space="preserve">
IF($A$4&lt;=12,SUMIFS('ON Data'!G:G,'ON Data'!$D:$D,$A$4,'ON Data'!$E:$E,8),SUMIFS('ON Data'!G:G,'ON Data'!$E:$E,8))</f>
        <v>0</v>
      </c>
      <c r="D17" s="389">
        <f xml:space="preserve">
IF($A$4&lt;=12,SUMIFS('ON Data'!J:J,'ON Data'!$D:$D,$A$4,'ON Data'!$E:$E,8),SUMIFS('ON Data'!J:J,'ON Data'!$E:$E,8))</f>
        <v>0</v>
      </c>
      <c r="E17" s="389">
        <f xml:space="preserve">
IF($A$4&lt;=12,SUMIFS('ON Data'!K:K,'ON Data'!$D:$D,$A$4,'ON Data'!$E:$E,8),SUMIFS('ON Data'!K:K,'ON Data'!$E:$E,8))</f>
        <v>0</v>
      </c>
      <c r="F17" s="389">
        <f xml:space="preserve">
IF($A$4&lt;=12,SUMIFS('ON Data'!O:O,'ON Data'!$D:$D,$A$4,'ON Data'!$E:$E,8),SUMIFS('ON Data'!O:O,'ON Data'!$E:$E,8))</f>
        <v>0</v>
      </c>
      <c r="G17" s="389">
        <f xml:space="preserve">
IF($A$4&lt;=12,SUMIFS('ON Data'!P:P,'ON Data'!$D:$D,$A$4,'ON Data'!$E:$E,8),SUMIFS('ON Data'!P:P,'ON Data'!$E:$E,8))</f>
        <v>0</v>
      </c>
      <c r="H17" s="389">
        <f xml:space="preserve">
IF($A$4&lt;=12,SUMIFS('ON Data'!Q:Q,'ON Data'!$D:$D,$A$4,'ON Data'!$E:$E,8),SUMIFS('ON Data'!Q:Q,'ON Data'!$E:$E,8))</f>
        <v>0</v>
      </c>
      <c r="I17" s="389">
        <f xml:space="preserve">
IF($A$4&lt;=12,SUMIFS('ON Data'!R:R,'ON Data'!$D:$D,$A$4,'ON Data'!$E:$E,8),SUMIFS('ON Data'!R:R,'ON Data'!$E:$E,8))</f>
        <v>0</v>
      </c>
      <c r="J17" s="389">
        <f xml:space="preserve">
IF($A$4&lt;=12,SUMIFS('ON Data'!AO:AO,'ON Data'!$D:$D,$A$4,'ON Data'!$E:$E,8),SUMIFS('ON Data'!AO:AO,'ON Data'!$E:$E,8))</f>
        <v>0</v>
      </c>
      <c r="K17" s="389">
        <f xml:space="preserve">
IF($A$4&lt;=12,SUMIFS('ON Data'!AR:AR,'ON Data'!$D:$D,$A$4,'ON Data'!$E:$E,8),SUMIFS('ON Data'!AR:AR,'ON Data'!$E:$E,8))</f>
        <v>0</v>
      </c>
      <c r="L17" s="686">
        <f xml:space="preserve">
IF($A$4&lt;=12,SUMIFS('ON Data'!AW:AW,'ON Data'!$D:$D,$A$4,'ON Data'!$E:$E,8),SUMIFS('ON Data'!AW:AW,'ON Data'!$E:$E,8))</f>
        <v>0</v>
      </c>
      <c r="M17" s="695"/>
    </row>
    <row r="18" spans="1:13" x14ac:dyDescent="0.3">
      <c r="A18" s="372" t="s">
        <v>210</v>
      </c>
      <c r="B18" s="387">
        <f xml:space="preserve">
B19-B16-B17</f>
        <v>858158</v>
      </c>
      <c r="C18" s="388">
        <f t="shared" ref="C18:E18" si="0" xml:space="preserve">
C19-C16-C17</f>
        <v>0</v>
      </c>
      <c r="D18" s="389">
        <f t="shared" si="0"/>
        <v>20463</v>
      </c>
      <c r="E18" s="389">
        <f t="shared" si="0"/>
        <v>229468</v>
      </c>
      <c r="F18" s="389">
        <f t="shared" ref="F18:I18" si="1" xml:space="preserve">
F19-F16-F17</f>
        <v>0</v>
      </c>
      <c r="G18" s="389">
        <f t="shared" si="1"/>
        <v>150240</v>
      </c>
      <c r="H18" s="389">
        <f t="shared" si="1"/>
        <v>262706</v>
      </c>
      <c r="I18" s="389">
        <f t="shared" si="1"/>
        <v>158460</v>
      </c>
      <c r="J18" s="389">
        <f t="shared" ref="J18:L18" si="2" xml:space="preserve">
J19-J16-J17</f>
        <v>18881</v>
      </c>
      <c r="K18" s="389">
        <f t="shared" si="2"/>
        <v>11031</v>
      </c>
      <c r="L18" s="686">
        <f t="shared" si="2"/>
        <v>6909</v>
      </c>
      <c r="M18" s="695"/>
    </row>
    <row r="19" spans="1:13" ht="15" thickBot="1" x14ac:dyDescent="0.35">
      <c r="A19" s="373" t="s">
        <v>211</v>
      </c>
      <c r="B19" s="398">
        <f xml:space="preserve">
IF($A$4&lt;=12,SUMIFS('ON Data'!F:F,'ON Data'!$D:$D,$A$4,'ON Data'!$E:$E,9),SUMIFS('ON Data'!F:F,'ON Data'!$E:$E,9))</f>
        <v>858158</v>
      </c>
      <c r="C19" s="399">
        <f xml:space="preserve">
IF($A$4&lt;=12,SUMIFS('ON Data'!G:G,'ON Data'!$D:$D,$A$4,'ON Data'!$E:$E,9),SUMIFS('ON Data'!G:G,'ON Data'!$E:$E,9))</f>
        <v>0</v>
      </c>
      <c r="D19" s="400">
        <f xml:space="preserve">
IF($A$4&lt;=12,SUMIFS('ON Data'!J:J,'ON Data'!$D:$D,$A$4,'ON Data'!$E:$E,9),SUMIFS('ON Data'!J:J,'ON Data'!$E:$E,9))</f>
        <v>20463</v>
      </c>
      <c r="E19" s="400">
        <f xml:space="preserve">
IF($A$4&lt;=12,SUMIFS('ON Data'!K:K,'ON Data'!$D:$D,$A$4,'ON Data'!$E:$E,9),SUMIFS('ON Data'!K:K,'ON Data'!$E:$E,9))</f>
        <v>229468</v>
      </c>
      <c r="F19" s="400">
        <f xml:space="preserve">
IF($A$4&lt;=12,SUMIFS('ON Data'!O:O,'ON Data'!$D:$D,$A$4,'ON Data'!$E:$E,9),SUMIFS('ON Data'!O:O,'ON Data'!$E:$E,9))</f>
        <v>0</v>
      </c>
      <c r="G19" s="400">
        <f xml:space="preserve">
IF($A$4&lt;=12,SUMIFS('ON Data'!P:P,'ON Data'!$D:$D,$A$4,'ON Data'!$E:$E,9),SUMIFS('ON Data'!P:P,'ON Data'!$E:$E,9))</f>
        <v>150240</v>
      </c>
      <c r="H19" s="400">
        <f xml:space="preserve">
IF($A$4&lt;=12,SUMIFS('ON Data'!Q:Q,'ON Data'!$D:$D,$A$4,'ON Data'!$E:$E,9),SUMIFS('ON Data'!Q:Q,'ON Data'!$E:$E,9))</f>
        <v>262706</v>
      </c>
      <c r="I19" s="400">
        <f xml:space="preserve">
IF($A$4&lt;=12,SUMIFS('ON Data'!R:R,'ON Data'!$D:$D,$A$4,'ON Data'!$E:$E,9),SUMIFS('ON Data'!R:R,'ON Data'!$E:$E,9))</f>
        <v>158460</v>
      </c>
      <c r="J19" s="400">
        <f xml:space="preserve">
IF($A$4&lt;=12,SUMIFS('ON Data'!AO:AO,'ON Data'!$D:$D,$A$4,'ON Data'!$E:$E,9),SUMIFS('ON Data'!AO:AO,'ON Data'!$E:$E,9))</f>
        <v>18881</v>
      </c>
      <c r="K19" s="400">
        <f xml:space="preserve">
IF($A$4&lt;=12,SUMIFS('ON Data'!AR:AR,'ON Data'!$D:$D,$A$4,'ON Data'!$E:$E,9),SUMIFS('ON Data'!AR:AR,'ON Data'!$E:$E,9))</f>
        <v>11031</v>
      </c>
      <c r="L19" s="689">
        <f xml:space="preserve">
IF($A$4&lt;=12,SUMIFS('ON Data'!AW:AW,'ON Data'!$D:$D,$A$4,'ON Data'!$E:$E,9),SUMIFS('ON Data'!AW:AW,'ON Data'!$E:$E,9))</f>
        <v>6909</v>
      </c>
      <c r="M19" s="695"/>
    </row>
    <row r="20" spans="1:13" ht="15" collapsed="1" thickBot="1" x14ac:dyDescent="0.35">
      <c r="A20" s="374" t="s">
        <v>81</v>
      </c>
      <c r="B20" s="401">
        <f xml:space="preserve">
IF($A$4&lt;=12,SUMIFS('ON Data'!F:F,'ON Data'!$D:$D,$A$4,'ON Data'!$E:$E,6),SUMIFS('ON Data'!F:F,'ON Data'!$E:$E,6))</f>
        <v>17876366</v>
      </c>
      <c r="C20" s="402">
        <f xml:space="preserve">
IF($A$4&lt;=12,SUMIFS('ON Data'!G:G,'ON Data'!$D:$D,$A$4,'ON Data'!$E:$E,6),SUMIFS('ON Data'!G:G,'ON Data'!$E:$E,6))</f>
        <v>67200</v>
      </c>
      <c r="D20" s="403">
        <f xml:space="preserve">
IF($A$4&lt;=12,SUMIFS('ON Data'!J:J,'ON Data'!$D:$D,$A$4,'ON Data'!$E:$E,6),SUMIFS('ON Data'!J:J,'ON Data'!$E:$E,6))</f>
        <v>608778</v>
      </c>
      <c r="E20" s="403">
        <f xml:space="preserve">
IF($A$4&lt;=12,SUMIFS('ON Data'!K:K,'ON Data'!$D:$D,$A$4,'ON Data'!$E:$E,6),SUMIFS('ON Data'!K:K,'ON Data'!$E:$E,6))</f>
        <v>4345879</v>
      </c>
      <c r="F20" s="403">
        <f xml:space="preserve">
IF($A$4&lt;=12,SUMIFS('ON Data'!O:O,'ON Data'!$D:$D,$A$4,'ON Data'!$E:$E,6),SUMIFS('ON Data'!O:O,'ON Data'!$E:$E,6))</f>
        <v>45195</v>
      </c>
      <c r="G20" s="403">
        <f xml:space="preserve">
IF($A$4&lt;=12,SUMIFS('ON Data'!P:P,'ON Data'!$D:$D,$A$4,'ON Data'!$E:$E,6),SUMIFS('ON Data'!P:P,'ON Data'!$E:$E,6))</f>
        <v>2937153</v>
      </c>
      <c r="H20" s="403">
        <f xml:space="preserve">
IF($A$4&lt;=12,SUMIFS('ON Data'!Q:Q,'ON Data'!$D:$D,$A$4,'ON Data'!$E:$E,6),SUMIFS('ON Data'!Q:Q,'ON Data'!$E:$E,6))</f>
        <v>5894264</v>
      </c>
      <c r="I20" s="403">
        <f xml:space="preserve">
IF($A$4&lt;=12,SUMIFS('ON Data'!R:R,'ON Data'!$D:$D,$A$4,'ON Data'!$E:$E,6),SUMIFS('ON Data'!R:R,'ON Data'!$E:$E,6))</f>
        <v>3069338</v>
      </c>
      <c r="J20" s="403">
        <f xml:space="preserve">
IF($A$4&lt;=12,SUMIFS('ON Data'!AO:AO,'ON Data'!$D:$D,$A$4,'ON Data'!$E:$E,6),SUMIFS('ON Data'!AO:AO,'ON Data'!$E:$E,6))</f>
        <v>396492</v>
      </c>
      <c r="K20" s="403">
        <f xml:space="preserve">
IF($A$4&lt;=12,SUMIFS('ON Data'!AR:AR,'ON Data'!$D:$D,$A$4,'ON Data'!$E:$E,6),SUMIFS('ON Data'!AR:AR,'ON Data'!$E:$E,6))</f>
        <v>321467</v>
      </c>
      <c r="L20" s="690">
        <f xml:space="preserve">
IF($A$4&lt;=12,SUMIFS('ON Data'!AW:AW,'ON Data'!$D:$D,$A$4,'ON Data'!$E:$E,6),SUMIFS('ON Data'!AW:AW,'ON Data'!$E:$E,6))</f>
        <v>190600</v>
      </c>
      <c r="M20" s="695"/>
    </row>
    <row r="21" spans="1:13" ht="15" hidden="1" outlineLevel="1" thickBot="1" x14ac:dyDescent="0.35">
      <c r="A21" s="367" t="s">
        <v>118</v>
      </c>
      <c r="B21" s="387">
        <f xml:space="preserve">
IF($A$4&lt;=12,SUMIFS('ON Data'!F:F,'ON Data'!$D:$D,$A$4,'ON Data'!$E:$E,12),SUMIFS('ON Data'!F:F,'ON Data'!$E:$E,12))</f>
        <v>0</v>
      </c>
      <c r="C21" s="388">
        <f xml:space="preserve">
IF($A$4&lt;=12,SUMIFS('ON Data'!G:G,'ON Data'!$D:$D,$A$4,'ON Data'!$E:$E,12),SUMIFS('ON Data'!G:G,'ON Data'!$E:$E,12))</f>
        <v>0</v>
      </c>
      <c r="D21" s="389">
        <f xml:space="preserve">
IF($A$4&lt;=12,SUMIFS('ON Data'!J:J,'ON Data'!$D:$D,$A$4,'ON Data'!$E:$E,12),SUMIFS('ON Data'!J:J,'ON Data'!$E:$E,12))</f>
        <v>0</v>
      </c>
      <c r="E21" s="389">
        <f xml:space="preserve">
IF($A$4&lt;=12,SUMIFS('ON Data'!K:K,'ON Data'!$D:$D,$A$4,'ON Data'!$E:$E,12),SUMIFS('ON Data'!K:K,'ON Data'!$E:$E,12))</f>
        <v>0</v>
      </c>
      <c r="F21" s="389">
        <f xml:space="preserve">
IF($A$4&lt;=12,SUMIFS('ON Data'!O:O,'ON Data'!$D:$D,$A$4,'ON Data'!$E:$E,12),SUMIFS('ON Data'!O:O,'ON Data'!$E:$E,12))</f>
        <v>0</v>
      </c>
      <c r="G21" s="389">
        <f xml:space="preserve">
IF($A$4&lt;=12,SUMIFS('ON Data'!P:P,'ON Data'!$D:$D,$A$4,'ON Data'!$E:$E,12),SUMIFS('ON Data'!P:P,'ON Data'!$E:$E,12))</f>
        <v>0</v>
      </c>
      <c r="H21" s="389">
        <f xml:space="preserve">
IF($A$4&lt;=12,SUMIFS('ON Data'!Q:Q,'ON Data'!$D:$D,$A$4,'ON Data'!$E:$E,12),SUMIFS('ON Data'!Q:Q,'ON Data'!$E:$E,12))</f>
        <v>0</v>
      </c>
      <c r="I21" s="389">
        <f xml:space="preserve">
IF($A$4&lt;=12,SUMIFS('ON Data'!R:R,'ON Data'!$D:$D,$A$4,'ON Data'!$E:$E,12),SUMIFS('ON Data'!R:R,'ON Data'!$E:$E,12))</f>
        <v>0</v>
      </c>
      <c r="J21" s="390">
        <f xml:space="preserve">
IF($A$4&lt;=12,SUMIFS('ON Data'!AO:AO,'ON Data'!$D:$D,$A$4,'ON Data'!$E:$E,12),SUMIFS('ON Data'!AO:AO,'ON Data'!$E:$E,12))</f>
        <v>0</v>
      </c>
      <c r="M21" s="695"/>
    </row>
    <row r="22" spans="1:13" ht="15" hidden="1" outlineLevel="1" thickBot="1" x14ac:dyDescent="0.35">
      <c r="A22" s="367" t="s">
        <v>83</v>
      </c>
      <c r="B22" s="446" t="str">
        <f xml:space="preserve">
IF(OR(B21="",B21=0),"",B20/B21)</f>
        <v/>
      </c>
      <c r="C22" s="447" t="str">
        <f t="shared" ref="C22:E22" si="3" xml:space="preserve">
IF(OR(C21="",C21=0),"",C20/C21)</f>
        <v/>
      </c>
      <c r="D22" s="448" t="str">
        <f t="shared" si="3"/>
        <v/>
      </c>
      <c r="E22" s="448" t="str">
        <f t="shared" si="3"/>
        <v/>
      </c>
      <c r="F22" s="448" t="str">
        <f t="shared" ref="F22:J22" si="4" xml:space="preserve">
IF(OR(F21="",F21=0),"",F20/F21)</f>
        <v/>
      </c>
      <c r="G22" s="448" t="str">
        <f t="shared" si="4"/>
        <v/>
      </c>
      <c r="H22" s="448" t="str">
        <f t="shared" si="4"/>
        <v/>
      </c>
      <c r="I22" s="448" t="str">
        <f t="shared" si="4"/>
        <v/>
      </c>
      <c r="J22" s="449" t="str">
        <f t="shared" si="4"/>
        <v/>
      </c>
      <c r="M22" s="695"/>
    </row>
    <row r="23" spans="1:13" ht="15" hidden="1" outlineLevel="1" thickBot="1" x14ac:dyDescent="0.35">
      <c r="A23" s="375" t="s">
        <v>56</v>
      </c>
      <c r="B23" s="391">
        <f xml:space="preserve">
IF(B21="","",B20-B21)</f>
        <v>17876366</v>
      </c>
      <c r="C23" s="392">
        <f t="shared" ref="C23:E23" si="5" xml:space="preserve">
IF(C21="","",C20-C21)</f>
        <v>67200</v>
      </c>
      <c r="D23" s="393">
        <f t="shared" si="5"/>
        <v>608778</v>
      </c>
      <c r="E23" s="393">
        <f t="shared" si="5"/>
        <v>4345879</v>
      </c>
      <c r="F23" s="393">
        <f t="shared" ref="F23:J23" si="6" xml:space="preserve">
IF(F21="","",F20-F21)</f>
        <v>45195</v>
      </c>
      <c r="G23" s="393">
        <f t="shared" si="6"/>
        <v>2937153</v>
      </c>
      <c r="H23" s="393">
        <f t="shared" si="6"/>
        <v>5894264</v>
      </c>
      <c r="I23" s="393">
        <f t="shared" si="6"/>
        <v>3069338</v>
      </c>
      <c r="J23" s="394">
        <f t="shared" si="6"/>
        <v>396492</v>
      </c>
      <c r="M23" s="695"/>
    </row>
    <row r="24" spans="1:13" x14ac:dyDescent="0.3">
      <c r="A24" s="369" t="s">
        <v>212</v>
      </c>
      <c r="B24" s="418" t="s">
        <v>3</v>
      </c>
      <c r="C24" s="696" t="s">
        <v>223</v>
      </c>
      <c r="D24" s="666"/>
      <c r="E24" s="667"/>
      <c r="F24" s="668" t="s">
        <v>224</v>
      </c>
      <c r="G24" s="669"/>
      <c r="H24" s="669"/>
      <c r="I24" s="669"/>
      <c r="J24" s="669"/>
      <c r="K24" s="669"/>
      <c r="L24" s="691" t="s">
        <v>225</v>
      </c>
      <c r="M24" s="695"/>
    </row>
    <row r="25" spans="1:13" x14ac:dyDescent="0.3">
      <c r="A25" s="370" t="s">
        <v>81</v>
      </c>
      <c r="B25" s="387">
        <f xml:space="preserve">
SUM(C25:L25)</f>
        <v>141967</v>
      </c>
      <c r="C25" s="697">
        <f xml:space="preserve">
IF($A$4&lt;=12,SUMIFS('ON Data'!J:J,'ON Data'!$D:$D,$A$4,'ON Data'!$E:$E,10),SUMIFS('ON Data'!J:J,'ON Data'!$E:$E,10))</f>
        <v>18100</v>
      </c>
      <c r="D25" s="670"/>
      <c r="E25" s="671"/>
      <c r="F25" s="672">
        <f xml:space="preserve">
IF($A$4&lt;=12,SUMIFS('ON Data'!O:O,'ON Data'!$D:$D,$A$4,'ON Data'!$E:$E,10),SUMIFS('ON Data'!O:O,'ON Data'!$E:$E,10))</f>
        <v>123867</v>
      </c>
      <c r="G25" s="671"/>
      <c r="H25" s="671"/>
      <c r="I25" s="671"/>
      <c r="J25" s="671"/>
      <c r="K25" s="671"/>
      <c r="L25" s="692">
        <f xml:space="preserve">
IF($A$4&lt;=12,SUMIFS('ON Data'!AW:AW,'ON Data'!$D:$D,$A$4,'ON Data'!$E:$E,10),SUMIFS('ON Data'!AW:AW,'ON Data'!$E:$E,10))</f>
        <v>0</v>
      </c>
      <c r="M25" s="695"/>
    </row>
    <row r="26" spans="1:13" x14ac:dyDescent="0.3">
      <c r="A26" s="376" t="s">
        <v>222</v>
      </c>
      <c r="B26" s="398">
        <f xml:space="preserve">
SUM(C26:L26)</f>
        <v>89022.900763358775</v>
      </c>
      <c r="C26" s="697">
        <f xml:space="preserve">
IF($A$4&lt;=12,SUMIFS('ON Data'!J:J,'ON Data'!$D:$D,$A$4,'ON Data'!$E:$E,11),SUMIFS('ON Data'!J:J,'ON Data'!$E:$E,11))</f>
        <v>12022.900763358783</v>
      </c>
      <c r="D26" s="670"/>
      <c r="E26" s="671"/>
      <c r="F26" s="673">
        <f xml:space="preserve">
IF($A$4&lt;=12,SUMIFS('ON Data'!O:O,'ON Data'!$D:$D,$A$4,'ON Data'!$E:$E,11),SUMIFS('ON Data'!O:O,'ON Data'!$E:$E,11))</f>
        <v>77000</v>
      </c>
      <c r="G26" s="674"/>
      <c r="H26" s="674"/>
      <c r="I26" s="674"/>
      <c r="J26" s="674"/>
      <c r="K26" s="674"/>
      <c r="L26" s="692">
        <f xml:space="preserve">
IF($A$4&lt;=12,SUMIFS('ON Data'!AW:AW,'ON Data'!$D:$D,$A$4,'ON Data'!$E:$E,11),SUMIFS('ON Data'!AW:AW,'ON Data'!$E:$E,11))</f>
        <v>0</v>
      </c>
      <c r="M26" s="695"/>
    </row>
    <row r="27" spans="1:13" x14ac:dyDescent="0.3">
      <c r="A27" s="376" t="s">
        <v>83</v>
      </c>
      <c r="B27" s="419">
        <f xml:space="preserve">
IF(B26=0,0,B25/B26)</f>
        <v>1.5947244897959185</v>
      </c>
      <c r="C27" s="698">
        <f xml:space="preserve">
IF(C26=0,0,C25/C26)</f>
        <v>1.5054603174603169</v>
      </c>
      <c r="D27" s="675"/>
      <c r="E27" s="671"/>
      <c r="F27" s="676">
        <f xml:space="preserve">
IF(F26=0,0,F25/F26)</f>
        <v>1.6086623376623377</v>
      </c>
      <c r="G27" s="671"/>
      <c r="H27" s="671"/>
      <c r="I27" s="671"/>
      <c r="J27" s="671"/>
      <c r="K27" s="671"/>
      <c r="L27" s="693">
        <f xml:space="preserve">
IF(L26=0,0,L25/L26)</f>
        <v>0</v>
      </c>
      <c r="M27" s="695"/>
    </row>
    <row r="28" spans="1:13" ht="15" thickBot="1" x14ac:dyDescent="0.35">
      <c r="A28" s="376" t="s">
        <v>221</v>
      </c>
      <c r="B28" s="398">
        <f xml:space="preserve">
SUM(C28:L28)</f>
        <v>-52944.099236641217</v>
      </c>
      <c r="C28" s="699">
        <f xml:space="preserve">
C26-C25</f>
        <v>-6077.0992366412174</v>
      </c>
      <c r="D28" s="677"/>
      <c r="E28" s="678"/>
      <c r="F28" s="679">
        <f xml:space="preserve">
F26-F25</f>
        <v>-46867</v>
      </c>
      <c r="G28" s="678"/>
      <c r="H28" s="678"/>
      <c r="I28" s="678"/>
      <c r="J28" s="678"/>
      <c r="K28" s="678"/>
      <c r="L28" s="694">
        <f xml:space="preserve">
L26-L25</f>
        <v>0</v>
      </c>
      <c r="M28" s="695"/>
    </row>
    <row r="29" spans="1:13" x14ac:dyDescent="0.3">
      <c r="A29" s="377"/>
      <c r="B29" s="377"/>
      <c r="C29" s="378"/>
      <c r="D29" s="378"/>
      <c r="E29" s="378"/>
      <c r="F29" s="378"/>
      <c r="G29" s="378"/>
      <c r="H29" s="378"/>
      <c r="I29" s="378"/>
      <c r="J29" s="377"/>
    </row>
    <row r="30" spans="1:13" x14ac:dyDescent="0.3">
      <c r="A30" s="210" t="s">
        <v>177</v>
      </c>
      <c r="B30" s="238"/>
      <c r="C30" s="238"/>
      <c r="D30" s="238"/>
      <c r="E30" s="238"/>
      <c r="F30" s="238"/>
      <c r="G30" s="238"/>
      <c r="H30" s="238"/>
      <c r="I30" s="238"/>
      <c r="J30" s="259"/>
    </row>
    <row r="31" spans="1:13" x14ac:dyDescent="0.3">
      <c r="A31" s="211" t="s">
        <v>219</v>
      </c>
      <c r="B31" s="238"/>
      <c r="C31" s="238"/>
      <c r="D31" s="238"/>
      <c r="E31" s="238"/>
      <c r="F31" s="238"/>
      <c r="G31" s="238"/>
      <c r="H31" s="238"/>
      <c r="I31" s="238"/>
      <c r="J31" s="259"/>
    </row>
    <row r="32" spans="1:13" ht="14.4" customHeight="1" x14ac:dyDescent="0.3">
      <c r="A32" s="415" t="s">
        <v>216</v>
      </c>
      <c r="B32" s="416"/>
      <c r="C32" s="416"/>
      <c r="D32" s="416"/>
      <c r="E32" s="416"/>
      <c r="F32" s="416"/>
      <c r="G32" s="416"/>
      <c r="H32" s="416"/>
      <c r="I32" s="416"/>
    </row>
    <row r="33" spans="1:1" x14ac:dyDescent="0.3">
      <c r="A33" s="417" t="s">
        <v>252</v>
      </c>
    </row>
    <row r="34" spans="1:1" x14ac:dyDescent="0.3">
      <c r="A34" s="417" t="s">
        <v>253</v>
      </c>
    </row>
    <row r="35" spans="1:1" x14ac:dyDescent="0.3">
      <c r="A35" s="417" t="s">
        <v>254</v>
      </c>
    </row>
    <row r="36" spans="1:1" x14ac:dyDescent="0.3">
      <c r="A36" s="417" t="s">
        <v>226</v>
      </c>
    </row>
  </sheetData>
  <mergeCells count="12">
    <mergeCell ref="B3:B4"/>
    <mergeCell ref="A1:L1"/>
    <mergeCell ref="C27:E27"/>
    <mergeCell ref="C28:E28"/>
    <mergeCell ref="F27:K27"/>
    <mergeCell ref="F28:K28"/>
    <mergeCell ref="C24:E24"/>
    <mergeCell ref="C25:E25"/>
    <mergeCell ref="C26:E26"/>
    <mergeCell ref="F24:K24"/>
    <mergeCell ref="F25:K25"/>
    <mergeCell ref="F26:K26"/>
  </mergeCells>
  <conditionalFormatting sqref="C27">
    <cfRule type="cellIs" dxfId="25" priority="8" operator="greaterThan">
      <formula>1</formula>
    </cfRule>
  </conditionalFormatting>
  <conditionalFormatting sqref="C28">
    <cfRule type="cellIs" dxfId="24" priority="7" operator="lessThan">
      <formula>0</formula>
    </cfRule>
  </conditionalFormatting>
  <conditionalFormatting sqref="B22:J22">
    <cfRule type="cellIs" dxfId="23" priority="6" operator="greaterThan">
      <formula>1</formula>
    </cfRule>
  </conditionalFormatting>
  <conditionalFormatting sqref="B23:J23">
    <cfRule type="cellIs" dxfId="22" priority="5" operator="greaterThan">
      <formula>0</formula>
    </cfRule>
  </conditionalFormatting>
  <conditionalFormatting sqref="L27">
    <cfRule type="cellIs" dxfId="21" priority="4" operator="greaterThan">
      <formula>1</formula>
    </cfRule>
  </conditionalFormatting>
  <conditionalFormatting sqref="L28">
    <cfRule type="cellIs" dxfId="20" priority="3" operator="lessThan">
      <formula>0</formula>
    </cfRule>
  </conditionalFormatting>
  <conditionalFormatting sqref="F28">
    <cfRule type="cellIs" dxfId="19" priority="1" operator="lessThan">
      <formula>0</formula>
    </cfRule>
  </conditionalFormatting>
  <conditionalFormatting sqref="F27">
    <cfRule type="cellIs" dxfId="18" priority="2" operator="greater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'ON Data'!$B$3:$B$16</xm:f>
          </x14:formula1>
          <xm:sqref>A4</xm:sqref>
        </x14:dataValidation>
      </x14:dataValidation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W65"/>
  <sheetViews>
    <sheetView showGridLines="0" showRowColHeaders="0" workbookViewId="0"/>
  </sheetViews>
  <sheetFormatPr defaultRowHeight="14.4" x14ac:dyDescent="0.3"/>
  <cols>
    <col min="1" max="16384" width="8.88671875" style="356"/>
  </cols>
  <sheetData>
    <row r="1" spans="1:49" x14ac:dyDescent="0.3">
      <c r="A1" s="356" t="s">
        <v>3007</v>
      </c>
    </row>
    <row r="2" spans="1:49" x14ac:dyDescent="0.3">
      <c r="A2" s="360" t="s">
        <v>280</v>
      </c>
    </row>
    <row r="3" spans="1:49" x14ac:dyDescent="0.3">
      <c r="A3" s="356" t="s">
        <v>188</v>
      </c>
      <c r="B3" s="381">
        <v>2016</v>
      </c>
      <c r="D3" s="357">
        <f>MAX(D5:D1048576)</f>
        <v>7</v>
      </c>
      <c r="F3" s="357">
        <f>SUMIF($E5:$E1048576,"&lt;10",F5:F1048576)</f>
        <v>18798117.030000001</v>
      </c>
      <c r="G3" s="357">
        <f t="shared" ref="G3:AW3" si="0">SUMIF($E5:$E1048576,"&lt;10",G5:G1048576)</f>
        <v>67536</v>
      </c>
      <c r="H3" s="357">
        <f t="shared" si="0"/>
        <v>0</v>
      </c>
      <c r="I3" s="357">
        <f t="shared" si="0"/>
        <v>0</v>
      </c>
      <c r="J3" s="357">
        <f t="shared" si="0"/>
        <v>631399.59999999986</v>
      </c>
      <c r="K3" s="357">
        <f t="shared" si="0"/>
        <v>4583314.3899999987</v>
      </c>
      <c r="L3" s="357">
        <f t="shared" si="0"/>
        <v>0</v>
      </c>
      <c r="M3" s="357">
        <f t="shared" si="0"/>
        <v>0</v>
      </c>
      <c r="N3" s="357">
        <f t="shared" si="0"/>
        <v>0</v>
      </c>
      <c r="O3" s="357">
        <f t="shared" si="0"/>
        <v>45542</v>
      </c>
      <c r="P3" s="357">
        <f t="shared" si="0"/>
        <v>3100983.6300000004</v>
      </c>
      <c r="Q3" s="357">
        <f t="shared" si="0"/>
        <v>6179342.3699999982</v>
      </c>
      <c r="R3" s="357">
        <f t="shared" si="0"/>
        <v>3238764.5399999996</v>
      </c>
      <c r="S3" s="357">
        <f t="shared" si="0"/>
        <v>0</v>
      </c>
      <c r="T3" s="357">
        <f t="shared" si="0"/>
        <v>0</v>
      </c>
      <c r="U3" s="357">
        <f t="shared" si="0"/>
        <v>0</v>
      </c>
      <c r="V3" s="357">
        <f t="shared" si="0"/>
        <v>0</v>
      </c>
      <c r="W3" s="357">
        <f t="shared" si="0"/>
        <v>0</v>
      </c>
      <c r="X3" s="357">
        <f t="shared" si="0"/>
        <v>0</v>
      </c>
      <c r="Y3" s="357">
        <f t="shared" si="0"/>
        <v>0</v>
      </c>
      <c r="Z3" s="357">
        <f t="shared" si="0"/>
        <v>0</v>
      </c>
      <c r="AA3" s="357">
        <f t="shared" si="0"/>
        <v>0</v>
      </c>
      <c r="AB3" s="357">
        <f t="shared" si="0"/>
        <v>0</v>
      </c>
      <c r="AC3" s="357">
        <f t="shared" si="0"/>
        <v>0</v>
      </c>
      <c r="AD3" s="357">
        <f t="shared" si="0"/>
        <v>0</v>
      </c>
      <c r="AE3" s="357">
        <f t="shared" si="0"/>
        <v>0</v>
      </c>
      <c r="AF3" s="357">
        <f t="shared" si="0"/>
        <v>0</v>
      </c>
      <c r="AG3" s="357">
        <f t="shared" si="0"/>
        <v>0</v>
      </c>
      <c r="AH3" s="357">
        <f t="shared" si="0"/>
        <v>0</v>
      </c>
      <c r="AI3" s="357">
        <f t="shared" si="0"/>
        <v>0</v>
      </c>
      <c r="AJ3" s="357">
        <f t="shared" si="0"/>
        <v>0</v>
      </c>
      <c r="AK3" s="357">
        <f t="shared" si="0"/>
        <v>0</v>
      </c>
      <c r="AL3" s="357">
        <f t="shared" si="0"/>
        <v>0</v>
      </c>
      <c r="AM3" s="357">
        <f t="shared" si="0"/>
        <v>0</v>
      </c>
      <c r="AN3" s="357">
        <f t="shared" si="0"/>
        <v>0</v>
      </c>
      <c r="AO3" s="357">
        <f t="shared" si="0"/>
        <v>417923</v>
      </c>
      <c r="AP3" s="357">
        <f t="shared" si="0"/>
        <v>0</v>
      </c>
      <c r="AQ3" s="357">
        <f t="shared" si="0"/>
        <v>0</v>
      </c>
      <c r="AR3" s="357">
        <f t="shared" si="0"/>
        <v>334683.5</v>
      </c>
      <c r="AS3" s="357">
        <f t="shared" si="0"/>
        <v>0</v>
      </c>
      <c r="AT3" s="357">
        <f t="shared" si="0"/>
        <v>0</v>
      </c>
      <c r="AU3" s="357">
        <f t="shared" si="0"/>
        <v>0</v>
      </c>
      <c r="AV3" s="357">
        <f t="shared" si="0"/>
        <v>0</v>
      </c>
      <c r="AW3" s="357">
        <f t="shared" si="0"/>
        <v>198628</v>
      </c>
    </row>
    <row r="4" spans="1:49" x14ac:dyDescent="0.3">
      <c r="A4" s="356" t="s">
        <v>189</v>
      </c>
      <c r="B4" s="381">
        <v>1</v>
      </c>
      <c r="C4" s="358" t="s">
        <v>5</v>
      </c>
      <c r="D4" s="359" t="s">
        <v>55</v>
      </c>
      <c r="E4" s="359" t="s">
        <v>187</v>
      </c>
      <c r="F4" s="359" t="s">
        <v>3</v>
      </c>
      <c r="G4" s="359">
        <v>0</v>
      </c>
      <c r="H4" s="359">
        <v>25</v>
      </c>
      <c r="I4" s="359">
        <v>99</v>
      </c>
      <c r="J4" s="359">
        <v>100</v>
      </c>
      <c r="K4" s="359">
        <v>101</v>
      </c>
      <c r="L4" s="359">
        <v>102</v>
      </c>
      <c r="M4" s="359">
        <v>103</v>
      </c>
      <c r="N4" s="359">
        <v>203</v>
      </c>
      <c r="O4" s="359">
        <v>302</v>
      </c>
      <c r="P4" s="359">
        <v>303</v>
      </c>
      <c r="Q4" s="359">
        <v>304</v>
      </c>
      <c r="R4" s="359">
        <v>305</v>
      </c>
      <c r="S4" s="359">
        <v>306</v>
      </c>
      <c r="T4" s="359">
        <v>407</v>
      </c>
      <c r="U4" s="359">
        <v>408</v>
      </c>
      <c r="V4" s="359">
        <v>409</v>
      </c>
      <c r="W4" s="359">
        <v>410</v>
      </c>
      <c r="X4" s="359">
        <v>415</v>
      </c>
      <c r="Y4" s="359">
        <v>416</v>
      </c>
      <c r="Z4" s="359">
        <v>418</v>
      </c>
      <c r="AA4" s="359">
        <v>419</v>
      </c>
      <c r="AB4" s="359">
        <v>420</v>
      </c>
      <c r="AC4" s="359">
        <v>421</v>
      </c>
      <c r="AD4" s="359">
        <v>520</v>
      </c>
      <c r="AE4" s="359">
        <v>521</v>
      </c>
      <c r="AF4" s="359">
        <v>522</v>
      </c>
      <c r="AG4" s="359">
        <v>523</v>
      </c>
      <c r="AH4" s="359">
        <v>524</v>
      </c>
      <c r="AI4" s="359">
        <v>525</v>
      </c>
      <c r="AJ4" s="359">
        <v>526</v>
      </c>
      <c r="AK4" s="359">
        <v>527</v>
      </c>
      <c r="AL4" s="359">
        <v>528</v>
      </c>
      <c r="AM4" s="359">
        <v>629</v>
      </c>
      <c r="AN4" s="359">
        <v>630</v>
      </c>
      <c r="AO4" s="359">
        <v>636</v>
      </c>
      <c r="AP4" s="359">
        <v>637</v>
      </c>
      <c r="AQ4" s="359">
        <v>640</v>
      </c>
      <c r="AR4" s="359">
        <v>642</v>
      </c>
      <c r="AS4" s="359">
        <v>743</v>
      </c>
      <c r="AT4" s="359">
        <v>745</v>
      </c>
      <c r="AU4" s="359">
        <v>746</v>
      </c>
      <c r="AV4" s="359">
        <v>747</v>
      </c>
      <c r="AW4" s="359">
        <v>930</v>
      </c>
    </row>
    <row r="5" spans="1:49" x14ac:dyDescent="0.3">
      <c r="A5" s="356" t="s">
        <v>190</v>
      </c>
      <c r="B5" s="381">
        <v>2</v>
      </c>
      <c r="C5" s="356">
        <v>59</v>
      </c>
      <c r="D5" s="356">
        <v>1</v>
      </c>
      <c r="E5" s="356">
        <v>1</v>
      </c>
      <c r="F5" s="356">
        <v>55.15</v>
      </c>
      <c r="G5" s="356">
        <v>0</v>
      </c>
      <c r="H5" s="356">
        <v>0</v>
      </c>
      <c r="I5" s="356">
        <v>0</v>
      </c>
      <c r="J5" s="356">
        <v>1.8</v>
      </c>
      <c r="K5" s="356">
        <v>6.55</v>
      </c>
      <c r="L5" s="356">
        <v>0</v>
      </c>
      <c r="M5" s="356">
        <v>0</v>
      </c>
      <c r="N5" s="356">
        <v>0</v>
      </c>
      <c r="O5" s="356">
        <v>0</v>
      </c>
      <c r="P5" s="356">
        <v>10.050000000000001</v>
      </c>
      <c r="Q5" s="356">
        <v>21.5</v>
      </c>
      <c r="R5" s="356">
        <v>10.25</v>
      </c>
      <c r="S5" s="356">
        <v>0</v>
      </c>
      <c r="T5" s="356">
        <v>0</v>
      </c>
      <c r="U5" s="356">
        <v>0</v>
      </c>
      <c r="V5" s="356">
        <v>0</v>
      </c>
      <c r="W5" s="356">
        <v>0</v>
      </c>
      <c r="X5" s="356">
        <v>0</v>
      </c>
      <c r="Y5" s="356">
        <v>0</v>
      </c>
      <c r="Z5" s="356">
        <v>0</v>
      </c>
      <c r="AA5" s="356">
        <v>0</v>
      </c>
      <c r="AB5" s="356">
        <v>0</v>
      </c>
      <c r="AC5" s="356">
        <v>0</v>
      </c>
      <c r="AD5" s="356">
        <v>0</v>
      </c>
      <c r="AE5" s="356">
        <v>0</v>
      </c>
      <c r="AF5" s="356">
        <v>0</v>
      </c>
      <c r="AG5" s="356">
        <v>0</v>
      </c>
      <c r="AH5" s="356">
        <v>0</v>
      </c>
      <c r="AI5" s="356">
        <v>0</v>
      </c>
      <c r="AJ5" s="356">
        <v>0</v>
      </c>
      <c r="AK5" s="356">
        <v>0</v>
      </c>
      <c r="AL5" s="356">
        <v>0</v>
      </c>
      <c r="AM5" s="356">
        <v>0</v>
      </c>
      <c r="AN5" s="356">
        <v>0</v>
      </c>
      <c r="AO5" s="356">
        <v>2</v>
      </c>
      <c r="AP5" s="356">
        <v>0</v>
      </c>
      <c r="AQ5" s="356">
        <v>0</v>
      </c>
      <c r="AR5" s="356">
        <v>2</v>
      </c>
      <c r="AS5" s="356">
        <v>0</v>
      </c>
      <c r="AT5" s="356">
        <v>0</v>
      </c>
      <c r="AU5" s="356">
        <v>0</v>
      </c>
      <c r="AV5" s="356">
        <v>0</v>
      </c>
      <c r="AW5" s="356">
        <v>1</v>
      </c>
    </row>
    <row r="6" spans="1:49" x14ac:dyDescent="0.3">
      <c r="A6" s="356" t="s">
        <v>191</v>
      </c>
      <c r="B6" s="381">
        <v>3</v>
      </c>
      <c r="C6" s="356">
        <v>59</v>
      </c>
      <c r="D6" s="356">
        <v>1</v>
      </c>
      <c r="E6" s="356">
        <v>2</v>
      </c>
      <c r="F6" s="356">
        <v>7384.53</v>
      </c>
      <c r="G6" s="356">
        <v>0</v>
      </c>
      <c r="H6" s="356">
        <v>0</v>
      </c>
      <c r="I6" s="356">
        <v>0</v>
      </c>
      <c r="J6" s="356">
        <v>283.5</v>
      </c>
      <c r="K6" s="356">
        <v>940.15</v>
      </c>
      <c r="L6" s="356">
        <v>0</v>
      </c>
      <c r="M6" s="356">
        <v>0</v>
      </c>
      <c r="N6" s="356">
        <v>0</v>
      </c>
      <c r="O6" s="356">
        <v>0</v>
      </c>
      <c r="P6" s="356">
        <v>1396.9</v>
      </c>
      <c r="Q6" s="356">
        <v>2630.73</v>
      </c>
      <c r="R6" s="356">
        <v>1397.5</v>
      </c>
      <c r="S6" s="356">
        <v>0</v>
      </c>
      <c r="T6" s="356">
        <v>0</v>
      </c>
      <c r="U6" s="356">
        <v>0</v>
      </c>
      <c r="V6" s="356">
        <v>0</v>
      </c>
      <c r="W6" s="356">
        <v>0</v>
      </c>
      <c r="X6" s="356">
        <v>0</v>
      </c>
      <c r="Y6" s="356">
        <v>0</v>
      </c>
      <c r="Z6" s="356">
        <v>0</v>
      </c>
      <c r="AA6" s="356">
        <v>0</v>
      </c>
      <c r="AB6" s="356">
        <v>0</v>
      </c>
      <c r="AC6" s="356">
        <v>0</v>
      </c>
      <c r="AD6" s="356">
        <v>0</v>
      </c>
      <c r="AE6" s="356">
        <v>0</v>
      </c>
      <c r="AF6" s="356">
        <v>0</v>
      </c>
      <c r="AG6" s="356">
        <v>0</v>
      </c>
      <c r="AH6" s="356">
        <v>0</v>
      </c>
      <c r="AI6" s="356">
        <v>0</v>
      </c>
      <c r="AJ6" s="356">
        <v>0</v>
      </c>
      <c r="AK6" s="356">
        <v>0</v>
      </c>
      <c r="AL6" s="356">
        <v>0</v>
      </c>
      <c r="AM6" s="356">
        <v>0</v>
      </c>
      <c r="AN6" s="356">
        <v>0</v>
      </c>
      <c r="AO6" s="356">
        <v>325.5</v>
      </c>
      <c r="AP6" s="356">
        <v>0</v>
      </c>
      <c r="AQ6" s="356">
        <v>0</v>
      </c>
      <c r="AR6" s="356">
        <v>242.25</v>
      </c>
      <c r="AS6" s="356">
        <v>0</v>
      </c>
      <c r="AT6" s="356">
        <v>0</v>
      </c>
      <c r="AU6" s="356">
        <v>0</v>
      </c>
      <c r="AV6" s="356">
        <v>0</v>
      </c>
      <c r="AW6" s="356">
        <v>168</v>
      </c>
    </row>
    <row r="7" spans="1:49" x14ac:dyDescent="0.3">
      <c r="A7" s="356" t="s">
        <v>192</v>
      </c>
      <c r="B7" s="381">
        <v>4</v>
      </c>
      <c r="C7" s="356">
        <v>59</v>
      </c>
      <c r="D7" s="356">
        <v>1</v>
      </c>
      <c r="E7" s="356">
        <v>3</v>
      </c>
      <c r="F7" s="356">
        <v>312.85000000000002</v>
      </c>
      <c r="G7" s="356">
        <v>0</v>
      </c>
      <c r="H7" s="356">
        <v>0</v>
      </c>
      <c r="I7" s="356">
        <v>0</v>
      </c>
      <c r="J7" s="356">
        <v>12</v>
      </c>
      <c r="K7" s="356">
        <v>29</v>
      </c>
      <c r="L7" s="356">
        <v>0</v>
      </c>
      <c r="M7" s="356">
        <v>0</v>
      </c>
      <c r="N7" s="356">
        <v>0</v>
      </c>
      <c r="O7" s="356">
        <v>0</v>
      </c>
      <c r="P7" s="356">
        <v>78</v>
      </c>
      <c r="Q7" s="356">
        <v>135.85</v>
      </c>
      <c r="R7" s="356">
        <v>58</v>
      </c>
      <c r="S7" s="356">
        <v>0</v>
      </c>
      <c r="T7" s="356">
        <v>0</v>
      </c>
      <c r="U7" s="356">
        <v>0</v>
      </c>
      <c r="V7" s="356">
        <v>0</v>
      </c>
      <c r="W7" s="356">
        <v>0</v>
      </c>
      <c r="X7" s="356">
        <v>0</v>
      </c>
      <c r="Y7" s="356">
        <v>0</v>
      </c>
      <c r="Z7" s="356">
        <v>0</v>
      </c>
      <c r="AA7" s="356">
        <v>0</v>
      </c>
      <c r="AB7" s="356">
        <v>0</v>
      </c>
      <c r="AC7" s="356">
        <v>0</v>
      </c>
      <c r="AD7" s="356">
        <v>0</v>
      </c>
      <c r="AE7" s="356">
        <v>0</v>
      </c>
      <c r="AF7" s="356">
        <v>0</v>
      </c>
      <c r="AG7" s="356">
        <v>0</v>
      </c>
      <c r="AH7" s="356">
        <v>0</v>
      </c>
      <c r="AI7" s="356">
        <v>0</v>
      </c>
      <c r="AJ7" s="356">
        <v>0</v>
      </c>
      <c r="AK7" s="356">
        <v>0</v>
      </c>
      <c r="AL7" s="356">
        <v>0</v>
      </c>
      <c r="AM7" s="356">
        <v>0</v>
      </c>
      <c r="AN7" s="356">
        <v>0</v>
      </c>
      <c r="AO7" s="356">
        <v>0</v>
      </c>
      <c r="AP7" s="356">
        <v>0</v>
      </c>
      <c r="AQ7" s="356">
        <v>0</v>
      </c>
      <c r="AR7" s="356">
        <v>0</v>
      </c>
      <c r="AS7" s="356">
        <v>0</v>
      </c>
      <c r="AT7" s="356">
        <v>0</v>
      </c>
      <c r="AU7" s="356">
        <v>0</v>
      </c>
      <c r="AV7" s="356">
        <v>0</v>
      </c>
      <c r="AW7" s="356">
        <v>0</v>
      </c>
    </row>
    <row r="8" spans="1:49" x14ac:dyDescent="0.3">
      <c r="A8" s="356" t="s">
        <v>193</v>
      </c>
      <c r="B8" s="381">
        <v>5</v>
      </c>
      <c r="C8" s="356">
        <v>59</v>
      </c>
      <c r="D8" s="356">
        <v>1</v>
      </c>
      <c r="E8" s="356">
        <v>4</v>
      </c>
      <c r="F8" s="356">
        <v>759.5</v>
      </c>
      <c r="G8" s="356">
        <v>0</v>
      </c>
      <c r="H8" s="356">
        <v>0</v>
      </c>
      <c r="I8" s="356">
        <v>0</v>
      </c>
      <c r="J8" s="356">
        <v>20</v>
      </c>
      <c r="K8" s="356">
        <v>85</v>
      </c>
      <c r="L8" s="356">
        <v>0</v>
      </c>
      <c r="M8" s="356">
        <v>0</v>
      </c>
      <c r="N8" s="356">
        <v>0</v>
      </c>
      <c r="O8" s="356">
        <v>0</v>
      </c>
      <c r="P8" s="356">
        <v>130</v>
      </c>
      <c r="Q8" s="356">
        <v>331</v>
      </c>
      <c r="R8" s="356">
        <v>168.5</v>
      </c>
      <c r="S8" s="356">
        <v>0</v>
      </c>
      <c r="T8" s="356">
        <v>0</v>
      </c>
      <c r="U8" s="356">
        <v>0</v>
      </c>
      <c r="V8" s="356">
        <v>0</v>
      </c>
      <c r="W8" s="356">
        <v>0</v>
      </c>
      <c r="X8" s="356">
        <v>0</v>
      </c>
      <c r="Y8" s="356">
        <v>0</v>
      </c>
      <c r="Z8" s="356">
        <v>0</v>
      </c>
      <c r="AA8" s="356">
        <v>0</v>
      </c>
      <c r="AB8" s="356">
        <v>0</v>
      </c>
      <c r="AC8" s="356">
        <v>0</v>
      </c>
      <c r="AD8" s="356">
        <v>0</v>
      </c>
      <c r="AE8" s="356">
        <v>0</v>
      </c>
      <c r="AF8" s="356">
        <v>0</v>
      </c>
      <c r="AG8" s="356">
        <v>0</v>
      </c>
      <c r="AH8" s="356">
        <v>0</v>
      </c>
      <c r="AI8" s="356">
        <v>0</v>
      </c>
      <c r="AJ8" s="356">
        <v>0</v>
      </c>
      <c r="AK8" s="356">
        <v>0</v>
      </c>
      <c r="AL8" s="356">
        <v>0</v>
      </c>
      <c r="AM8" s="356">
        <v>0</v>
      </c>
      <c r="AN8" s="356">
        <v>0</v>
      </c>
      <c r="AO8" s="356">
        <v>6</v>
      </c>
      <c r="AP8" s="356">
        <v>0</v>
      </c>
      <c r="AQ8" s="356">
        <v>0</v>
      </c>
      <c r="AR8" s="356">
        <v>19</v>
      </c>
      <c r="AS8" s="356">
        <v>0</v>
      </c>
      <c r="AT8" s="356">
        <v>0</v>
      </c>
      <c r="AU8" s="356">
        <v>0</v>
      </c>
      <c r="AV8" s="356">
        <v>0</v>
      </c>
      <c r="AW8" s="356">
        <v>0</v>
      </c>
    </row>
    <row r="9" spans="1:49" x14ac:dyDescent="0.3">
      <c r="A9" s="356" t="s">
        <v>194</v>
      </c>
      <c r="B9" s="381">
        <v>6</v>
      </c>
      <c r="C9" s="356">
        <v>59</v>
      </c>
      <c r="D9" s="356">
        <v>1</v>
      </c>
      <c r="E9" s="356">
        <v>5</v>
      </c>
      <c r="F9" s="356">
        <v>48</v>
      </c>
      <c r="G9" s="356">
        <v>48</v>
      </c>
      <c r="H9" s="356">
        <v>0</v>
      </c>
      <c r="I9" s="356">
        <v>0</v>
      </c>
      <c r="J9" s="356">
        <v>0</v>
      </c>
      <c r="K9" s="356">
        <v>0</v>
      </c>
      <c r="L9" s="356">
        <v>0</v>
      </c>
      <c r="M9" s="356">
        <v>0</v>
      </c>
      <c r="N9" s="356">
        <v>0</v>
      </c>
      <c r="O9" s="356">
        <v>0</v>
      </c>
      <c r="P9" s="356">
        <v>0</v>
      </c>
      <c r="Q9" s="356">
        <v>0</v>
      </c>
      <c r="R9" s="356">
        <v>0</v>
      </c>
      <c r="S9" s="356">
        <v>0</v>
      </c>
      <c r="T9" s="356">
        <v>0</v>
      </c>
      <c r="U9" s="356">
        <v>0</v>
      </c>
      <c r="V9" s="356">
        <v>0</v>
      </c>
      <c r="W9" s="356">
        <v>0</v>
      </c>
      <c r="X9" s="356">
        <v>0</v>
      </c>
      <c r="Y9" s="356">
        <v>0</v>
      </c>
      <c r="Z9" s="356">
        <v>0</v>
      </c>
      <c r="AA9" s="356">
        <v>0</v>
      </c>
      <c r="AB9" s="356">
        <v>0</v>
      </c>
      <c r="AC9" s="356">
        <v>0</v>
      </c>
      <c r="AD9" s="356">
        <v>0</v>
      </c>
      <c r="AE9" s="356">
        <v>0</v>
      </c>
      <c r="AF9" s="356">
        <v>0</v>
      </c>
      <c r="AG9" s="356">
        <v>0</v>
      </c>
      <c r="AH9" s="356">
        <v>0</v>
      </c>
      <c r="AI9" s="356">
        <v>0</v>
      </c>
      <c r="AJ9" s="356">
        <v>0</v>
      </c>
      <c r="AK9" s="356">
        <v>0</v>
      </c>
      <c r="AL9" s="356">
        <v>0</v>
      </c>
      <c r="AM9" s="356">
        <v>0</v>
      </c>
      <c r="AN9" s="356">
        <v>0</v>
      </c>
      <c r="AO9" s="356">
        <v>0</v>
      </c>
      <c r="AP9" s="356">
        <v>0</v>
      </c>
      <c r="AQ9" s="356">
        <v>0</v>
      </c>
      <c r="AR9" s="356">
        <v>0</v>
      </c>
      <c r="AS9" s="356">
        <v>0</v>
      </c>
      <c r="AT9" s="356">
        <v>0</v>
      </c>
      <c r="AU9" s="356">
        <v>0</v>
      </c>
      <c r="AV9" s="356">
        <v>0</v>
      </c>
      <c r="AW9" s="356">
        <v>0</v>
      </c>
    </row>
    <row r="10" spans="1:49" x14ac:dyDescent="0.3">
      <c r="A10" s="356" t="s">
        <v>195</v>
      </c>
      <c r="B10" s="381">
        <v>7</v>
      </c>
      <c r="C10" s="356">
        <v>59</v>
      </c>
      <c r="D10" s="356">
        <v>1</v>
      </c>
      <c r="E10" s="356">
        <v>6</v>
      </c>
      <c r="F10" s="356">
        <v>2346818</v>
      </c>
      <c r="G10" s="356">
        <v>9600</v>
      </c>
      <c r="H10" s="356">
        <v>0</v>
      </c>
      <c r="I10" s="356">
        <v>0</v>
      </c>
      <c r="J10" s="356">
        <v>79947</v>
      </c>
      <c r="K10" s="356">
        <v>549646</v>
      </c>
      <c r="L10" s="356">
        <v>0</v>
      </c>
      <c r="M10" s="356">
        <v>0</v>
      </c>
      <c r="N10" s="356">
        <v>0</v>
      </c>
      <c r="O10" s="356">
        <v>0</v>
      </c>
      <c r="P10" s="356">
        <v>349955</v>
      </c>
      <c r="Q10" s="356">
        <v>802865</v>
      </c>
      <c r="R10" s="356">
        <v>447347</v>
      </c>
      <c r="S10" s="356">
        <v>0</v>
      </c>
      <c r="T10" s="356">
        <v>0</v>
      </c>
      <c r="U10" s="356">
        <v>0</v>
      </c>
      <c r="V10" s="356">
        <v>0</v>
      </c>
      <c r="W10" s="356">
        <v>0</v>
      </c>
      <c r="X10" s="356">
        <v>0</v>
      </c>
      <c r="Y10" s="356">
        <v>0</v>
      </c>
      <c r="Z10" s="356">
        <v>0</v>
      </c>
      <c r="AA10" s="356">
        <v>0</v>
      </c>
      <c r="AB10" s="356">
        <v>0</v>
      </c>
      <c r="AC10" s="356">
        <v>0</v>
      </c>
      <c r="AD10" s="356">
        <v>0</v>
      </c>
      <c r="AE10" s="356">
        <v>0</v>
      </c>
      <c r="AF10" s="356">
        <v>0</v>
      </c>
      <c r="AG10" s="356">
        <v>0</v>
      </c>
      <c r="AH10" s="356">
        <v>0</v>
      </c>
      <c r="AI10" s="356">
        <v>0</v>
      </c>
      <c r="AJ10" s="356">
        <v>0</v>
      </c>
      <c r="AK10" s="356">
        <v>0</v>
      </c>
      <c r="AL10" s="356">
        <v>0</v>
      </c>
      <c r="AM10" s="356">
        <v>0</v>
      </c>
      <c r="AN10" s="356">
        <v>0</v>
      </c>
      <c r="AO10" s="356">
        <v>46732</v>
      </c>
      <c r="AP10" s="356">
        <v>0</v>
      </c>
      <c r="AQ10" s="356">
        <v>0</v>
      </c>
      <c r="AR10" s="356">
        <v>34536</v>
      </c>
      <c r="AS10" s="356">
        <v>0</v>
      </c>
      <c r="AT10" s="356">
        <v>0</v>
      </c>
      <c r="AU10" s="356">
        <v>0</v>
      </c>
      <c r="AV10" s="356">
        <v>0</v>
      </c>
      <c r="AW10" s="356">
        <v>26190</v>
      </c>
    </row>
    <row r="11" spans="1:49" x14ac:dyDescent="0.3">
      <c r="A11" s="356" t="s">
        <v>196</v>
      </c>
      <c r="B11" s="381">
        <v>8</v>
      </c>
      <c r="C11" s="356">
        <v>59</v>
      </c>
      <c r="D11" s="356">
        <v>1</v>
      </c>
      <c r="E11" s="356">
        <v>9</v>
      </c>
      <c r="F11" s="356">
        <v>55854</v>
      </c>
      <c r="G11" s="356">
        <v>0</v>
      </c>
      <c r="H11" s="356">
        <v>0</v>
      </c>
      <c r="I11" s="356">
        <v>0</v>
      </c>
      <c r="J11" s="356">
        <v>0</v>
      </c>
      <c r="K11" s="356">
        <v>0</v>
      </c>
      <c r="L11" s="356">
        <v>0</v>
      </c>
      <c r="M11" s="356">
        <v>0</v>
      </c>
      <c r="N11" s="356">
        <v>0</v>
      </c>
      <c r="O11" s="356">
        <v>0</v>
      </c>
      <c r="P11" s="356">
        <v>11536</v>
      </c>
      <c r="Q11" s="356">
        <v>28943</v>
      </c>
      <c r="R11" s="356">
        <v>15375</v>
      </c>
      <c r="S11" s="356">
        <v>0</v>
      </c>
      <c r="T11" s="356">
        <v>0</v>
      </c>
      <c r="U11" s="356">
        <v>0</v>
      </c>
      <c r="V11" s="356">
        <v>0</v>
      </c>
      <c r="W11" s="356">
        <v>0</v>
      </c>
      <c r="X11" s="356">
        <v>0</v>
      </c>
      <c r="Y11" s="356">
        <v>0</v>
      </c>
      <c r="Z11" s="356">
        <v>0</v>
      </c>
      <c r="AA11" s="356">
        <v>0</v>
      </c>
      <c r="AB11" s="356">
        <v>0</v>
      </c>
      <c r="AC11" s="356">
        <v>0</v>
      </c>
      <c r="AD11" s="356">
        <v>0</v>
      </c>
      <c r="AE11" s="356">
        <v>0</v>
      </c>
      <c r="AF11" s="356">
        <v>0</v>
      </c>
      <c r="AG11" s="356">
        <v>0</v>
      </c>
      <c r="AH11" s="356">
        <v>0</v>
      </c>
      <c r="AI11" s="356">
        <v>0</v>
      </c>
      <c r="AJ11" s="356">
        <v>0</v>
      </c>
      <c r="AK11" s="356">
        <v>0</v>
      </c>
      <c r="AL11" s="356">
        <v>0</v>
      </c>
      <c r="AM11" s="356">
        <v>0</v>
      </c>
      <c r="AN11" s="356">
        <v>0</v>
      </c>
      <c r="AO11" s="356">
        <v>0</v>
      </c>
      <c r="AP11" s="356">
        <v>0</v>
      </c>
      <c r="AQ11" s="356">
        <v>0</v>
      </c>
      <c r="AR11" s="356">
        <v>0</v>
      </c>
      <c r="AS11" s="356">
        <v>0</v>
      </c>
      <c r="AT11" s="356">
        <v>0</v>
      </c>
      <c r="AU11" s="356">
        <v>0</v>
      </c>
      <c r="AV11" s="356">
        <v>0</v>
      </c>
      <c r="AW11" s="356">
        <v>0</v>
      </c>
    </row>
    <row r="12" spans="1:49" x14ac:dyDescent="0.3">
      <c r="A12" s="356" t="s">
        <v>197</v>
      </c>
      <c r="B12" s="381">
        <v>9</v>
      </c>
      <c r="C12" s="356">
        <v>59</v>
      </c>
      <c r="D12" s="356">
        <v>1</v>
      </c>
      <c r="E12" s="356">
        <v>10</v>
      </c>
      <c r="F12" s="356">
        <v>3227</v>
      </c>
      <c r="G12" s="356">
        <v>0</v>
      </c>
      <c r="H12" s="356">
        <v>0</v>
      </c>
      <c r="I12" s="356">
        <v>0</v>
      </c>
      <c r="J12" s="356">
        <v>0</v>
      </c>
      <c r="K12" s="356">
        <v>0</v>
      </c>
      <c r="L12" s="356">
        <v>0</v>
      </c>
      <c r="M12" s="356">
        <v>0</v>
      </c>
      <c r="N12" s="356">
        <v>0</v>
      </c>
      <c r="O12" s="356">
        <v>3227</v>
      </c>
      <c r="P12" s="356">
        <v>0</v>
      </c>
      <c r="Q12" s="356">
        <v>0</v>
      </c>
      <c r="R12" s="356">
        <v>0</v>
      </c>
      <c r="S12" s="356">
        <v>0</v>
      </c>
      <c r="T12" s="356">
        <v>0</v>
      </c>
      <c r="U12" s="356">
        <v>0</v>
      </c>
      <c r="V12" s="356">
        <v>0</v>
      </c>
      <c r="W12" s="356">
        <v>0</v>
      </c>
      <c r="X12" s="356">
        <v>0</v>
      </c>
      <c r="Y12" s="356">
        <v>0</v>
      </c>
      <c r="Z12" s="356">
        <v>0</v>
      </c>
      <c r="AA12" s="356">
        <v>0</v>
      </c>
      <c r="AB12" s="356">
        <v>0</v>
      </c>
      <c r="AC12" s="356">
        <v>0</v>
      </c>
      <c r="AD12" s="356">
        <v>0</v>
      </c>
      <c r="AE12" s="356">
        <v>0</v>
      </c>
      <c r="AF12" s="356">
        <v>0</v>
      </c>
      <c r="AG12" s="356">
        <v>0</v>
      </c>
      <c r="AH12" s="356">
        <v>0</v>
      </c>
      <c r="AI12" s="356">
        <v>0</v>
      </c>
      <c r="AJ12" s="356">
        <v>0</v>
      </c>
      <c r="AK12" s="356">
        <v>0</v>
      </c>
      <c r="AL12" s="356">
        <v>0</v>
      </c>
      <c r="AM12" s="356">
        <v>0</v>
      </c>
      <c r="AN12" s="356">
        <v>0</v>
      </c>
      <c r="AO12" s="356">
        <v>0</v>
      </c>
      <c r="AP12" s="356">
        <v>0</v>
      </c>
      <c r="AQ12" s="356">
        <v>0</v>
      </c>
      <c r="AR12" s="356">
        <v>0</v>
      </c>
      <c r="AS12" s="356">
        <v>0</v>
      </c>
      <c r="AT12" s="356">
        <v>0</v>
      </c>
      <c r="AU12" s="356">
        <v>0</v>
      </c>
      <c r="AV12" s="356">
        <v>0</v>
      </c>
      <c r="AW12" s="356">
        <v>0</v>
      </c>
    </row>
    <row r="13" spans="1:49" x14ac:dyDescent="0.3">
      <c r="A13" s="356" t="s">
        <v>198</v>
      </c>
      <c r="B13" s="381">
        <v>10</v>
      </c>
      <c r="C13" s="356">
        <v>59</v>
      </c>
      <c r="D13" s="356">
        <v>1</v>
      </c>
      <c r="E13" s="356">
        <v>11</v>
      </c>
      <c r="F13" s="356">
        <v>12717.557251908398</v>
      </c>
      <c r="G13" s="356">
        <v>0</v>
      </c>
      <c r="H13" s="356">
        <v>0</v>
      </c>
      <c r="I13" s="356">
        <v>0</v>
      </c>
      <c r="J13" s="356">
        <v>1717.5572519083971</v>
      </c>
      <c r="K13" s="356">
        <v>0</v>
      </c>
      <c r="L13" s="356">
        <v>0</v>
      </c>
      <c r="M13" s="356">
        <v>0</v>
      </c>
      <c r="N13" s="356">
        <v>0</v>
      </c>
      <c r="O13" s="356">
        <v>11000</v>
      </c>
      <c r="P13" s="356">
        <v>0</v>
      </c>
      <c r="Q13" s="356">
        <v>0</v>
      </c>
      <c r="R13" s="356">
        <v>0</v>
      </c>
      <c r="S13" s="356">
        <v>0</v>
      </c>
      <c r="T13" s="356">
        <v>0</v>
      </c>
      <c r="U13" s="356">
        <v>0</v>
      </c>
      <c r="V13" s="356">
        <v>0</v>
      </c>
      <c r="W13" s="356">
        <v>0</v>
      </c>
      <c r="X13" s="356">
        <v>0</v>
      </c>
      <c r="Y13" s="356">
        <v>0</v>
      </c>
      <c r="Z13" s="356">
        <v>0</v>
      </c>
      <c r="AA13" s="356">
        <v>0</v>
      </c>
      <c r="AB13" s="356">
        <v>0</v>
      </c>
      <c r="AC13" s="356">
        <v>0</v>
      </c>
      <c r="AD13" s="356">
        <v>0</v>
      </c>
      <c r="AE13" s="356">
        <v>0</v>
      </c>
      <c r="AF13" s="356">
        <v>0</v>
      </c>
      <c r="AG13" s="356">
        <v>0</v>
      </c>
      <c r="AH13" s="356">
        <v>0</v>
      </c>
      <c r="AI13" s="356">
        <v>0</v>
      </c>
      <c r="AJ13" s="356">
        <v>0</v>
      </c>
      <c r="AK13" s="356">
        <v>0</v>
      </c>
      <c r="AL13" s="356">
        <v>0</v>
      </c>
      <c r="AM13" s="356">
        <v>0</v>
      </c>
      <c r="AN13" s="356">
        <v>0</v>
      </c>
      <c r="AO13" s="356">
        <v>0</v>
      </c>
      <c r="AP13" s="356">
        <v>0</v>
      </c>
      <c r="AQ13" s="356">
        <v>0</v>
      </c>
      <c r="AR13" s="356">
        <v>0</v>
      </c>
      <c r="AS13" s="356">
        <v>0</v>
      </c>
      <c r="AT13" s="356">
        <v>0</v>
      </c>
      <c r="AU13" s="356">
        <v>0</v>
      </c>
      <c r="AV13" s="356">
        <v>0</v>
      </c>
      <c r="AW13" s="356">
        <v>0</v>
      </c>
    </row>
    <row r="14" spans="1:49" x14ac:dyDescent="0.3">
      <c r="A14" s="356" t="s">
        <v>199</v>
      </c>
      <c r="B14" s="381">
        <v>11</v>
      </c>
      <c r="C14" s="356">
        <v>59</v>
      </c>
      <c r="D14" s="356">
        <v>2</v>
      </c>
      <c r="E14" s="356">
        <v>1</v>
      </c>
      <c r="F14" s="356">
        <v>57.9</v>
      </c>
      <c r="G14" s="356">
        <v>0</v>
      </c>
      <c r="H14" s="356">
        <v>0</v>
      </c>
      <c r="I14" s="356">
        <v>0</v>
      </c>
      <c r="J14" s="356">
        <v>1.8</v>
      </c>
      <c r="K14" s="356">
        <v>6.55</v>
      </c>
      <c r="L14" s="356">
        <v>0</v>
      </c>
      <c r="M14" s="356">
        <v>0</v>
      </c>
      <c r="N14" s="356">
        <v>0</v>
      </c>
      <c r="O14" s="356">
        <v>0</v>
      </c>
      <c r="P14" s="356">
        <v>10.55</v>
      </c>
      <c r="Q14" s="356">
        <v>23.25</v>
      </c>
      <c r="R14" s="356">
        <v>10.75</v>
      </c>
      <c r="S14" s="356">
        <v>0</v>
      </c>
      <c r="T14" s="356">
        <v>0</v>
      </c>
      <c r="U14" s="356">
        <v>0</v>
      </c>
      <c r="V14" s="356">
        <v>0</v>
      </c>
      <c r="W14" s="356">
        <v>0</v>
      </c>
      <c r="X14" s="356">
        <v>0</v>
      </c>
      <c r="Y14" s="356">
        <v>0</v>
      </c>
      <c r="Z14" s="356">
        <v>0</v>
      </c>
      <c r="AA14" s="356">
        <v>0</v>
      </c>
      <c r="AB14" s="356">
        <v>0</v>
      </c>
      <c r="AC14" s="356">
        <v>0</v>
      </c>
      <c r="AD14" s="356">
        <v>0</v>
      </c>
      <c r="AE14" s="356">
        <v>0</v>
      </c>
      <c r="AF14" s="356">
        <v>0</v>
      </c>
      <c r="AG14" s="356">
        <v>0</v>
      </c>
      <c r="AH14" s="356">
        <v>0</v>
      </c>
      <c r="AI14" s="356">
        <v>0</v>
      </c>
      <c r="AJ14" s="356">
        <v>0</v>
      </c>
      <c r="AK14" s="356">
        <v>0</v>
      </c>
      <c r="AL14" s="356">
        <v>0</v>
      </c>
      <c r="AM14" s="356">
        <v>0</v>
      </c>
      <c r="AN14" s="356">
        <v>0</v>
      </c>
      <c r="AO14" s="356">
        <v>2</v>
      </c>
      <c r="AP14" s="356">
        <v>0</v>
      </c>
      <c r="AQ14" s="356">
        <v>0</v>
      </c>
      <c r="AR14" s="356">
        <v>2</v>
      </c>
      <c r="AS14" s="356">
        <v>0</v>
      </c>
      <c r="AT14" s="356">
        <v>0</v>
      </c>
      <c r="AU14" s="356">
        <v>0</v>
      </c>
      <c r="AV14" s="356">
        <v>0</v>
      </c>
      <c r="AW14" s="356">
        <v>1</v>
      </c>
    </row>
    <row r="15" spans="1:49" x14ac:dyDescent="0.3">
      <c r="A15" s="356" t="s">
        <v>200</v>
      </c>
      <c r="B15" s="381">
        <v>12</v>
      </c>
      <c r="C15" s="356">
        <v>59</v>
      </c>
      <c r="D15" s="356">
        <v>2</v>
      </c>
      <c r="E15" s="356">
        <v>2</v>
      </c>
      <c r="F15" s="356">
        <v>7669.25</v>
      </c>
      <c r="G15" s="356">
        <v>0</v>
      </c>
      <c r="H15" s="356">
        <v>0</v>
      </c>
      <c r="I15" s="356">
        <v>0</v>
      </c>
      <c r="J15" s="356">
        <v>237.5</v>
      </c>
      <c r="K15" s="356">
        <v>930.65</v>
      </c>
      <c r="L15" s="356">
        <v>0</v>
      </c>
      <c r="M15" s="356">
        <v>0</v>
      </c>
      <c r="N15" s="356">
        <v>0</v>
      </c>
      <c r="O15" s="356">
        <v>0</v>
      </c>
      <c r="P15" s="356">
        <v>1387.15</v>
      </c>
      <c r="Q15" s="356">
        <v>2817.8</v>
      </c>
      <c r="R15" s="356">
        <v>1477.15</v>
      </c>
      <c r="S15" s="356">
        <v>0</v>
      </c>
      <c r="T15" s="356">
        <v>0</v>
      </c>
      <c r="U15" s="356">
        <v>0</v>
      </c>
      <c r="V15" s="356">
        <v>0</v>
      </c>
      <c r="W15" s="356">
        <v>0</v>
      </c>
      <c r="X15" s="356">
        <v>0</v>
      </c>
      <c r="Y15" s="356">
        <v>0</v>
      </c>
      <c r="Z15" s="356">
        <v>0</v>
      </c>
      <c r="AA15" s="356">
        <v>0</v>
      </c>
      <c r="AB15" s="356">
        <v>0</v>
      </c>
      <c r="AC15" s="356">
        <v>0</v>
      </c>
      <c r="AD15" s="356">
        <v>0</v>
      </c>
      <c r="AE15" s="356">
        <v>0</v>
      </c>
      <c r="AF15" s="356">
        <v>0</v>
      </c>
      <c r="AG15" s="356">
        <v>0</v>
      </c>
      <c r="AH15" s="356">
        <v>0</v>
      </c>
      <c r="AI15" s="356">
        <v>0</v>
      </c>
      <c r="AJ15" s="356">
        <v>0</v>
      </c>
      <c r="AK15" s="356">
        <v>0</v>
      </c>
      <c r="AL15" s="356">
        <v>0</v>
      </c>
      <c r="AM15" s="356">
        <v>0</v>
      </c>
      <c r="AN15" s="356">
        <v>0</v>
      </c>
      <c r="AO15" s="356">
        <v>325.5</v>
      </c>
      <c r="AP15" s="356">
        <v>0</v>
      </c>
      <c r="AQ15" s="356">
        <v>0</v>
      </c>
      <c r="AR15" s="356">
        <v>325.5</v>
      </c>
      <c r="AS15" s="356">
        <v>0</v>
      </c>
      <c r="AT15" s="356">
        <v>0</v>
      </c>
      <c r="AU15" s="356">
        <v>0</v>
      </c>
      <c r="AV15" s="356">
        <v>0</v>
      </c>
      <c r="AW15" s="356">
        <v>168</v>
      </c>
    </row>
    <row r="16" spans="1:49" x14ac:dyDescent="0.3">
      <c r="A16" s="356" t="s">
        <v>188</v>
      </c>
      <c r="B16" s="381">
        <v>2016</v>
      </c>
      <c r="C16" s="356">
        <v>59</v>
      </c>
      <c r="D16" s="356">
        <v>2</v>
      </c>
      <c r="E16" s="356">
        <v>3</v>
      </c>
      <c r="F16" s="356">
        <v>293.5</v>
      </c>
      <c r="G16" s="356">
        <v>0</v>
      </c>
      <c r="H16" s="356">
        <v>0</v>
      </c>
      <c r="I16" s="356">
        <v>0</v>
      </c>
      <c r="J16" s="356">
        <v>20</v>
      </c>
      <c r="K16" s="356">
        <v>46</v>
      </c>
      <c r="L16" s="356">
        <v>0</v>
      </c>
      <c r="M16" s="356">
        <v>0</v>
      </c>
      <c r="N16" s="356">
        <v>0</v>
      </c>
      <c r="O16" s="356">
        <v>0</v>
      </c>
      <c r="P16" s="356">
        <v>107</v>
      </c>
      <c r="Q16" s="356">
        <v>66.5</v>
      </c>
      <c r="R16" s="356">
        <v>54</v>
      </c>
      <c r="S16" s="356">
        <v>0</v>
      </c>
      <c r="T16" s="356">
        <v>0</v>
      </c>
      <c r="U16" s="356">
        <v>0</v>
      </c>
      <c r="V16" s="356">
        <v>0</v>
      </c>
      <c r="W16" s="356">
        <v>0</v>
      </c>
      <c r="X16" s="356">
        <v>0</v>
      </c>
      <c r="Y16" s="356">
        <v>0</v>
      </c>
      <c r="Z16" s="356">
        <v>0</v>
      </c>
      <c r="AA16" s="356">
        <v>0</v>
      </c>
      <c r="AB16" s="356">
        <v>0</v>
      </c>
      <c r="AC16" s="356">
        <v>0</v>
      </c>
      <c r="AD16" s="356">
        <v>0</v>
      </c>
      <c r="AE16" s="356">
        <v>0</v>
      </c>
      <c r="AF16" s="356">
        <v>0</v>
      </c>
      <c r="AG16" s="356">
        <v>0</v>
      </c>
      <c r="AH16" s="356">
        <v>0</v>
      </c>
      <c r="AI16" s="356">
        <v>0</v>
      </c>
      <c r="AJ16" s="356">
        <v>0</v>
      </c>
      <c r="AK16" s="356">
        <v>0</v>
      </c>
      <c r="AL16" s="356">
        <v>0</v>
      </c>
      <c r="AM16" s="356">
        <v>0</v>
      </c>
      <c r="AN16" s="356">
        <v>0</v>
      </c>
      <c r="AO16" s="356">
        <v>0</v>
      </c>
      <c r="AP16" s="356">
        <v>0</v>
      </c>
      <c r="AQ16" s="356">
        <v>0</v>
      </c>
      <c r="AR16" s="356">
        <v>0</v>
      </c>
      <c r="AS16" s="356">
        <v>0</v>
      </c>
      <c r="AT16" s="356">
        <v>0</v>
      </c>
      <c r="AU16" s="356">
        <v>0</v>
      </c>
      <c r="AV16" s="356">
        <v>0</v>
      </c>
      <c r="AW16" s="356">
        <v>0</v>
      </c>
    </row>
    <row r="17" spans="3:49" x14ac:dyDescent="0.3">
      <c r="C17" s="356">
        <v>59</v>
      </c>
      <c r="D17" s="356">
        <v>2</v>
      </c>
      <c r="E17" s="356">
        <v>4</v>
      </c>
      <c r="F17" s="356">
        <v>773.62</v>
      </c>
      <c r="G17" s="356">
        <v>0</v>
      </c>
      <c r="H17" s="356">
        <v>0</v>
      </c>
      <c r="I17" s="356">
        <v>0</v>
      </c>
      <c r="J17" s="356">
        <v>26</v>
      </c>
      <c r="K17" s="356">
        <v>127</v>
      </c>
      <c r="L17" s="356">
        <v>0</v>
      </c>
      <c r="M17" s="356">
        <v>0</v>
      </c>
      <c r="N17" s="356">
        <v>0</v>
      </c>
      <c r="O17" s="356">
        <v>0</v>
      </c>
      <c r="P17" s="356">
        <v>140</v>
      </c>
      <c r="Q17" s="356">
        <v>368.62</v>
      </c>
      <c r="R17" s="356">
        <v>101</v>
      </c>
      <c r="S17" s="356">
        <v>0</v>
      </c>
      <c r="T17" s="356">
        <v>0</v>
      </c>
      <c r="U17" s="356">
        <v>0</v>
      </c>
      <c r="V17" s="356">
        <v>0</v>
      </c>
      <c r="W17" s="356">
        <v>0</v>
      </c>
      <c r="X17" s="356">
        <v>0</v>
      </c>
      <c r="Y17" s="356">
        <v>0</v>
      </c>
      <c r="Z17" s="356">
        <v>0</v>
      </c>
      <c r="AA17" s="356">
        <v>0</v>
      </c>
      <c r="AB17" s="356">
        <v>0</v>
      </c>
      <c r="AC17" s="356">
        <v>0</v>
      </c>
      <c r="AD17" s="356">
        <v>0</v>
      </c>
      <c r="AE17" s="356">
        <v>0</v>
      </c>
      <c r="AF17" s="356">
        <v>0</v>
      </c>
      <c r="AG17" s="356">
        <v>0</v>
      </c>
      <c r="AH17" s="356">
        <v>0</v>
      </c>
      <c r="AI17" s="356">
        <v>0</v>
      </c>
      <c r="AJ17" s="356">
        <v>0</v>
      </c>
      <c r="AK17" s="356">
        <v>0</v>
      </c>
      <c r="AL17" s="356">
        <v>0</v>
      </c>
      <c r="AM17" s="356">
        <v>0</v>
      </c>
      <c r="AN17" s="356">
        <v>0</v>
      </c>
      <c r="AO17" s="356">
        <v>6</v>
      </c>
      <c r="AP17" s="356">
        <v>0</v>
      </c>
      <c r="AQ17" s="356">
        <v>0</v>
      </c>
      <c r="AR17" s="356">
        <v>5</v>
      </c>
      <c r="AS17" s="356">
        <v>0</v>
      </c>
      <c r="AT17" s="356">
        <v>0</v>
      </c>
      <c r="AU17" s="356">
        <v>0</v>
      </c>
      <c r="AV17" s="356">
        <v>0</v>
      </c>
      <c r="AW17" s="356">
        <v>0</v>
      </c>
    </row>
    <row r="18" spans="3:49" x14ac:dyDescent="0.3">
      <c r="C18" s="356">
        <v>59</v>
      </c>
      <c r="D18" s="356">
        <v>2</v>
      </c>
      <c r="E18" s="356">
        <v>5</v>
      </c>
      <c r="F18" s="356">
        <v>48</v>
      </c>
      <c r="G18" s="356">
        <v>48</v>
      </c>
      <c r="H18" s="356">
        <v>0</v>
      </c>
      <c r="I18" s="356">
        <v>0</v>
      </c>
      <c r="J18" s="356">
        <v>0</v>
      </c>
      <c r="K18" s="356">
        <v>0</v>
      </c>
      <c r="L18" s="356">
        <v>0</v>
      </c>
      <c r="M18" s="356">
        <v>0</v>
      </c>
      <c r="N18" s="356">
        <v>0</v>
      </c>
      <c r="O18" s="356">
        <v>0</v>
      </c>
      <c r="P18" s="356">
        <v>0</v>
      </c>
      <c r="Q18" s="356">
        <v>0</v>
      </c>
      <c r="R18" s="356">
        <v>0</v>
      </c>
      <c r="S18" s="356">
        <v>0</v>
      </c>
      <c r="T18" s="356">
        <v>0</v>
      </c>
      <c r="U18" s="356">
        <v>0</v>
      </c>
      <c r="V18" s="356">
        <v>0</v>
      </c>
      <c r="W18" s="356">
        <v>0</v>
      </c>
      <c r="X18" s="356">
        <v>0</v>
      </c>
      <c r="Y18" s="356">
        <v>0</v>
      </c>
      <c r="Z18" s="356">
        <v>0</v>
      </c>
      <c r="AA18" s="356">
        <v>0</v>
      </c>
      <c r="AB18" s="356">
        <v>0</v>
      </c>
      <c r="AC18" s="356">
        <v>0</v>
      </c>
      <c r="AD18" s="356">
        <v>0</v>
      </c>
      <c r="AE18" s="356">
        <v>0</v>
      </c>
      <c r="AF18" s="356">
        <v>0</v>
      </c>
      <c r="AG18" s="356">
        <v>0</v>
      </c>
      <c r="AH18" s="356">
        <v>0</v>
      </c>
      <c r="AI18" s="356">
        <v>0</v>
      </c>
      <c r="AJ18" s="356">
        <v>0</v>
      </c>
      <c r="AK18" s="356">
        <v>0</v>
      </c>
      <c r="AL18" s="356">
        <v>0</v>
      </c>
      <c r="AM18" s="356">
        <v>0</v>
      </c>
      <c r="AN18" s="356">
        <v>0</v>
      </c>
      <c r="AO18" s="356">
        <v>0</v>
      </c>
      <c r="AP18" s="356">
        <v>0</v>
      </c>
      <c r="AQ18" s="356">
        <v>0</v>
      </c>
      <c r="AR18" s="356">
        <v>0</v>
      </c>
      <c r="AS18" s="356">
        <v>0</v>
      </c>
      <c r="AT18" s="356">
        <v>0</v>
      </c>
      <c r="AU18" s="356">
        <v>0</v>
      </c>
      <c r="AV18" s="356">
        <v>0</v>
      </c>
      <c r="AW18" s="356">
        <v>0</v>
      </c>
    </row>
    <row r="19" spans="3:49" x14ac:dyDescent="0.3">
      <c r="C19" s="356">
        <v>59</v>
      </c>
      <c r="D19" s="356">
        <v>2</v>
      </c>
      <c r="E19" s="356">
        <v>6</v>
      </c>
      <c r="F19" s="356">
        <v>2402119</v>
      </c>
      <c r="G19" s="356">
        <v>9600</v>
      </c>
      <c r="H19" s="356">
        <v>0</v>
      </c>
      <c r="I19" s="356">
        <v>0</v>
      </c>
      <c r="J19" s="356">
        <v>85838</v>
      </c>
      <c r="K19" s="356">
        <v>583469</v>
      </c>
      <c r="L19" s="356">
        <v>0</v>
      </c>
      <c r="M19" s="356">
        <v>0</v>
      </c>
      <c r="N19" s="356">
        <v>0</v>
      </c>
      <c r="O19" s="356">
        <v>0</v>
      </c>
      <c r="P19" s="356">
        <v>352629</v>
      </c>
      <c r="Q19" s="356">
        <v>843654</v>
      </c>
      <c r="R19" s="356">
        <v>412550</v>
      </c>
      <c r="S19" s="356">
        <v>0</v>
      </c>
      <c r="T19" s="356">
        <v>0</v>
      </c>
      <c r="U19" s="356">
        <v>0</v>
      </c>
      <c r="V19" s="356">
        <v>0</v>
      </c>
      <c r="W19" s="356">
        <v>0</v>
      </c>
      <c r="X19" s="356">
        <v>0</v>
      </c>
      <c r="Y19" s="356">
        <v>0</v>
      </c>
      <c r="Z19" s="356">
        <v>0</v>
      </c>
      <c r="AA19" s="356">
        <v>0</v>
      </c>
      <c r="AB19" s="356">
        <v>0</v>
      </c>
      <c r="AC19" s="356">
        <v>0</v>
      </c>
      <c r="AD19" s="356">
        <v>0</v>
      </c>
      <c r="AE19" s="356">
        <v>0</v>
      </c>
      <c r="AF19" s="356">
        <v>0</v>
      </c>
      <c r="AG19" s="356">
        <v>0</v>
      </c>
      <c r="AH19" s="356">
        <v>0</v>
      </c>
      <c r="AI19" s="356">
        <v>0</v>
      </c>
      <c r="AJ19" s="356">
        <v>0</v>
      </c>
      <c r="AK19" s="356">
        <v>0</v>
      </c>
      <c r="AL19" s="356">
        <v>0</v>
      </c>
      <c r="AM19" s="356">
        <v>0</v>
      </c>
      <c r="AN19" s="356">
        <v>0</v>
      </c>
      <c r="AO19" s="356">
        <v>46703</v>
      </c>
      <c r="AP19" s="356">
        <v>0</v>
      </c>
      <c r="AQ19" s="356">
        <v>0</v>
      </c>
      <c r="AR19" s="356">
        <v>41486</v>
      </c>
      <c r="AS19" s="356">
        <v>0</v>
      </c>
      <c r="AT19" s="356">
        <v>0</v>
      </c>
      <c r="AU19" s="356">
        <v>0</v>
      </c>
      <c r="AV19" s="356">
        <v>0</v>
      </c>
      <c r="AW19" s="356">
        <v>26190</v>
      </c>
    </row>
    <row r="20" spans="3:49" x14ac:dyDescent="0.3">
      <c r="C20" s="356">
        <v>59</v>
      </c>
      <c r="D20" s="356">
        <v>2</v>
      </c>
      <c r="E20" s="356">
        <v>9</v>
      </c>
      <c r="F20" s="356">
        <v>44834</v>
      </c>
      <c r="G20" s="356">
        <v>0</v>
      </c>
      <c r="H20" s="356">
        <v>0</v>
      </c>
      <c r="I20" s="356">
        <v>0</v>
      </c>
      <c r="J20" s="356">
        <v>0</v>
      </c>
      <c r="K20" s="356">
        <v>0</v>
      </c>
      <c r="L20" s="356">
        <v>0</v>
      </c>
      <c r="M20" s="356">
        <v>0</v>
      </c>
      <c r="N20" s="356">
        <v>0</v>
      </c>
      <c r="O20" s="356">
        <v>0</v>
      </c>
      <c r="P20" s="356">
        <v>14112</v>
      </c>
      <c r="Q20" s="356">
        <v>27270</v>
      </c>
      <c r="R20" s="356">
        <v>3452</v>
      </c>
      <c r="S20" s="356">
        <v>0</v>
      </c>
      <c r="T20" s="356">
        <v>0</v>
      </c>
      <c r="U20" s="356">
        <v>0</v>
      </c>
      <c r="V20" s="356">
        <v>0</v>
      </c>
      <c r="W20" s="356">
        <v>0</v>
      </c>
      <c r="X20" s="356">
        <v>0</v>
      </c>
      <c r="Y20" s="356">
        <v>0</v>
      </c>
      <c r="Z20" s="356">
        <v>0</v>
      </c>
      <c r="AA20" s="356">
        <v>0</v>
      </c>
      <c r="AB20" s="356">
        <v>0</v>
      </c>
      <c r="AC20" s="356">
        <v>0</v>
      </c>
      <c r="AD20" s="356">
        <v>0</v>
      </c>
      <c r="AE20" s="356">
        <v>0</v>
      </c>
      <c r="AF20" s="356">
        <v>0</v>
      </c>
      <c r="AG20" s="356">
        <v>0</v>
      </c>
      <c r="AH20" s="356">
        <v>0</v>
      </c>
      <c r="AI20" s="356">
        <v>0</v>
      </c>
      <c r="AJ20" s="356">
        <v>0</v>
      </c>
      <c r="AK20" s="356">
        <v>0</v>
      </c>
      <c r="AL20" s="356">
        <v>0</v>
      </c>
      <c r="AM20" s="356">
        <v>0</v>
      </c>
      <c r="AN20" s="356">
        <v>0</v>
      </c>
      <c r="AO20" s="356">
        <v>0</v>
      </c>
      <c r="AP20" s="356">
        <v>0</v>
      </c>
      <c r="AQ20" s="356">
        <v>0</v>
      </c>
      <c r="AR20" s="356">
        <v>0</v>
      </c>
      <c r="AS20" s="356">
        <v>0</v>
      </c>
      <c r="AT20" s="356">
        <v>0</v>
      </c>
      <c r="AU20" s="356">
        <v>0</v>
      </c>
      <c r="AV20" s="356">
        <v>0</v>
      </c>
      <c r="AW20" s="356">
        <v>0</v>
      </c>
    </row>
    <row r="21" spans="3:49" x14ac:dyDescent="0.3">
      <c r="C21" s="356">
        <v>59</v>
      </c>
      <c r="D21" s="356">
        <v>2</v>
      </c>
      <c r="E21" s="356">
        <v>11</v>
      </c>
      <c r="F21" s="356">
        <v>12717.557251908398</v>
      </c>
      <c r="G21" s="356">
        <v>0</v>
      </c>
      <c r="H21" s="356">
        <v>0</v>
      </c>
      <c r="I21" s="356">
        <v>0</v>
      </c>
      <c r="J21" s="356">
        <v>1717.5572519083971</v>
      </c>
      <c r="K21" s="356">
        <v>0</v>
      </c>
      <c r="L21" s="356">
        <v>0</v>
      </c>
      <c r="M21" s="356">
        <v>0</v>
      </c>
      <c r="N21" s="356">
        <v>0</v>
      </c>
      <c r="O21" s="356">
        <v>11000</v>
      </c>
      <c r="P21" s="356">
        <v>0</v>
      </c>
      <c r="Q21" s="356">
        <v>0</v>
      </c>
      <c r="R21" s="356">
        <v>0</v>
      </c>
      <c r="S21" s="356">
        <v>0</v>
      </c>
      <c r="T21" s="356">
        <v>0</v>
      </c>
      <c r="U21" s="356">
        <v>0</v>
      </c>
      <c r="V21" s="356">
        <v>0</v>
      </c>
      <c r="W21" s="356">
        <v>0</v>
      </c>
      <c r="X21" s="356">
        <v>0</v>
      </c>
      <c r="Y21" s="356">
        <v>0</v>
      </c>
      <c r="Z21" s="356">
        <v>0</v>
      </c>
      <c r="AA21" s="356">
        <v>0</v>
      </c>
      <c r="AB21" s="356">
        <v>0</v>
      </c>
      <c r="AC21" s="356">
        <v>0</v>
      </c>
      <c r="AD21" s="356">
        <v>0</v>
      </c>
      <c r="AE21" s="356">
        <v>0</v>
      </c>
      <c r="AF21" s="356">
        <v>0</v>
      </c>
      <c r="AG21" s="356">
        <v>0</v>
      </c>
      <c r="AH21" s="356">
        <v>0</v>
      </c>
      <c r="AI21" s="356">
        <v>0</v>
      </c>
      <c r="AJ21" s="356">
        <v>0</v>
      </c>
      <c r="AK21" s="356">
        <v>0</v>
      </c>
      <c r="AL21" s="356">
        <v>0</v>
      </c>
      <c r="AM21" s="356">
        <v>0</v>
      </c>
      <c r="AN21" s="356">
        <v>0</v>
      </c>
      <c r="AO21" s="356">
        <v>0</v>
      </c>
      <c r="AP21" s="356">
        <v>0</v>
      </c>
      <c r="AQ21" s="356">
        <v>0</v>
      </c>
      <c r="AR21" s="356">
        <v>0</v>
      </c>
      <c r="AS21" s="356">
        <v>0</v>
      </c>
      <c r="AT21" s="356">
        <v>0</v>
      </c>
      <c r="AU21" s="356">
        <v>0</v>
      </c>
      <c r="AV21" s="356">
        <v>0</v>
      </c>
      <c r="AW21" s="356">
        <v>0</v>
      </c>
    </row>
    <row r="22" spans="3:49" x14ac:dyDescent="0.3">
      <c r="C22" s="356">
        <v>59</v>
      </c>
      <c r="D22" s="356">
        <v>3</v>
      </c>
      <c r="E22" s="356">
        <v>1</v>
      </c>
      <c r="F22" s="356">
        <v>57.9</v>
      </c>
      <c r="G22" s="356">
        <v>0</v>
      </c>
      <c r="H22" s="356">
        <v>0</v>
      </c>
      <c r="I22" s="356">
        <v>0</v>
      </c>
      <c r="J22" s="356">
        <v>1.8</v>
      </c>
      <c r="K22" s="356">
        <v>6.55</v>
      </c>
      <c r="L22" s="356">
        <v>0</v>
      </c>
      <c r="M22" s="356">
        <v>0</v>
      </c>
      <c r="N22" s="356">
        <v>0</v>
      </c>
      <c r="O22" s="356">
        <v>0</v>
      </c>
      <c r="P22" s="356">
        <v>10.050000000000001</v>
      </c>
      <c r="Q22" s="356">
        <v>23.75</v>
      </c>
      <c r="R22" s="356">
        <v>10.75</v>
      </c>
      <c r="S22" s="356">
        <v>0</v>
      </c>
      <c r="T22" s="356">
        <v>0</v>
      </c>
      <c r="U22" s="356">
        <v>0</v>
      </c>
      <c r="V22" s="356">
        <v>0</v>
      </c>
      <c r="W22" s="356">
        <v>0</v>
      </c>
      <c r="X22" s="356">
        <v>0</v>
      </c>
      <c r="Y22" s="356">
        <v>0</v>
      </c>
      <c r="Z22" s="356">
        <v>0</v>
      </c>
      <c r="AA22" s="356">
        <v>0</v>
      </c>
      <c r="AB22" s="356">
        <v>0</v>
      </c>
      <c r="AC22" s="356">
        <v>0</v>
      </c>
      <c r="AD22" s="356">
        <v>0</v>
      </c>
      <c r="AE22" s="356">
        <v>0</v>
      </c>
      <c r="AF22" s="356">
        <v>0</v>
      </c>
      <c r="AG22" s="356">
        <v>0</v>
      </c>
      <c r="AH22" s="356">
        <v>0</v>
      </c>
      <c r="AI22" s="356">
        <v>0</v>
      </c>
      <c r="AJ22" s="356">
        <v>0</v>
      </c>
      <c r="AK22" s="356">
        <v>0</v>
      </c>
      <c r="AL22" s="356">
        <v>0</v>
      </c>
      <c r="AM22" s="356">
        <v>0</v>
      </c>
      <c r="AN22" s="356">
        <v>0</v>
      </c>
      <c r="AO22" s="356">
        <v>2</v>
      </c>
      <c r="AP22" s="356">
        <v>0</v>
      </c>
      <c r="AQ22" s="356">
        <v>0</v>
      </c>
      <c r="AR22" s="356">
        <v>2</v>
      </c>
      <c r="AS22" s="356">
        <v>0</v>
      </c>
      <c r="AT22" s="356">
        <v>0</v>
      </c>
      <c r="AU22" s="356">
        <v>0</v>
      </c>
      <c r="AV22" s="356">
        <v>0</v>
      </c>
      <c r="AW22" s="356">
        <v>1</v>
      </c>
    </row>
    <row r="23" spans="3:49" x14ac:dyDescent="0.3">
      <c r="C23" s="356">
        <v>59</v>
      </c>
      <c r="D23" s="356">
        <v>3</v>
      </c>
      <c r="E23" s="356">
        <v>2</v>
      </c>
      <c r="F23" s="356">
        <v>8538.2000000000007</v>
      </c>
      <c r="G23" s="356">
        <v>0</v>
      </c>
      <c r="H23" s="356">
        <v>0</v>
      </c>
      <c r="I23" s="356">
        <v>0</v>
      </c>
      <c r="J23" s="356">
        <v>310.5</v>
      </c>
      <c r="K23" s="356">
        <v>1055.9000000000001</v>
      </c>
      <c r="L23" s="356">
        <v>0</v>
      </c>
      <c r="M23" s="356">
        <v>0</v>
      </c>
      <c r="N23" s="356">
        <v>0</v>
      </c>
      <c r="O23" s="356">
        <v>0</v>
      </c>
      <c r="P23" s="356">
        <v>1488</v>
      </c>
      <c r="Q23" s="356">
        <v>3260.65</v>
      </c>
      <c r="R23" s="356">
        <v>1562.15</v>
      </c>
      <c r="S23" s="356">
        <v>0</v>
      </c>
      <c r="T23" s="356">
        <v>0</v>
      </c>
      <c r="U23" s="356">
        <v>0</v>
      </c>
      <c r="V23" s="356">
        <v>0</v>
      </c>
      <c r="W23" s="356">
        <v>0</v>
      </c>
      <c r="X23" s="356">
        <v>0</v>
      </c>
      <c r="Y23" s="356">
        <v>0</v>
      </c>
      <c r="Z23" s="356">
        <v>0</v>
      </c>
      <c r="AA23" s="356">
        <v>0</v>
      </c>
      <c r="AB23" s="356">
        <v>0</v>
      </c>
      <c r="AC23" s="356">
        <v>0</v>
      </c>
      <c r="AD23" s="356">
        <v>0</v>
      </c>
      <c r="AE23" s="356">
        <v>0</v>
      </c>
      <c r="AF23" s="356">
        <v>0</v>
      </c>
      <c r="AG23" s="356">
        <v>0</v>
      </c>
      <c r="AH23" s="356">
        <v>0</v>
      </c>
      <c r="AI23" s="356">
        <v>0</v>
      </c>
      <c r="AJ23" s="356">
        <v>0</v>
      </c>
      <c r="AK23" s="356">
        <v>0</v>
      </c>
      <c r="AL23" s="356">
        <v>0</v>
      </c>
      <c r="AM23" s="356">
        <v>0</v>
      </c>
      <c r="AN23" s="356">
        <v>0</v>
      </c>
      <c r="AO23" s="356">
        <v>356.5</v>
      </c>
      <c r="AP23" s="356">
        <v>0</v>
      </c>
      <c r="AQ23" s="356">
        <v>0</v>
      </c>
      <c r="AR23" s="356">
        <v>320.5</v>
      </c>
      <c r="AS23" s="356">
        <v>0</v>
      </c>
      <c r="AT23" s="356">
        <v>0</v>
      </c>
      <c r="AU23" s="356">
        <v>0</v>
      </c>
      <c r="AV23" s="356">
        <v>0</v>
      </c>
      <c r="AW23" s="356">
        <v>184</v>
      </c>
    </row>
    <row r="24" spans="3:49" x14ac:dyDescent="0.3">
      <c r="C24" s="356">
        <v>59</v>
      </c>
      <c r="D24" s="356">
        <v>3</v>
      </c>
      <c r="E24" s="356">
        <v>3</v>
      </c>
      <c r="F24" s="356">
        <v>243.95</v>
      </c>
      <c r="G24" s="356">
        <v>0</v>
      </c>
      <c r="H24" s="356">
        <v>0</v>
      </c>
      <c r="I24" s="356">
        <v>0</v>
      </c>
      <c r="J24" s="356">
        <v>12</v>
      </c>
      <c r="K24" s="356">
        <v>20</v>
      </c>
      <c r="L24" s="356">
        <v>0</v>
      </c>
      <c r="M24" s="356">
        <v>0</v>
      </c>
      <c r="N24" s="356">
        <v>0</v>
      </c>
      <c r="O24" s="356">
        <v>0</v>
      </c>
      <c r="P24" s="356">
        <v>86</v>
      </c>
      <c r="Q24" s="356">
        <v>101.95</v>
      </c>
      <c r="R24" s="356">
        <v>24</v>
      </c>
      <c r="S24" s="356">
        <v>0</v>
      </c>
      <c r="T24" s="356">
        <v>0</v>
      </c>
      <c r="U24" s="356">
        <v>0</v>
      </c>
      <c r="V24" s="356">
        <v>0</v>
      </c>
      <c r="W24" s="356">
        <v>0</v>
      </c>
      <c r="X24" s="356">
        <v>0</v>
      </c>
      <c r="Y24" s="356">
        <v>0</v>
      </c>
      <c r="Z24" s="356">
        <v>0</v>
      </c>
      <c r="AA24" s="356">
        <v>0</v>
      </c>
      <c r="AB24" s="356">
        <v>0</v>
      </c>
      <c r="AC24" s="356">
        <v>0</v>
      </c>
      <c r="AD24" s="356">
        <v>0</v>
      </c>
      <c r="AE24" s="356">
        <v>0</v>
      </c>
      <c r="AF24" s="356">
        <v>0</v>
      </c>
      <c r="AG24" s="356">
        <v>0</v>
      </c>
      <c r="AH24" s="356">
        <v>0</v>
      </c>
      <c r="AI24" s="356">
        <v>0</v>
      </c>
      <c r="AJ24" s="356">
        <v>0</v>
      </c>
      <c r="AK24" s="356">
        <v>0</v>
      </c>
      <c r="AL24" s="356">
        <v>0</v>
      </c>
      <c r="AM24" s="356">
        <v>0</v>
      </c>
      <c r="AN24" s="356">
        <v>0</v>
      </c>
      <c r="AO24" s="356">
        <v>0</v>
      </c>
      <c r="AP24" s="356">
        <v>0</v>
      </c>
      <c r="AQ24" s="356">
        <v>0</v>
      </c>
      <c r="AR24" s="356">
        <v>0</v>
      </c>
      <c r="AS24" s="356">
        <v>0</v>
      </c>
      <c r="AT24" s="356">
        <v>0</v>
      </c>
      <c r="AU24" s="356">
        <v>0</v>
      </c>
      <c r="AV24" s="356">
        <v>0</v>
      </c>
      <c r="AW24" s="356">
        <v>0</v>
      </c>
    </row>
    <row r="25" spans="3:49" x14ac:dyDescent="0.3">
      <c r="C25" s="356">
        <v>59</v>
      </c>
      <c r="D25" s="356">
        <v>3</v>
      </c>
      <c r="E25" s="356">
        <v>4</v>
      </c>
      <c r="F25" s="356">
        <v>770</v>
      </c>
      <c r="G25" s="356">
        <v>0</v>
      </c>
      <c r="H25" s="356">
        <v>0</v>
      </c>
      <c r="I25" s="356">
        <v>0</v>
      </c>
      <c r="J25" s="356">
        <v>20</v>
      </c>
      <c r="K25" s="356">
        <v>148</v>
      </c>
      <c r="L25" s="356">
        <v>0</v>
      </c>
      <c r="M25" s="356">
        <v>0</v>
      </c>
      <c r="N25" s="356">
        <v>0</v>
      </c>
      <c r="O25" s="356">
        <v>0</v>
      </c>
      <c r="P25" s="356">
        <v>111</v>
      </c>
      <c r="Q25" s="356">
        <v>343</v>
      </c>
      <c r="R25" s="356">
        <v>123</v>
      </c>
      <c r="S25" s="356">
        <v>0</v>
      </c>
      <c r="T25" s="356">
        <v>0</v>
      </c>
      <c r="U25" s="356">
        <v>0</v>
      </c>
      <c r="V25" s="356">
        <v>0</v>
      </c>
      <c r="W25" s="356">
        <v>0</v>
      </c>
      <c r="X25" s="356">
        <v>0</v>
      </c>
      <c r="Y25" s="356">
        <v>0</v>
      </c>
      <c r="Z25" s="356">
        <v>0</v>
      </c>
      <c r="AA25" s="356">
        <v>0</v>
      </c>
      <c r="AB25" s="356">
        <v>0</v>
      </c>
      <c r="AC25" s="356">
        <v>0</v>
      </c>
      <c r="AD25" s="356">
        <v>0</v>
      </c>
      <c r="AE25" s="356">
        <v>0</v>
      </c>
      <c r="AF25" s="356">
        <v>0</v>
      </c>
      <c r="AG25" s="356">
        <v>0</v>
      </c>
      <c r="AH25" s="356">
        <v>0</v>
      </c>
      <c r="AI25" s="356">
        <v>0</v>
      </c>
      <c r="AJ25" s="356">
        <v>0</v>
      </c>
      <c r="AK25" s="356">
        <v>0</v>
      </c>
      <c r="AL25" s="356">
        <v>0</v>
      </c>
      <c r="AM25" s="356">
        <v>0</v>
      </c>
      <c r="AN25" s="356">
        <v>0</v>
      </c>
      <c r="AO25" s="356">
        <v>12</v>
      </c>
      <c r="AP25" s="356">
        <v>0</v>
      </c>
      <c r="AQ25" s="356">
        <v>0</v>
      </c>
      <c r="AR25" s="356">
        <v>13</v>
      </c>
      <c r="AS25" s="356">
        <v>0</v>
      </c>
      <c r="AT25" s="356">
        <v>0</v>
      </c>
      <c r="AU25" s="356">
        <v>0</v>
      </c>
      <c r="AV25" s="356">
        <v>0</v>
      </c>
      <c r="AW25" s="356">
        <v>0</v>
      </c>
    </row>
    <row r="26" spans="3:49" x14ac:dyDescent="0.3">
      <c r="C26" s="356">
        <v>59</v>
      </c>
      <c r="D26" s="356">
        <v>3</v>
      </c>
      <c r="E26" s="356">
        <v>5</v>
      </c>
      <c r="F26" s="356">
        <v>48</v>
      </c>
      <c r="G26" s="356">
        <v>48</v>
      </c>
      <c r="H26" s="356">
        <v>0</v>
      </c>
      <c r="I26" s="356">
        <v>0</v>
      </c>
      <c r="J26" s="356">
        <v>0</v>
      </c>
      <c r="K26" s="356">
        <v>0</v>
      </c>
      <c r="L26" s="356">
        <v>0</v>
      </c>
      <c r="M26" s="356">
        <v>0</v>
      </c>
      <c r="N26" s="356">
        <v>0</v>
      </c>
      <c r="O26" s="356">
        <v>0</v>
      </c>
      <c r="P26" s="356">
        <v>0</v>
      </c>
      <c r="Q26" s="356">
        <v>0</v>
      </c>
      <c r="R26" s="356">
        <v>0</v>
      </c>
      <c r="S26" s="356">
        <v>0</v>
      </c>
      <c r="T26" s="356">
        <v>0</v>
      </c>
      <c r="U26" s="356">
        <v>0</v>
      </c>
      <c r="V26" s="356">
        <v>0</v>
      </c>
      <c r="W26" s="356">
        <v>0</v>
      </c>
      <c r="X26" s="356">
        <v>0</v>
      </c>
      <c r="Y26" s="356">
        <v>0</v>
      </c>
      <c r="Z26" s="356">
        <v>0</v>
      </c>
      <c r="AA26" s="356">
        <v>0</v>
      </c>
      <c r="AB26" s="356">
        <v>0</v>
      </c>
      <c r="AC26" s="356">
        <v>0</v>
      </c>
      <c r="AD26" s="356">
        <v>0</v>
      </c>
      <c r="AE26" s="356">
        <v>0</v>
      </c>
      <c r="AF26" s="356">
        <v>0</v>
      </c>
      <c r="AG26" s="356">
        <v>0</v>
      </c>
      <c r="AH26" s="356">
        <v>0</v>
      </c>
      <c r="AI26" s="356">
        <v>0</v>
      </c>
      <c r="AJ26" s="356">
        <v>0</v>
      </c>
      <c r="AK26" s="356">
        <v>0</v>
      </c>
      <c r="AL26" s="356">
        <v>0</v>
      </c>
      <c r="AM26" s="356">
        <v>0</v>
      </c>
      <c r="AN26" s="356">
        <v>0</v>
      </c>
      <c r="AO26" s="356">
        <v>0</v>
      </c>
      <c r="AP26" s="356">
        <v>0</v>
      </c>
      <c r="AQ26" s="356">
        <v>0</v>
      </c>
      <c r="AR26" s="356">
        <v>0</v>
      </c>
      <c r="AS26" s="356">
        <v>0</v>
      </c>
      <c r="AT26" s="356">
        <v>0</v>
      </c>
      <c r="AU26" s="356">
        <v>0</v>
      </c>
      <c r="AV26" s="356">
        <v>0</v>
      </c>
      <c r="AW26" s="356">
        <v>0</v>
      </c>
    </row>
    <row r="27" spans="3:49" x14ac:dyDescent="0.3">
      <c r="C27" s="356">
        <v>59</v>
      </c>
      <c r="D27" s="356">
        <v>3</v>
      </c>
      <c r="E27" s="356">
        <v>6</v>
      </c>
      <c r="F27" s="356">
        <v>2490905</v>
      </c>
      <c r="G27" s="356">
        <v>9600</v>
      </c>
      <c r="H27" s="356">
        <v>0</v>
      </c>
      <c r="I27" s="356">
        <v>0</v>
      </c>
      <c r="J27" s="356">
        <v>81570</v>
      </c>
      <c r="K27" s="356">
        <v>618077</v>
      </c>
      <c r="L27" s="356">
        <v>0</v>
      </c>
      <c r="M27" s="356">
        <v>0</v>
      </c>
      <c r="N27" s="356">
        <v>0</v>
      </c>
      <c r="O27" s="356">
        <v>0</v>
      </c>
      <c r="P27" s="356">
        <v>344050</v>
      </c>
      <c r="Q27" s="356">
        <v>873783</v>
      </c>
      <c r="R27" s="356">
        <v>439257</v>
      </c>
      <c r="S27" s="356">
        <v>0</v>
      </c>
      <c r="T27" s="356">
        <v>0</v>
      </c>
      <c r="U27" s="356">
        <v>0</v>
      </c>
      <c r="V27" s="356">
        <v>0</v>
      </c>
      <c r="W27" s="356">
        <v>0</v>
      </c>
      <c r="X27" s="356">
        <v>0</v>
      </c>
      <c r="Y27" s="356">
        <v>0</v>
      </c>
      <c r="Z27" s="356">
        <v>0</v>
      </c>
      <c r="AA27" s="356">
        <v>0</v>
      </c>
      <c r="AB27" s="356">
        <v>0</v>
      </c>
      <c r="AC27" s="356">
        <v>0</v>
      </c>
      <c r="AD27" s="356">
        <v>0</v>
      </c>
      <c r="AE27" s="356">
        <v>0</v>
      </c>
      <c r="AF27" s="356">
        <v>0</v>
      </c>
      <c r="AG27" s="356">
        <v>0</v>
      </c>
      <c r="AH27" s="356">
        <v>0</v>
      </c>
      <c r="AI27" s="356">
        <v>0</v>
      </c>
      <c r="AJ27" s="356">
        <v>0</v>
      </c>
      <c r="AK27" s="356">
        <v>0</v>
      </c>
      <c r="AL27" s="356">
        <v>0</v>
      </c>
      <c r="AM27" s="356">
        <v>0</v>
      </c>
      <c r="AN27" s="356">
        <v>0</v>
      </c>
      <c r="AO27" s="356">
        <v>51714</v>
      </c>
      <c r="AP27" s="356">
        <v>0</v>
      </c>
      <c r="AQ27" s="356">
        <v>0</v>
      </c>
      <c r="AR27" s="356">
        <v>46664</v>
      </c>
      <c r="AS27" s="356">
        <v>0</v>
      </c>
      <c r="AT27" s="356">
        <v>0</v>
      </c>
      <c r="AU27" s="356">
        <v>0</v>
      </c>
      <c r="AV27" s="356">
        <v>0</v>
      </c>
      <c r="AW27" s="356">
        <v>26190</v>
      </c>
    </row>
    <row r="28" spans="3:49" x14ac:dyDescent="0.3">
      <c r="C28" s="356">
        <v>59</v>
      </c>
      <c r="D28" s="356">
        <v>3</v>
      </c>
      <c r="E28" s="356">
        <v>9</v>
      </c>
      <c r="F28" s="356">
        <v>31984</v>
      </c>
      <c r="G28" s="356">
        <v>0</v>
      </c>
      <c r="H28" s="356">
        <v>0</v>
      </c>
      <c r="I28" s="356">
        <v>0</v>
      </c>
      <c r="J28" s="356">
        <v>0</v>
      </c>
      <c r="K28" s="356">
        <v>0</v>
      </c>
      <c r="L28" s="356">
        <v>0</v>
      </c>
      <c r="M28" s="356">
        <v>0</v>
      </c>
      <c r="N28" s="356">
        <v>0</v>
      </c>
      <c r="O28" s="356">
        <v>0</v>
      </c>
      <c r="P28" s="356">
        <v>9575</v>
      </c>
      <c r="Q28" s="356">
        <v>12834</v>
      </c>
      <c r="R28" s="356">
        <v>9575</v>
      </c>
      <c r="S28" s="356">
        <v>0</v>
      </c>
      <c r="T28" s="356">
        <v>0</v>
      </c>
      <c r="U28" s="356">
        <v>0</v>
      </c>
      <c r="V28" s="356">
        <v>0</v>
      </c>
      <c r="W28" s="356">
        <v>0</v>
      </c>
      <c r="X28" s="356">
        <v>0</v>
      </c>
      <c r="Y28" s="356">
        <v>0</v>
      </c>
      <c r="Z28" s="356">
        <v>0</v>
      </c>
      <c r="AA28" s="356">
        <v>0</v>
      </c>
      <c r="AB28" s="356">
        <v>0</v>
      </c>
      <c r="AC28" s="356">
        <v>0</v>
      </c>
      <c r="AD28" s="356">
        <v>0</v>
      </c>
      <c r="AE28" s="356">
        <v>0</v>
      </c>
      <c r="AF28" s="356">
        <v>0</v>
      </c>
      <c r="AG28" s="356">
        <v>0</v>
      </c>
      <c r="AH28" s="356">
        <v>0</v>
      </c>
      <c r="AI28" s="356">
        <v>0</v>
      </c>
      <c r="AJ28" s="356">
        <v>0</v>
      </c>
      <c r="AK28" s="356">
        <v>0</v>
      </c>
      <c r="AL28" s="356">
        <v>0</v>
      </c>
      <c r="AM28" s="356">
        <v>0</v>
      </c>
      <c r="AN28" s="356">
        <v>0</v>
      </c>
      <c r="AO28" s="356">
        <v>0</v>
      </c>
      <c r="AP28" s="356">
        <v>0</v>
      </c>
      <c r="AQ28" s="356">
        <v>0</v>
      </c>
      <c r="AR28" s="356">
        <v>0</v>
      </c>
      <c r="AS28" s="356">
        <v>0</v>
      </c>
      <c r="AT28" s="356">
        <v>0</v>
      </c>
      <c r="AU28" s="356">
        <v>0</v>
      </c>
      <c r="AV28" s="356">
        <v>0</v>
      </c>
      <c r="AW28" s="356">
        <v>0</v>
      </c>
    </row>
    <row r="29" spans="3:49" x14ac:dyDescent="0.3">
      <c r="C29" s="356">
        <v>59</v>
      </c>
      <c r="D29" s="356">
        <v>3</v>
      </c>
      <c r="E29" s="356">
        <v>10</v>
      </c>
      <c r="F29" s="356">
        <v>62844</v>
      </c>
      <c r="G29" s="356">
        <v>0</v>
      </c>
      <c r="H29" s="356">
        <v>0</v>
      </c>
      <c r="I29" s="356">
        <v>0</v>
      </c>
      <c r="J29" s="356">
        <v>2500</v>
      </c>
      <c r="K29" s="356">
        <v>0</v>
      </c>
      <c r="L29" s="356">
        <v>0</v>
      </c>
      <c r="M29" s="356">
        <v>0</v>
      </c>
      <c r="N29" s="356">
        <v>0</v>
      </c>
      <c r="O29" s="356">
        <v>60344</v>
      </c>
      <c r="P29" s="356">
        <v>0</v>
      </c>
      <c r="Q29" s="356">
        <v>0</v>
      </c>
      <c r="R29" s="356">
        <v>0</v>
      </c>
      <c r="S29" s="356">
        <v>0</v>
      </c>
      <c r="T29" s="356">
        <v>0</v>
      </c>
      <c r="U29" s="356">
        <v>0</v>
      </c>
      <c r="V29" s="356">
        <v>0</v>
      </c>
      <c r="W29" s="356">
        <v>0</v>
      </c>
      <c r="X29" s="356">
        <v>0</v>
      </c>
      <c r="Y29" s="356">
        <v>0</v>
      </c>
      <c r="Z29" s="356">
        <v>0</v>
      </c>
      <c r="AA29" s="356">
        <v>0</v>
      </c>
      <c r="AB29" s="356">
        <v>0</v>
      </c>
      <c r="AC29" s="356">
        <v>0</v>
      </c>
      <c r="AD29" s="356">
        <v>0</v>
      </c>
      <c r="AE29" s="356">
        <v>0</v>
      </c>
      <c r="AF29" s="356">
        <v>0</v>
      </c>
      <c r="AG29" s="356">
        <v>0</v>
      </c>
      <c r="AH29" s="356">
        <v>0</v>
      </c>
      <c r="AI29" s="356">
        <v>0</v>
      </c>
      <c r="AJ29" s="356">
        <v>0</v>
      </c>
      <c r="AK29" s="356">
        <v>0</v>
      </c>
      <c r="AL29" s="356">
        <v>0</v>
      </c>
      <c r="AM29" s="356">
        <v>0</v>
      </c>
      <c r="AN29" s="356">
        <v>0</v>
      </c>
      <c r="AO29" s="356">
        <v>0</v>
      </c>
      <c r="AP29" s="356">
        <v>0</v>
      </c>
      <c r="AQ29" s="356">
        <v>0</v>
      </c>
      <c r="AR29" s="356">
        <v>0</v>
      </c>
      <c r="AS29" s="356">
        <v>0</v>
      </c>
      <c r="AT29" s="356">
        <v>0</v>
      </c>
      <c r="AU29" s="356">
        <v>0</v>
      </c>
      <c r="AV29" s="356">
        <v>0</v>
      </c>
      <c r="AW29" s="356">
        <v>0</v>
      </c>
    </row>
    <row r="30" spans="3:49" x14ac:dyDescent="0.3">
      <c r="C30" s="356">
        <v>59</v>
      </c>
      <c r="D30" s="356">
        <v>3</v>
      </c>
      <c r="E30" s="356">
        <v>11</v>
      </c>
      <c r="F30" s="356">
        <v>12717.557251908398</v>
      </c>
      <c r="G30" s="356">
        <v>0</v>
      </c>
      <c r="H30" s="356">
        <v>0</v>
      </c>
      <c r="I30" s="356">
        <v>0</v>
      </c>
      <c r="J30" s="356">
        <v>1717.5572519083971</v>
      </c>
      <c r="K30" s="356">
        <v>0</v>
      </c>
      <c r="L30" s="356">
        <v>0</v>
      </c>
      <c r="M30" s="356">
        <v>0</v>
      </c>
      <c r="N30" s="356">
        <v>0</v>
      </c>
      <c r="O30" s="356">
        <v>11000</v>
      </c>
      <c r="P30" s="356">
        <v>0</v>
      </c>
      <c r="Q30" s="356">
        <v>0</v>
      </c>
      <c r="R30" s="356">
        <v>0</v>
      </c>
      <c r="S30" s="356">
        <v>0</v>
      </c>
      <c r="T30" s="356">
        <v>0</v>
      </c>
      <c r="U30" s="356">
        <v>0</v>
      </c>
      <c r="V30" s="356">
        <v>0</v>
      </c>
      <c r="W30" s="356">
        <v>0</v>
      </c>
      <c r="X30" s="356">
        <v>0</v>
      </c>
      <c r="Y30" s="356">
        <v>0</v>
      </c>
      <c r="Z30" s="356">
        <v>0</v>
      </c>
      <c r="AA30" s="356">
        <v>0</v>
      </c>
      <c r="AB30" s="356">
        <v>0</v>
      </c>
      <c r="AC30" s="356">
        <v>0</v>
      </c>
      <c r="AD30" s="356">
        <v>0</v>
      </c>
      <c r="AE30" s="356">
        <v>0</v>
      </c>
      <c r="AF30" s="356">
        <v>0</v>
      </c>
      <c r="AG30" s="356">
        <v>0</v>
      </c>
      <c r="AH30" s="356">
        <v>0</v>
      </c>
      <c r="AI30" s="356">
        <v>0</v>
      </c>
      <c r="AJ30" s="356">
        <v>0</v>
      </c>
      <c r="AK30" s="356">
        <v>0</v>
      </c>
      <c r="AL30" s="356">
        <v>0</v>
      </c>
      <c r="AM30" s="356">
        <v>0</v>
      </c>
      <c r="AN30" s="356">
        <v>0</v>
      </c>
      <c r="AO30" s="356">
        <v>0</v>
      </c>
      <c r="AP30" s="356">
        <v>0</v>
      </c>
      <c r="AQ30" s="356">
        <v>0</v>
      </c>
      <c r="AR30" s="356">
        <v>0</v>
      </c>
      <c r="AS30" s="356">
        <v>0</v>
      </c>
      <c r="AT30" s="356">
        <v>0</v>
      </c>
      <c r="AU30" s="356">
        <v>0</v>
      </c>
      <c r="AV30" s="356">
        <v>0</v>
      </c>
      <c r="AW30" s="356">
        <v>0</v>
      </c>
    </row>
    <row r="31" spans="3:49" x14ac:dyDescent="0.3">
      <c r="C31" s="356">
        <v>59</v>
      </c>
      <c r="D31" s="356">
        <v>4</v>
      </c>
      <c r="E31" s="356">
        <v>1</v>
      </c>
      <c r="F31" s="356">
        <v>58.15</v>
      </c>
      <c r="G31" s="356">
        <v>0</v>
      </c>
      <c r="H31" s="356">
        <v>0</v>
      </c>
      <c r="I31" s="356">
        <v>0</v>
      </c>
      <c r="J31" s="356">
        <v>1.8</v>
      </c>
      <c r="K31" s="356">
        <v>6.55</v>
      </c>
      <c r="L31" s="356">
        <v>0</v>
      </c>
      <c r="M31" s="356">
        <v>0</v>
      </c>
      <c r="N31" s="356">
        <v>0</v>
      </c>
      <c r="O31" s="356">
        <v>0</v>
      </c>
      <c r="P31" s="356">
        <v>14.05</v>
      </c>
      <c r="Q31" s="356">
        <v>20</v>
      </c>
      <c r="R31" s="356">
        <v>10.75</v>
      </c>
      <c r="S31" s="356">
        <v>0</v>
      </c>
      <c r="T31" s="356">
        <v>0</v>
      </c>
      <c r="U31" s="356">
        <v>0</v>
      </c>
      <c r="V31" s="356">
        <v>0</v>
      </c>
      <c r="W31" s="356">
        <v>0</v>
      </c>
      <c r="X31" s="356">
        <v>0</v>
      </c>
      <c r="Y31" s="356">
        <v>0</v>
      </c>
      <c r="Z31" s="356">
        <v>0</v>
      </c>
      <c r="AA31" s="356">
        <v>0</v>
      </c>
      <c r="AB31" s="356">
        <v>0</v>
      </c>
      <c r="AC31" s="356">
        <v>0</v>
      </c>
      <c r="AD31" s="356">
        <v>0</v>
      </c>
      <c r="AE31" s="356">
        <v>0</v>
      </c>
      <c r="AF31" s="356">
        <v>0</v>
      </c>
      <c r="AG31" s="356">
        <v>0</v>
      </c>
      <c r="AH31" s="356">
        <v>0</v>
      </c>
      <c r="AI31" s="356">
        <v>0</v>
      </c>
      <c r="AJ31" s="356">
        <v>0</v>
      </c>
      <c r="AK31" s="356">
        <v>0</v>
      </c>
      <c r="AL31" s="356">
        <v>0</v>
      </c>
      <c r="AM31" s="356">
        <v>0</v>
      </c>
      <c r="AN31" s="356">
        <v>0</v>
      </c>
      <c r="AO31" s="356">
        <v>2</v>
      </c>
      <c r="AP31" s="356">
        <v>0</v>
      </c>
      <c r="AQ31" s="356">
        <v>0</v>
      </c>
      <c r="AR31" s="356">
        <v>2</v>
      </c>
      <c r="AS31" s="356">
        <v>0</v>
      </c>
      <c r="AT31" s="356">
        <v>0</v>
      </c>
      <c r="AU31" s="356">
        <v>0</v>
      </c>
      <c r="AV31" s="356">
        <v>0</v>
      </c>
      <c r="AW31" s="356">
        <v>1</v>
      </c>
    </row>
    <row r="32" spans="3:49" x14ac:dyDescent="0.3">
      <c r="C32" s="356">
        <v>59</v>
      </c>
      <c r="D32" s="356">
        <v>4</v>
      </c>
      <c r="E32" s="356">
        <v>2</v>
      </c>
      <c r="F32" s="356">
        <v>7863.45</v>
      </c>
      <c r="G32" s="356">
        <v>0</v>
      </c>
      <c r="H32" s="356">
        <v>0</v>
      </c>
      <c r="I32" s="356">
        <v>0</v>
      </c>
      <c r="J32" s="356">
        <v>283.5</v>
      </c>
      <c r="K32" s="356">
        <v>1012.15</v>
      </c>
      <c r="L32" s="356">
        <v>0</v>
      </c>
      <c r="M32" s="356">
        <v>0</v>
      </c>
      <c r="N32" s="356">
        <v>0</v>
      </c>
      <c r="O32" s="356">
        <v>0</v>
      </c>
      <c r="P32" s="356">
        <v>2020.5</v>
      </c>
      <c r="Q32" s="356">
        <v>2481.4</v>
      </c>
      <c r="R32" s="356">
        <v>1318.9</v>
      </c>
      <c r="S32" s="356">
        <v>0</v>
      </c>
      <c r="T32" s="356">
        <v>0</v>
      </c>
      <c r="U32" s="356">
        <v>0</v>
      </c>
      <c r="V32" s="356">
        <v>0</v>
      </c>
      <c r="W32" s="356">
        <v>0</v>
      </c>
      <c r="X32" s="356">
        <v>0</v>
      </c>
      <c r="Y32" s="356">
        <v>0</v>
      </c>
      <c r="Z32" s="356">
        <v>0</v>
      </c>
      <c r="AA32" s="356">
        <v>0</v>
      </c>
      <c r="AB32" s="356">
        <v>0</v>
      </c>
      <c r="AC32" s="356">
        <v>0</v>
      </c>
      <c r="AD32" s="356">
        <v>0</v>
      </c>
      <c r="AE32" s="356">
        <v>0</v>
      </c>
      <c r="AF32" s="356">
        <v>0</v>
      </c>
      <c r="AG32" s="356">
        <v>0</v>
      </c>
      <c r="AH32" s="356">
        <v>0</v>
      </c>
      <c r="AI32" s="356">
        <v>0</v>
      </c>
      <c r="AJ32" s="356">
        <v>0</v>
      </c>
      <c r="AK32" s="356">
        <v>0</v>
      </c>
      <c r="AL32" s="356">
        <v>0</v>
      </c>
      <c r="AM32" s="356">
        <v>0</v>
      </c>
      <c r="AN32" s="356">
        <v>0</v>
      </c>
      <c r="AO32" s="356">
        <v>325.5</v>
      </c>
      <c r="AP32" s="356">
        <v>0</v>
      </c>
      <c r="AQ32" s="356">
        <v>0</v>
      </c>
      <c r="AR32" s="356">
        <v>277.5</v>
      </c>
      <c r="AS32" s="356">
        <v>0</v>
      </c>
      <c r="AT32" s="356">
        <v>0</v>
      </c>
      <c r="AU32" s="356">
        <v>0</v>
      </c>
      <c r="AV32" s="356">
        <v>0</v>
      </c>
      <c r="AW32" s="356">
        <v>144</v>
      </c>
    </row>
    <row r="33" spans="3:49" x14ac:dyDescent="0.3">
      <c r="C33" s="356">
        <v>59</v>
      </c>
      <c r="D33" s="356">
        <v>4</v>
      </c>
      <c r="E33" s="356">
        <v>3</v>
      </c>
      <c r="F33" s="356">
        <v>293</v>
      </c>
      <c r="G33" s="356">
        <v>0</v>
      </c>
      <c r="H33" s="356">
        <v>0</v>
      </c>
      <c r="I33" s="356">
        <v>0</v>
      </c>
      <c r="J33" s="356">
        <v>14</v>
      </c>
      <c r="K33" s="356">
        <v>41</v>
      </c>
      <c r="L33" s="356">
        <v>0</v>
      </c>
      <c r="M33" s="356">
        <v>0</v>
      </c>
      <c r="N33" s="356">
        <v>0</v>
      </c>
      <c r="O33" s="356">
        <v>0</v>
      </c>
      <c r="P33" s="356">
        <v>85</v>
      </c>
      <c r="Q33" s="356">
        <v>125</v>
      </c>
      <c r="R33" s="356">
        <v>28</v>
      </c>
      <c r="S33" s="356">
        <v>0</v>
      </c>
      <c r="T33" s="356">
        <v>0</v>
      </c>
      <c r="U33" s="356">
        <v>0</v>
      </c>
      <c r="V33" s="356">
        <v>0</v>
      </c>
      <c r="W33" s="356">
        <v>0</v>
      </c>
      <c r="X33" s="356">
        <v>0</v>
      </c>
      <c r="Y33" s="356">
        <v>0</v>
      </c>
      <c r="Z33" s="356">
        <v>0</v>
      </c>
      <c r="AA33" s="356">
        <v>0</v>
      </c>
      <c r="AB33" s="356">
        <v>0</v>
      </c>
      <c r="AC33" s="356">
        <v>0</v>
      </c>
      <c r="AD33" s="356">
        <v>0</v>
      </c>
      <c r="AE33" s="356">
        <v>0</v>
      </c>
      <c r="AF33" s="356">
        <v>0</v>
      </c>
      <c r="AG33" s="356">
        <v>0</v>
      </c>
      <c r="AH33" s="356">
        <v>0</v>
      </c>
      <c r="AI33" s="356">
        <v>0</v>
      </c>
      <c r="AJ33" s="356">
        <v>0</v>
      </c>
      <c r="AK33" s="356">
        <v>0</v>
      </c>
      <c r="AL33" s="356">
        <v>0</v>
      </c>
      <c r="AM33" s="356">
        <v>0</v>
      </c>
      <c r="AN33" s="356">
        <v>0</v>
      </c>
      <c r="AO33" s="356">
        <v>0</v>
      </c>
      <c r="AP33" s="356">
        <v>0</v>
      </c>
      <c r="AQ33" s="356">
        <v>0</v>
      </c>
      <c r="AR33" s="356">
        <v>0</v>
      </c>
      <c r="AS33" s="356">
        <v>0</v>
      </c>
      <c r="AT33" s="356">
        <v>0</v>
      </c>
      <c r="AU33" s="356">
        <v>0</v>
      </c>
      <c r="AV33" s="356">
        <v>0</v>
      </c>
      <c r="AW33" s="356">
        <v>0</v>
      </c>
    </row>
    <row r="34" spans="3:49" x14ac:dyDescent="0.3">
      <c r="C34" s="356">
        <v>59</v>
      </c>
      <c r="D34" s="356">
        <v>4</v>
      </c>
      <c r="E34" s="356">
        <v>4</v>
      </c>
      <c r="F34" s="356">
        <v>1040</v>
      </c>
      <c r="G34" s="356">
        <v>0</v>
      </c>
      <c r="H34" s="356">
        <v>0</v>
      </c>
      <c r="I34" s="356">
        <v>0</v>
      </c>
      <c r="J34" s="356">
        <v>26</v>
      </c>
      <c r="K34" s="356">
        <v>117</v>
      </c>
      <c r="L34" s="356">
        <v>0</v>
      </c>
      <c r="M34" s="356">
        <v>0</v>
      </c>
      <c r="N34" s="356">
        <v>0</v>
      </c>
      <c r="O34" s="356">
        <v>0</v>
      </c>
      <c r="P34" s="356">
        <v>264</v>
      </c>
      <c r="Q34" s="356">
        <v>393</v>
      </c>
      <c r="R34" s="356">
        <v>202</v>
      </c>
      <c r="S34" s="356">
        <v>0</v>
      </c>
      <c r="T34" s="356">
        <v>0</v>
      </c>
      <c r="U34" s="356">
        <v>0</v>
      </c>
      <c r="V34" s="356">
        <v>0</v>
      </c>
      <c r="W34" s="356">
        <v>0</v>
      </c>
      <c r="X34" s="356">
        <v>0</v>
      </c>
      <c r="Y34" s="356">
        <v>0</v>
      </c>
      <c r="Z34" s="356">
        <v>0</v>
      </c>
      <c r="AA34" s="356">
        <v>0</v>
      </c>
      <c r="AB34" s="356">
        <v>0</v>
      </c>
      <c r="AC34" s="356">
        <v>0</v>
      </c>
      <c r="AD34" s="356">
        <v>0</v>
      </c>
      <c r="AE34" s="356">
        <v>0</v>
      </c>
      <c r="AF34" s="356">
        <v>0</v>
      </c>
      <c r="AG34" s="356">
        <v>0</v>
      </c>
      <c r="AH34" s="356">
        <v>0</v>
      </c>
      <c r="AI34" s="356">
        <v>0</v>
      </c>
      <c r="AJ34" s="356">
        <v>0</v>
      </c>
      <c r="AK34" s="356">
        <v>0</v>
      </c>
      <c r="AL34" s="356">
        <v>0</v>
      </c>
      <c r="AM34" s="356">
        <v>0</v>
      </c>
      <c r="AN34" s="356">
        <v>0</v>
      </c>
      <c r="AO34" s="356">
        <v>23</v>
      </c>
      <c r="AP34" s="356">
        <v>0</v>
      </c>
      <c r="AQ34" s="356">
        <v>0</v>
      </c>
      <c r="AR34" s="356">
        <v>15</v>
      </c>
      <c r="AS34" s="356">
        <v>0</v>
      </c>
      <c r="AT34" s="356">
        <v>0</v>
      </c>
      <c r="AU34" s="356">
        <v>0</v>
      </c>
      <c r="AV34" s="356">
        <v>0</v>
      </c>
      <c r="AW34" s="356">
        <v>0</v>
      </c>
    </row>
    <row r="35" spans="3:49" x14ac:dyDescent="0.3">
      <c r="C35" s="356">
        <v>59</v>
      </c>
      <c r="D35" s="356">
        <v>4</v>
      </c>
      <c r="E35" s="356">
        <v>5</v>
      </c>
      <c r="F35" s="356">
        <v>48</v>
      </c>
      <c r="G35" s="356">
        <v>48</v>
      </c>
      <c r="H35" s="356">
        <v>0</v>
      </c>
      <c r="I35" s="356">
        <v>0</v>
      </c>
      <c r="J35" s="356">
        <v>0</v>
      </c>
      <c r="K35" s="356">
        <v>0</v>
      </c>
      <c r="L35" s="356">
        <v>0</v>
      </c>
      <c r="M35" s="356">
        <v>0</v>
      </c>
      <c r="N35" s="356">
        <v>0</v>
      </c>
      <c r="O35" s="356">
        <v>0</v>
      </c>
      <c r="P35" s="356">
        <v>0</v>
      </c>
      <c r="Q35" s="356">
        <v>0</v>
      </c>
      <c r="R35" s="356">
        <v>0</v>
      </c>
      <c r="S35" s="356">
        <v>0</v>
      </c>
      <c r="T35" s="356">
        <v>0</v>
      </c>
      <c r="U35" s="356">
        <v>0</v>
      </c>
      <c r="V35" s="356">
        <v>0</v>
      </c>
      <c r="W35" s="356">
        <v>0</v>
      </c>
      <c r="X35" s="356">
        <v>0</v>
      </c>
      <c r="Y35" s="356">
        <v>0</v>
      </c>
      <c r="Z35" s="356">
        <v>0</v>
      </c>
      <c r="AA35" s="356">
        <v>0</v>
      </c>
      <c r="AB35" s="356">
        <v>0</v>
      </c>
      <c r="AC35" s="356">
        <v>0</v>
      </c>
      <c r="AD35" s="356">
        <v>0</v>
      </c>
      <c r="AE35" s="356">
        <v>0</v>
      </c>
      <c r="AF35" s="356">
        <v>0</v>
      </c>
      <c r="AG35" s="356">
        <v>0</v>
      </c>
      <c r="AH35" s="356">
        <v>0</v>
      </c>
      <c r="AI35" s="356">
        <v>0</v>
      </c>
      <c r="AJ35" s="356">
        <v>0</v>
      </c>
      <c r="AK35" s="356">
        <v>0</v>
      </c>
      <c r="AL35" s="356">
        <v>0</v>
      </c>
      <c r="AM35" s="356">
        <v>0</v>
      </c>
      <c r="AN35" s="356">
        <v>0</v>
      </c>
      <c r="AO35" s="356">
        <v>0</v>
      </c>
      <c r="AP35" s="356">
        <v>0</v>
      </c>
      <c r="AQ35" s="356">
        <v>0</v>
      </c>
      <c r="AR35" s="356">
        <v>0</v>
      </c>
      <c r="AS35" s="356">
        <v>0</v>
      </c>
      <c r="AT35" s="356">
        <v>0</v>
      </c>
      <c r="AU35" s="356">
        <v>0</v>
      </c>
      <c r="AV35" s="356">
        <v>0</v>
      </c>
      <c r="AW35" s="356">
        <v>0</v>
      </c>
    </row>
    <row r="36" spans="3:49" x14ac:dyDescent="0.3">
      <c r="C36" s="356">
        <v>59</v>
      </c>
      <c r="D36" s="356">
        <v>4</v>
      </c>
      <c r="E36" s="356">
        <v>6</v>
      </c>
      <c r="F36" s="356">
        <v>2468510</v>
      </c>
      <c r="G36" s="356">
        <v>9600</v>
      </c>
      <c r="H36" s="356">
        <v>0</v>
      </c>
      <c r="I36" s="356">
        <v>0</v>
      </c>
      <c r="J36" s="356">
        <v>83066</v>
      </c>
      <c r="K36" s="356">
        <v>562496</v>
      </c>
      <c r="L36" s="356">
        <v>0</v>
      </c>
      <c r="M36" s="356">
        <v>0</v>
      </c>
      <c r="N36" s="356">
        <v>0</v>
      </c>
      <c r="O36" s="356">
        <v>0</v>
      </c>
      <c r="P36" s="356">
        <v>486497</v>
      </c>
      <c r="Q36" s="356">
        <v>780683</v>
      </c>
      <c r="R36" s="356">
        <v>425212</v>
      </c>
      <c r="S36" s="356">
        <v>0</v>
      </c>
      <c r="T36" s="356">
        <v>0</v>
      </c>
      <c r="U36" s="356">
        <v>0</v>
      </c>
      <c r="V36" s="356">
        <v>0</v>
      </c>
      <c r="W36" s="356">
        <v>0</v>
      </c>
      <c r="X36" s="356">
        <v>0</v>
      </c>
      <c r="Y36" s="356">
        <v>0</v>
      </c>
      <c r="Z36" s="356">
        <v>0</v>
      </c>
      <c r="AA36" s="356">
        <v>0</v>
      </c>
      <c r="AB36" s="356">
        <v>0</v>
      </c>
      <c r="AC36" s="356">
        <v>0</v>
      </c>
      <c r="AD36" s="356">
        <v>0</v>
      </c>
      <c r="AE36" s="356">
        <v>0</v>
      </c>
      <c r="AF36" s="356">
        <v>0</v>
      </c>
      <c r="AG36" s="356">
        <v>0</v>
      </c>
      <c r="AH36" s="356">
        <v>0</v>
      </c>
      <c r="AI36" s="356">
        <v>0</v>
      </c>
      <c r="AJ36" s="356">
        <v>0</v>
      </c>
      <c r="AK36" s="356">
        <v>0</v>
      </c>
      <c r="AL36" s="356">
        <v>0</v>
      </c>
      <c r="AM36" s="356">
        <v>0</v>
      </c>
      <c r="AN36" s="356">
        <v>0</v>
      </c>
      <c r="AO36" s="356">
        <v>49911</v>
      </c>
      <c r="AP36" s="356">
        <v>0</v>
      </c>
      <c r="AQ36" s="356">
        <v>0</v>
      </c>
      <c r="AR36" s="356">
        <v>44768</v>
      </c>
      <c r="AS36" s="356">
        <v>0</v>
      </c>
      <c r="AT36" s="356">
        <v>0</v>
      </c>
      <c r="AU36" s="356">
        <v>0</v>
      </c>
      <c r="AV36" s="356">
        <v>0</v>
      </c>
      <c r="AW36" s="356">
        <v>26277</v>
      </c>
    </row>
    <row r="37" spans="3:49" x14ac:dyDescent="0.3">
      <c r="C37" s="356">
        <v>59</v>
      </c>
      <c r="D37" s="356">
        <v>4</v>
      </c>
      <c r="E37" s="356">
        <v>9</v>
      </c>
      <c r="F37" s="356">
        <v>31984</v>
      </c>
      <c r="G37" s="356">
        <v>0</v>
      </c>
      <c r="H37" s="356">
        <v>0</v>
      </c>
      <c r="I37" s="356">
        <v>0</v>
      </c>
      <c r="J37" s="356">
        <v>0</v>
      </c>
      <c r="K37" s="356">
        <v>0</v>
      </c>
      <c r="L37" s="356">
        <v>0</v>
      </c>
      <c r="M37" s="356">
        <v>0</v>
      </c>
      <c r="N37" s="356">
        <v>0</v>
      </c>
      <c r="O37" s="356">
        <v>0</v>
      </c>
      <c r="P37" s="356">
        <v>16113</v>
      </c>
      <c r="Q37" s="356">
        <v>5893</v>
      </c>
      <c r="R37" s="356">
        <v>9978</v>
      </c>
      <c r="S37" s="356">
        <v>0</v>
      </c>
      <c r="T37" s="356">
        <v>0</v>
      </c>
      <c r="U37" s="356">
        <v>0</v>
      </c>
      <c r="V37" s="356">
        <v>0</v>
      </c>
      <c r="W37" s="356">
        <v>0</v>
      </c>
      <c r="X37" s="356">
        <v>0</v>
      </c>
      <c r="Y37" s="356">
        <v>0</v>
      </c>
      <c r="Z37" s="356">
        <v>0</v>
      </c>
      <c r="AA37" s="356">
        <v>0</v>
      </c>
      <c r="AB37" s="356">
        <v>0</v>
      </c>
      <c r="AC37" s="356">
        <v>0</v>
      </c>
      <c r="AD37" s="356">
        <v>0</v>
      </c>
      <c r="AE37" s="356">
        <v>0</v>
      </c>
      <c r="AF37" s="356">
        <v>0</v>
      </c>
      <c r="AG37" s="356">
        <v>0</v>
      </c>
      <c r="AH37" s="356">
        <v>0</v>
      </c>
      <c r="AI37" s="356">
        <v>0</v>
      </c>
      <c r="AJ37" s="356">
        <v>0</v>
      </c>
      <c r="AK37" s="356">
        <v>0</v>
      </c>
      <c r="AL37" s="356">
        <v>0</v>
      </c>
      <c r="AM37" s="356">
        <v>0</v>
      </c>
      <c r="AN37" s="356">
        <v>0</v>
      </c>
      <c r="AO37" s="356">
        <v>0</v>
      </c>
      <c r="AP37" s="356">
        <v>0</v>
      </c>
      <c r="AQ37" s="356">
        <v>0</v>
      </c>
      <c r="AR37" s="356">
        <v>0</v>
      </c>
      <c r="AS37" s="356">
        <v>0</v>
      </c>
      <c r="AT37" s="356">
        <v>0</v>
      </c>
      <c r="AU37" s="356">
        <v>0</v>
      </c>
      <c r="AV37" s="356">
        <v>0</v>
      </c>
      <c r="AW37" s="356">
        <v>0</v>
      </c>
    </row>
    <row r="38" spans="3:49" x14ac:dyDescent="0.3">
      <c r="C38" s="356">
        <v>59</v>
      </c>
      <c r="D38" s="356">
        <v>4</v>
      </c>
      <c r="E38" s="356">
        <v>10</v>
      </c>
      <c r="F38" s="356">
        <v>26304</v>
      </c>
      <c r="G38" s="356">
        <v>0</v>
      </c>
      <c r="H38" s="356">
        <v>0</v>
      </c>
      <c r="I38" s="356">
        <v>0</v>
      </c>
      <c r="J38" s="356">
        <v>11200</v>
      </c>
      <c r="K38" s="356">
        <v>0</v>
      </c>
      <c r="L38" s="356">
        <v>0</v>
      </c>
      <c r="M38" s="356">
        <v>0</v>
      </c>
      <c r="N38" s="356">
        <v>0</v>
      </c>
      <c r="O38" s="356">
        <v>15104</v>
      </c>
      <c r="P38" s="356">
        <v>0</v>
      </c>
      <c r="Q38" s="356">
        <v>0</v>
      </c>
      <c r="R38" s="356">
        <v>0</v>
      </c>
      <c r="S38" s="356">
        <v>0</v>
      </c>
      <c r="T38" s="356">
        <v>0</v>
      </c>
      <c r="U38" s="356">
        <v>0</v>
      </c>
      <c r="V38" s="356">
        <v>0</v>
      </c>
      <c r="W38" s="356">
        <v>0</v>
      </c>
      <c r="X38" s="356">
        <v>0</v>
      </c>
      <c r="Y38" s="356">
        <v>0</v>
      </c>
      <c r="Z38" s="356">
        <v>0</v>
      </c>
      <c r="AA38" s="356">
        <v>0</v>
      </c>
      <c r="AB38" s="356">
        <v>0</v>
      </c>
      <c r="AC38" s="356">
        <v>0</v>
      </c>
      <c r="AD38" s="356">
        <v>0</v>
      </c>
      <c r="AE38" s="356">
        <v>0</v>
      </c>
      <c r="AF38" s="356">
        <v>0</v>
      </c>
      <c r="AG38" s="356">
        <v>0</v>
      </c>
      <c r="AH38" s="356">
        <v>0</v>
      </c>
      <c r="AI38" s="356">
        <v>0</v>
      </c>
      <c r="AJ38" s="356">
        <v>0</v>
      </c>
      <c r="AK38" s="356">
        <v>0</v>
      </c>
      <c r="AL38" s="356">
        <v>0</v>
      </c>
      <c r="AM38" s="356">
        <v>0</v>
      </c>
      <c r="AN38" s="356">
        <v>0</v>
      </c>
      <c r="AO38" s="356">
        <v>0</v>
      </c>
      <c r="AP38" s="356">
        <v>0</v>
      </c>
      <c r="AQ38" s="356">
        <v>0</v>
      </c>
      <c r="AR38" s="356">
        <v>0</v>
      </c>
      <c r="AS38" s="356">
        <v>0</v>
      </c>
      <c r="AT38" s="356">
        <v>0</v>
      </c>
      <c r="AU38" s="356">
        <v>0</v>
      </c>
      <c r="AV38" s="356">
        <v>0</v>
      </c>
      <c r="AW38" s="356">
        <v>0</v>
      </c>
    </row>
    <row r="39" spans="3:49" x14ac:dyDescent="0.3">
      <c r="C39" s="356">
        <v>59</v>
      </c>
      <c r="D39" s="356">
        <v>4</v>
      </c>
      <c r="E39" s="356">
        <v>11</v>
      </c>
      <c r="F39" s="356">
        <v>12717.557251908398</v>
      </c>
      <c r="G39" s="356">
        <v>0</v>
      </c>
      <c r="H39" s="356">
        <v>0</v>
      </c>
      <c r="I39" s="356">
        <v>0</v>
      </c>
      <c r="J39" s="356">
        <v>1717.5572519083971</v>
      </c>
      <c r="K39" s="356">
        <v>0</v>
      </c>
      <c r="L39" s="356">
        <v>0</v>
      </c>
      <c r="M39" s="356">
        <v>0</v>
      </c>
      <c r="N39" s="356">
        <v>0</v>
      </c>
      <c r="O39" s="356">
        <v>11000</v>
      </c>
      <c r="P39" s="356">
        <v>0</v>
      </c>
      <c r="Q39" s="356">
        <v>0</v>
      </c>
      <c r="R39" s="356">
        <v>0</v>
      </c>
      <c r="S39" s="356">
        <v>0</v>
      </c>
      <c r="T39" s="356">
        <v>0</v>
      </c>
      <c r="U39" s="356">
        <v>0</v>
      </c>
      <c r="V39" s="356">
        <v>0</v>
      </c>
      <c r="W39" s="356">
        <v>0</v>
      </c>
      <c r="X39" s="356">
        <v>0</v>
      </c>
      <c r="Y39" s="356">
        <v>0</v>
      </c>
      <c r="Z39" s="356">
        <v>0</v>
      </c>
      <c r="AA39" s="356">
        <v>0</v>
      </c>
      <c r="AB39" s="356">
        <v>0</v>
      </c>
      <c r="AC39" s="356">
        <v>0</v>
      </c>
      <c r="AD39" s="356">
        <v>0</v>
      </c>
      <c r="AE39" s="356">
        <v>0</v>
      </c>
      <c r="AF39" s="356">
        <v>0</v>
      </c>
      <c r="AG39" s="356">
        <v>0</v>
      </c>
      <c r="AH39" s="356">
        <v>0</v>
      </c>
      <c r="AI39" s="356">
        <v>0</v>
      </c>
      <c r="AJ39" s="356">
        <v>0</v>
      </c>
      <c r="AK39" s="356">
        <v>0</v>
      </c>
      <c r="AL39" s="356">
        <v>0</v>
      </c>
      <c r="AM39" s="356">
        <v>0</v>
      </c>
      <c r="AN39" s="356">
        <v>0</v>
      </c>
      <c r="AO39" s="356">
        <v>0</v>
      </c>
      <c r="AP39" s="356">
        <v>0</v>
      </c>
      <c r="AQ39" s="356">
        <v>0</v>
      </c>
      <c r="AR39" s="356">
        <v>0</v>
      </c>
      <c r="AS39" s="356">
        <v>0</v>
      </c>
      <c r="AT39" s="356">
        <v>0</v>
      </c>
      <c r="AU39" s="356">
        <v>0</v>
      </c>
      <c r="AV39" s="356">
        <v>0</v>
      </c>
      <c r="AW39" s="356">
        <v>0</v>
      </c>
    </row>
    <row r="40" spans="3:49" x14ac:dyDescent="0.3">
      <c r="C40" s="356">
        <v>59</v>
      </c>
      <c r="D40" s="356">
        <v>5</v>
      </c>
      <c r="E40" s="356">
        <v>1</v>
      </c>
      <c r="F40" s="356">
        <v>58.15</v>
      </c>
      <c r="G40" s="356">
        <v>0</v>
      </c>
      <c r="H40" s="356">
        <v>0</v>
      </c>
      <c r="I40" s="356">
        <v>0</v>
      </c>
      <c r="J40" s="356">
        <v>1.8</v>
      </c>
      <c r="K40" s="356">
        <v>6.55</v>
      </c>
      <c r="L40" s="356">
        <v>0</v>
      </c>
      <c r="M40" s="356">
        <v>0</v>
      </c>
      <c r="N40" s="356">
        <v>0</v>
      </c>
      <c r="O40" s="356">
        <v>0</v>
      </c>
      <c r="P40" s="356">
        <v>13.05</v>
      </c>
      <c r="Q40" s="356">
        <v>21</v>
      </c>
      <c r="R40" s="356">
        <v>10.75</v>
      </c>
      <c r="S40" s="356">
        <v>0</v>
      </c>
      <c r="T40" s="356">
        <v>0</v>
      </c>
      <c r="U40" s="356">
        <v>0</v>
      </c>
      <c r="V40" s="356">
        <v>0</v>
      </c>
      <c r="W40" s="356">
        <v>0</v>
      </c>
      <c r="X40" s="356">
        <v>0</v>
      </c>
      <c r="Y40" s="356">
        <v>0</v>
      </c>
      <c r="Z40" s="356">
        <v>0</v>
      </c>
      <c r="AA40" s="356">
        <v>0</v>
      </c>
      <c r="AB40" s="356">
        <v>0</v>
      </c>
      <c r="AC40" s="356">
        <v>0</v>
      </c>
      <c r="AD40" s="356">
        <v>0</v>
      </c>
      <c r="AE40" s="356">
        <v>0</v>
      </c>
      <c r="AF40" s="356">
        <v>0</v>
      </c>
      <c r="AG40" s="356">
        <v>0</v>
      </c>
      <c r="AH40" s="356">
        <v>0</v>
      </c>
      <c r="AI40" s="356">
        <v>0</v>
      </c>
      <c r="AJ40" s="356">
        <v>0</v>
      </c>
      <c r="AK40" s="356">
        <v>0</v>
      </c>
      <c r="AL40" s="356">
        <v>0</v>
      </c>
      <c r="AM40" s="356">
        <v>0</v>
      </c>
      <c r="AN40" s="356">
        <v>0</v>
      </c>
      <c r="AO40" s="356">
        <v>2</v>
      </c>
      <c r="AP40" s="356">
        <v>0</v>
      </c>
      <c r="AQ40" s="356">
        <v>0</v>
      </c>
      <c r="AR40" s="356">
        <v>2</v>
      </c>
      <c r="AS40" s="356">
        <v>0</v>
      </c>
      <c r="AT40" s="356">
        <v>0</v>
      </c>
      <c r="AU40" s="356">
        <v>0</v>
      </c>
      <c r="AV40" s="356">
        <v>0</v>
      </c>
      <c r="AW40" s="356">
        <v>1</v>
      </c>
    </row>
    <row r="41" spans="3:49" x14ac:dyDescent="0.3">
      <c r="C41" s="356">
        <v>59</v>
      </c>
      <c r="D41" s="356">
        <v>5</v>
      </c>
      <c r="E41" s="356">
        <v>2</v>
      </c>
      <c r="F41" s="356">
        <v>8924</v>
      </c>
      <c r="G41" s="356">
        <v>0</v>
      </c>
      <c r="H41" s="356">
        <v>0</v>
      </c>
      <c r="I41" s="356">
        <v>0</v>
      </c>
      <c r="J41" s="356">
        <v>297</v>
      </c>
      <c r="K41" s="356">
        <v>1080.77</v>
      </c>
      <c r="L41" s="356">
        <v>0</v>
      </c>
      <c r="M41" s="356">
        <v>0</v>
      </c>
      <c r="N41" s="356">
        <v>0</v>
      </c>
      <c r="O41" s="356">
        <v>0</v>
      </c>
      <c r="P41" s="356">
        <v>2067</v>
      </c>
      <c r="Q41" s="356">
        <v>3224.46</v>
      </c>
      <c r="R41" s="356">
        <v>1449.77</v>
      </c>
      <c r="S41" s="356">
        <v>0</v>
      </c>
      <c r="T41" s="356">
        <v>0</v>
      </c>
      <c r="U41" s="356">
        <v>0</v>
      </c>
      <c r="V41" s="356">
        <v>0</v>
      </c>
      <c r="W41" s="356">
        <v>0</v>
      </c>
      <c r="X41" s="356">
        <v>0</v>
      </c>
      <c r="Y41" s="356">
        <v>0</v>
      </c>
      <c r="Z41" s="356">
        <v>0</v>
      </c>
      <c r="AA41" s="356">
        <v>0</v>
      </c>
      <c r="AB41" s="356">
        <v>0</v>
      </c>
      <c r="AC41" s="356">
        <v>0</v>
      </c>
      <c r="AD41" s="356">
        <v>0</v>
      </c>
      <c r="AE41" s="356">
        <v>0</v>
      </c>
      <c r="AF41" s="356">
        <v>0</v>
      </c>
      <c r="AG41" s="356">
        <v>0</v>
      </c>
      <c r="AH41" s="356">
        <v>0</v>
      </c>
      <c r="AI41" s="356">
        <v>0</v>
      </c>
      <c r="AJ41" s="356">
        <v>0</v>
      </c>
      <c r="AK41" s="356">
        <v>0</v>
      </c>
      <c r="AL41" s="356">
        <v>0</v>
      </c>
      <c r="AM41" s="356">
        <v>0</v>
      </c>
      <c r="AN41" s="356">
        <v>0</v>
      </c>
      <c r="AO41" s="356">
        <v>302.5</v>
      </c>
      <c r="AP41" s="356">
        <v>0</v>
      </c>
      <c r="AQ41" s="356">
        <v>0</v>
      </c>
      <c r="AR41" s="356">
        <v>326.5</v>
      </c>
      <c r="AS41" s="356">
        <v>0</v>
      </c>
      <c r="AT41" s="356">
        <v>0</v>
      </c>
      <c r="AU41" s="356">
        <v>0</v>
      </c>
      <c r="AV41" s="356">
        <v>0</v>
      </c>
      <c r="AW41" s="356">
        <v>176</v>
      </c>
    </row>
    <row r="42" spans="3:49" x14ac:dyDescent="0.3">
      <c r="C42" s="356">
        <v>59</v>
      </c>
      <c r="D42" s="356">
        <v>5</v>
      </c>
      <c r="E42" s="356">
        <v>3</v>
      </c>
      <c r="F42" s="356">
        <v>310</v>
      </c>
      <c r="G42" s="356">
        <v>0</v>
      </c>
      <c r="H42" s="356">
        <v>0</v>
      </c>
      <c r="I42" s="356">
        <v>0</v>
      </c>
      <c r="J42" s="356">
        <v>25</v>
      </c>
      <c r="K42" s="356">
        <v>35</v>
      </c>
      <c r="L42" s="356">
        <v>0</v>
      </c>
      <c r="M42" s="356">
        <v>0</v>
      </c>
      <c r="N42" s="356">
        <v>0</v>
      </c>
      <c r="O42" s="356">
        <v>0</v>
      </c>
      <c r="P42" s="356">
        <v>75</v>
      </c>
      <c r="Q42" s="356">
        <v>125</v>
      </c>
      <c r="R42" s="356">
        <v>50</v>
      </c>
      <c r="S42" s="356">
        <v>0</v>
      </c>
      <c r="T42" s="356">
        <v>0</v>
      </c>
      <c r="U42" s="356">
        <v>0</v>
      </c>
      <c r="V42" s="356">
        <v>0</v>
      </c>
      <c r="W42" s="356">
        <v>0</v>
      </c>
      <c r="X42" s="356">
        <v>0</v>
      </c>
      <c r="Y42" s="356">
        <v>0</v>
      </c>
      <c r="Z42" s="356">
        <v>0</v>
      </c>
      <c r="AA42" s="356">
        <v>0</v>
      </c>
      <c r="AB42" s="356">
        <v>0</v>
      </c>
      <c r="AC42" s="356">
        <v>0</v>
      </c>
      <c r="AD42" s="356">
        <v>0</v>
      </c>
      <c r="AE42" s="356">
        <v>0</v>
      </c>
      <c r="AF42" s="356">
        <v>0</v>
      </c>
      <c r="AG42" s="356">
        <v>0</v>
      </c>
      <c r="AH42" s="356">
        <v>0</v>
      </c>
      <c r="AI42" s="356">
        <v>0</v>
      </c>
      <c r="AJ42" s="356">
        <v>0</v>
      </c>
      <c r="AK42" s="356">
        <v>0</v>
      </c>
      <c r="AL42" s="356">
        <v>0</v>
      </c>
      <c r="AM42" s="356">
        <v>0</v>
      </c>
      <c r="AN42" s="356">
        <v>0</v>
      </c>
      <c r="AO42" s="356">
        <v>0</v>
      </c>
      <c r="AP42" s="356">
        <v>0</v>
      </c>
      <c r="AQ42" s="356">
        <v>0</v>
      </c>
      <c r="AR42" s="356">
        <v>0</v>
      </c>
      <c r="AS42" s="356">
        <v>0</v>
      </c>
      <c r="AT42" s="356">
        <v>0</v>
      </c>
      <c r="AU42" s="356">
        <v>0</v>
      </c>
      <c r="AV42" s="356">
        <v>0</v>
      </c>
      <c r="AW42" s="356">
        <v>0</v>
      </c>
    </row>
    <row r="43" spans="3:49" x14ac:dyDescent="0.3">
      <c r="C43" s="356">
        <v>59</v>
      </c>
      <c r="D43" s="356">
        <v>5</v>
      </c>
      <c r="E43" s="356">
        <v>4</v>
      </c>
      <c r="F43" s="356">
        <v>696.25</v>
      </c>
      <c r="G43" s="356">
        <v>0</v>
      </c>
      <c r="H43" s="356">
        <v>0</v>
      </c>
      <c r="I43" s="356">
        <v>0</v>
      </c>
      <c r="J43" s="356">
        <v>32</v>
      </c>
      <c r="K43" s="356">
        <v>144</v>
      </c>
      <c r="L43" s="356">
        <v>0</v>
      </c>
      <c r="M43" s="356">
        <v>0</v>
      </c>
      <c r="N43" s="356">
        <v>0</v>
      </c>
      <c r="O43" s="356">
        <v>0</v>
      </c>
      <c r="P43" s="356">
        <v>150</v>
      </c>
      <c r="Q43" s="356">
        <v>182</v>
      </c>
      <c r="R43" s="356">
        <v>128.25</v>
      </c>
      <c r="S43" s="356">
        <v>0</v>
      </c>
      <c r="T43" s="356">
        <v>0</v>
      </c>
      <c r="U43" s="356">
        <v>0</v>
      </c>
      <c r="V43" s="356">
        <v>0</v>
      </c>
      <c r="W43" s="356">
        <v>0</v>
      </c>
      <c r="X43" s="356">
        <v>0</v>
      </c>
      <c r="Y43" s="356">
        <v>0</v>
      </c>
      <c r="Z43" s="356">
        <v>0</v>
      </c>
      <c r="AA43" s="356">
        <v>0</v>
      </c>
      <c r="AB43" s="356">
        <v>0</v>
      </c>
      <c r="AC43" s="356">
        <v>0</v>
      </c>
      <c r="AD43" s="356">
        <v>0</v>
      </c>
      <c r="AE43" s="356">
        <v>0</v>
      </c>
      <c r="AF43" s="356">
        <v>0</v>
      </c>
      <c r="AG43" s="356">
        <v>0</v>
      </c>
      <c r="AH43" s="356">
        <v>0</v>
      </c>
      <c r="AI43" s="356">
        <v>0</v>
      </c>
      <c r="AJ43" s="356">
        <v>0</v>
      </c>
      <c r="AK43" s="356">
        <v>0</v>
      </c>
      <c r="AL43" s="356">
        <v>0</v>
      </c>
      <c r="AM43" s="356">
        <v>0</v>
      </c>
      <c r="AN43" s="356">
        <v>0</v>
      </c>
      <c r="AO43" s="356">
        <v>35</v>
      </c>
      <c r="AP43" s="356">
        <v>0</v>
      </c>
      <c r="AQ43" s="356">
        <v>0</v>
      </c>
      <c r="AR43" s="356">
        <v>25</v>
      </c>
      <c r="AS43" s="356">
        <v>0</v>
      </c>
      <c r="AT43" s="356">
        <v>0</v>
      </c>
      <c r="AU43" s="356">
        <v>0</v>
      </c>
      <c r="AV43" s="356">
        <v>0</v>
      </c>
      <c r="AW43" s="356">
        <v>0</v>
      </c>
    </row>
    <row r="44" spans="3:49" x14ac:dyDescent="0.3">
      <c r="C44" s="356">
        <v>59</v>
      </c>
      <c r="D44" s="356">
        <v>5</v>
      </c>
      <c r="E44" s="356">
        <v>5</v>
      </c>
      <c r="F44" s="356">
        <v>48</v>
      </c>
      <c r="G44" s="356">
        <v>48</v>
      </c>
      <c r="H44" s="356">
        <v>0</v>
      </c>
      <c r="I44" s="356">
        <v>0</v>
      </c>
      <c r="J44" s="356">
        <v>0</v>
      </c>
      <c r="K44" s="356">
        <v>0</v>
      </c>
      <c r="L44" s="356">
        <v>0</v>
      </c>
      <c r="M44" s="356">
        <v>0</v>
      </c>
      <c r="N44" s="356">
        <v>0</v>
      </c>
      <c r="O44" s="356">
        <v>0</v>
      </c>
      <c r="P44" s="356">
        <v>0</v>
      </c>
      <c r="Q44" s="356">
        <v>0</v>
      </c>
      <c r="R44" s="356">
        <v>0</v>
      </c>
      <c r="S44" s="356">
        <v>0</v>
      </c>
      <c r="T44" s="356">
        <v>0</v>
      </c>
      <c r="U44" s="356">
        <v>0</v>
      </c>
      <c r="V44" s="356">
        <v>0</v>
      </c>
      <c r="W44" s="356">
        <v>0</v>
      </c>
      <c r="X44" s="356">
        <v>0</v>
      </c>
      <c r="Y44" s="356">
        <v>0</v>
      </c>
      <c r="Z44" s="356">
        <v>0</v>
      </c>
      <c r="AA44" s="356">
        <v>0</v>
      </c>
      <c r="AB44" s="356">
        <v>0</v>
      </c>
      <c r="AC44" s="356">
        <v>0</v>
      </c>
      <c r="AD44" s="356">
        <v>0</v>
      </c>
      <c r="AE44" s="356">
        <v>0</v>
      </c>
      <c r="AF44" s="356">
        <v>0</v>
      </c>
      <c r="AG44" s="356">
        <v>0</v>
      </c>
      <c r="AH44" s="356">
        <v>0</v>
      </c>
      <c r="AI44" s="356">
        <v>0</v>
      </c>
      <c r="AJ44" s="356">
        <v>0</v>
      </c>
      <c r="AK44" s="356">
        <v>0</v>
      </c>
      <c r="AL44" s="356">
        <v>0</v>
      </c>
      <c r="AM44" s="356">
        <v>0</v>
      </c>
      <c r="AN44" s="356">
        <v>0</v>
      </c>
      <c r="AO44" s="356">
        <v>0</v>
      </c>
      <c r="AP44" s="356">
        <v>0</v>
      </c>
      <c r="AQ44" s="356">
        <v>0</v>
      </c>
      <c r="AR44" s="356">
        <v>0</v>
      </c>
      <c r="AS44" s="356">
        <v>0</v>
      </c>
      <c r="AT44" s="356">
        <v>0</v>
      </c>
      <c r="AU44" s="356">
        <v>0</v>
      </c>
      <c r="AV44" s="356">
        <v>0</v>
      </c>
      <c r="AW44" s="356">
        <v>0</v>
      </c>
    </row>
    <row r="45" spans="3:49" x14ac:dyDescent="0.3">
      <c r="C45" s="356">
        <v>59</v>
      </c>
      <c r="D45" s="356">
        <v>5</v>
      </c>
      <c r="E45" s="356">
        <v>6</v>
      </c>
      <c r="F45" s="356">
        <v>2630782</v>
      </c>
      <c r="G45" s="356">
        <v>9600</v>
      </c>
      <c r="H45" s="356">
        <v>0</v>
      </c>
      <c r="I45" s="356">
        <v>0</v>
      </c>
      <c r="J45" s="356">
        <v>90493</v>
      </c>
      <c r="K45" s="356">
        <v>610822</v>
      </c>
      <c r="L45" s="356">
        <v>0</v>
      </c>
      <c r="M45" s="356">
        <v>0</v>
      </c>
      <c r="N45" s="356">
        <v>0</v>
      </c>
      <c r="O45" s="356">
        <v>0</v>
      </c>
      <c r="P45" s="356">
        <v>467204</v>
      </c>
      <c r="Q45" s="356">
        <v>872116</v>
      </c>
      <c r="R45" s="356">
        <v>449933</v>
      </c>
      <c r="S45" s="356">
        <v>0</v>
      </c>
      <c r="T45" s="356">
        <v>0</v>
      </c>
      <c r="U45" s="356">
        <v>0</v>
      </c>
      <c r="V45" s="356">
        <v>0</v>
      </c>
      <c r="W45" s="356">
        <v>0</v>
      </c>
      <c r="X45" s="356">
        <v>0</v>
      </c>
      <c r="Y45" s="356">
        <v>0</v>
      </c>
      <c r="Z45" s="356">
        <v>0</v>
      </c>
      <c r="AA45" s="356">
        <v>0</v>
      </c>
      <c r="AB45" s="356">
        <v>0</v>
      </c>
      <c r="AC45" s="356">
        <v>0</v>
      </c>
      <c r="AD45" s="356">
        <v>0</v>
      </c>
      <c r="AE45" s="356">
        <v>0</v>
      </c>
      <c r="AF45" s="356">
        <v>0</v>
      </c>
      <c r="AG45" s="356">
        <v>0</v>
      </c>
      <c r="AH45" s="356">
        <v>0</v>
      </c>
      <c r="AI45" s="356">
        <v>0</v>
      </c>
      <c r="AJ45" s="356">
        <v>0</v>
      </c>
      <c r="AK45" s="356">
        <v>0</v>
      </c>
      <c r="AL45" s="356">
        <v>0</v>
      </c>
      <c r="AM45" s="356">
        <v>0</v>
      </c>
      <c r="AN45" s="356">
        <v>0</v>
      </c>
      <c r="AO45" s="356">
        <v>55297</v>
      </c>
      <c r="AP45" s="356">
        <v>0</v>
      </c>
      <c r="AQ45" s="356">
        <v>0</v>
      </c>
      <c r="AR45" s="356">
        <v>49127</v>
      </c>
      <c r="AS45" s="356">
        <v>0</v>
      </c>
      <c r="AT45" s="356">
        <v>0</v>
      </c>
      <c r="AU45" s="356">
        <v>0</v>
      </c>
      <c r="AV45" s="356">
        <v>0</v>
      </c>
      <c r="AW45" s="356">
        <v>26190</v>
      </c>
    </row>
    <row r="46" spans="3:49" x14ac:dyDescent="0.3">
      <c r="C46" s="356">
        <v>59</v>
      </c>
      <c r="D46" s="356">
        <v>5</v>
      </c>
      <c r="E46" s="356">
        <v>9</v>
      </c>
      <c r="F46" s="356">
        <v>20412</v>
      </c>
      <c r="G46" s="356">
        <v>0</v>
      </c>
      <c r="H46" s="356">
        <v>0</v>
      </c>
      <c r="I46" s="356">
        <v>0</v>
      </c>
      <c r="J46" s="356">
        <v>0</v>
      </c>
      <c r="K46" s="356">
        <v>0</v>
      </c>
      <c r="L46" s="356">
        <v>0</v>
      </c>
      <c r="M46" s="356">
        <v>0</v>
      </c>
      <c r="N46" s="356">
        <v>0</v>
      </c>
      <c r="O46" s="356">
        <v>0</v>
      </c>
      <c r="P46" s="356">
        <v>6718</v>
      </c>
      <c r="Q46" s="356">
        <v>10434</v>
      </c>
      <c r="R46" s="356">
        <v>3260</v>
      </c>
      <c r="S46" s="356">
        <v>0</v>
      </c>
      <c r="T46" s="356">
        <v>0</v>
      </c>
      <c r="U46" s="356">
        <v>0</v>
      </c>
      <c r="V46" s="356">
        <v>0</v>
      </c>
      <c r="W46" s="356">
        <v>0</v>
      </c>
      <c r="X46" s="356">
        <v>0</v>
      </c>
      <c r="Y46" s="356">
        <v>0</v>
      </c>
      <c r="Z46" s="356">
        <v>0</v>
      </c>
      <c r="AA46" s="356">
        <v>0</v>
      </c>
      <c r="AB46" s="356">
        <v>0</v>
      </c>
      <c r="AC46" s="356">
        <v>0</v>
      </c>
      <c r="AD46" s="356">
        <v>0</v>
      </c>
      <c r="AE46" s="356">
        <v>0</v>
      </c>
      <c r="AF46" s="356">
        <v>0</v>
      </c>
      <c r="AG46" s="356">
        <v>0</v>
      </c>
      <c r="AH46" s="356">
        <v>0</v>
      </c>
      <c r="AI46" s="356">
        <v>0</v>
      </c>
      <c r="AJ46" s="356">
        <v>0</v>
      </c>
      <c r="AK46" s="356">
        <v>0</v>
      </c>
      <c r="AL46" s="356">
        <v>0</v>
      </c>
      <c r="AM46" s="356">
        <v>0</v>
      </c>
      <c r="AN46" s="356">
        <v>0</v>
      </c>
      <c r="AO46" s="356">
        <v>0</v>
      </c>
      <c r="AP46" s="356">
        <v>0</v>
      </c>
      <c r="AQ46" s="356">
        <v>0</v>
      </c>
      <c r="AR46" s="356">
        <v>0</v>
      </c>
      <c r="AS46" s="356">
        <v>0</v>
      </c>
      <c r="AT46" s="356">
        <v>0</v>
      </c>
      <c r="AU46" s="356">
        <v>0</v>
      </c>
      <c r="AV46" s="356">
        <v>0</v>
      </c>
      <c r="AW46" s="356">
        <v>0</v>
      </c>
    </row>
    <row r="47" spans="3:49" x14ac:dyDescent="0.3">
      <c r="C47" s="356">
        <v>59</v>
      </c>
      <c r="D47" s="356">
        <v>5</v>
      </c>
      <c r="E47" s="356">
        <v>10</v>
      </c>
      <c r="F47" s="356">
        <v>7552</v>
      </c>
      <c r="G47" s="356">
        <v>0</v>
      </c>
      <c r="H47" s="356">
        <v>0</v>
      </c>
      <c r="I47" s="356">
        <v>0</v>
      </c>
      <c r="J47" s="356">
        <v>0</v>
      </c>
      <c r="K47" s="356">
        <v>0</v>
      </c>
      <c r="L47" s="356">
        <v>0</v>
      </c>
      <c r="M47" s="356">
        <v>0</v>
      </c>
      <c r="N47" s="356">
        <v>0</v>
      </c>
      <c r="O47" s="356">
        <v>7552</v>
      </c>
      <c r="P47" s="356">
        <v>0</v>
      </c>
      <c r="Q47" s="356">
        <v>0</v>
      </c>
      <c r="R47" s="356">
        <v>0</v>
      </c>
      <c r="S47" s="356">
        <v>0</v>
      </c>
      <c r="T47" s="356">
        <v>0</v>
      </c>
      <c r="U47" s="356">
        <v>0</v>
      </c>
      <c r="V47" s="356">
        <v>0</v>
      </c>
      <c r="W47" s="356">
        <v>0</v>
      </c>
      <c r="X47" s="356">
        <v>0</v>
      </c>
      <c r="Y47" s="356">
        <v>0</v>
      </c>
      <c r="Z47" s="356">
        <v>0</v>
      </c>
      <c r="AA47" s="356">
        <v>0</v>
      </c>
      <c r="AB47" s="356">
        <v>0</v>
      </c>
      <c r="AC47" s="356">
        <v>0</v>
      </c>
      <c r="AD47" s="356">
        <v>0</v>
      </c>
      <c r="AE47" s="356">
        <v>0</v>
      </c>
      <c r="AF47" s="356">
        <v>0</v>
      </c>
      <c r="AG47" s="356">
        <v>0</v>
      </c>
      <c r="AH47" s="356">
        <v>0</v>
      </c>
      <c r="AI47" s="356">
        <v>0</v>
      </c>
      <c r="AJ47" s="356">
        <v>0</v>
      </c>
      <c r="AK47" s="356">
        <v>0</v>
      </c>
      <c r="AL47" s="356">
        <v>0</v>
      </c>
      <c r="AM47" s="356">
        <v>0</v>
      </c>
      <c r="AN47" s="356">
        <v>0</v>
      </c>
      <c r="AO47" s="356">
        <v>0</v>
      </c>
      <c r="AP47" s="356">
        <v>0</v>
      </c>
      <c r="AQ47" s="356">
        <v>0</v>
      </c>
      <c r="AR47" s="356">
        <v>0</v>
      </c>
      <c r="AS47" s="356">
        <v>0</v>
      </c>
      <c r="AT47" s="356">
        <v>0</v>
      </c>
      <c r="AU47" s="356">
        <v>0</v>
      </c>
      <c r="AV47" s="356">
        <v>0</v>
      </c>
      <c r="AW47" s="356">
        <v>0</v>
      </c>
    </row>
    <row r="48" spans="3:49" x14ac:dyDescent="0.3">
      <c r="C48" s="356">
        <v>59</v>
      </c>
      <c r="D48" s="356">
        <v>5</v>
      </c>
      <c r="E48" s="356">
        <v>11</v>
      </c>
      <c r="F48" s="356">
        <v>12717.557251908398</v>
      </c>
      <c r="G48" s="356">
        <v>0</v>
      </c>
      <c r="H48" s="356">
        <v>0</v>
      </c>
      <c r="I48" s="356">
        <v>0</v>
      </c>
      <c r="J48" s="356">
        <v>1717.5572519083971</v>
      </c>
      <c r="K48" s="356">
        <v>0</v>
      </c>
      <c r="L48" s="356">
        <v>0</v>
      </c>
      <c r="M48" s="356">
        <v>0</v>
      </c>
      <c r="N48" s="356">
        <v>0</v>
      </c>
      <c r="O48" s="356">
        <v>11000</v>
      </c>
      <c r="P48" s="356">
        <v>0</v>
      </c>
      <c r="Q48" s="356">
        <v>0</v>
      </c>
      <c r="R48" s="356">
        <v>0</v>
      </c>
      <c r="S48" s="356">
        <v>0</v>
      </c>
      <c r="T48" s="356">
        <v>0</v>
      </c>
      <c r="U48" s="356">
        <v>0</v>
      </c>
      <c r="V48" s="356">
        <v>0</v>
      </c>
      <c r="W48" s="356">
        <v>0</v>
      </c>
      <c r="X48" s="356">
        <v>0</v>
      </c>
      <c r="Y48" s="356">
        <v>0</v>
      </c>
      <c r="Z48" s="356">
        <v>0</v>
      </c>
      <c r="AA48" s="356">
        <v>0</v>
      </c>
      <c r="AB48" s="356">
        <v>0</v>
      </c>
      <c r="AC48" s="356">
        <v>0</v>
      </c>
      <c r="AD48" s="356">
        <v>0</v>
      </c>
      <c r="AE48" s="356">
        <v>0</v>
      </c>
      <c r="AF48" s="356">
        <v>0</v>
      </c>
      <c r="AG48" s="356">
        <v>0</v>
      </c>
      <c r="AH48" s="356">
        <v>0</v>
      </c>
      <c r="AI48" s="356">
        <v>0</v>
      </c>
      <c r="AJ48" s="356">
        <v>0</v>
      </c>
      <c r="AK48" s="356">
        <v>0</v>
      </c>
      <c r="AL48" s="356">
        <v>0</v>
      </c>
      <c r="AM48" s="356">
        <v>0</v>
      </c>
      <c r="AN48" s="356">
        <v>0</v>
      </c>
      <c r="AO48" s="356">
        <v>0</v>
      </c>
      <c r="AP48" s="356">
        <v>0</v>
      </c>
      <c r="AQ48" s="356">
        <v>0</v>
      </c>
      <c r="AR48" s="356">
        <v>0</v>
      </c>
      <c r="AS48" s="356">
        <v>0</v>
      </c>
      <c r="AT48" s="356">
        <v>0</v>
      </c>
      <c r="AU48" s="356">
        <v>0</v>
      </c>
      <c r="AV48" s="356">
        <v>0</v>
      </c>
      <c r="AW48" s="356">
        <v>0</v>
      </c>
    </row>
    <row r="49" spans="3:49" x14ac:dyDescent="0.3">
      <c r="C49" s="356">
        <v>59</v>
      </c>
      <c r="D49" s="356">
        <v>6</v>
      </c>
      <c r="E49" s="356">
        <v>1</v>
      </c>
      <c r="F49" s="356">
        <v>55.15</v>
      </c>
      <c r="G49" s="356">
        <v>0</v>
      </c>
      <c r="H49" s="356">
        <v>0</v>
      </c>
      <c r="I49" s="356">
        <v>0</v>
      </c>
      <c r="J49" s="356">
        <v>1.8</v>
      </c>
      <c r="K49" s="356">
        <v>6.55</v>
      </c>
      <c r="L49" s="356">
        <v>0</v>
      </c>
      <c r="M49" s="356">
        <v>0</v>
      </c>
      <c r="N49" s="356">
        <v>0</v>
      </c>
      <c r="O49" s="356">
        <v>0</v>
      </c>
      <c r="P49" s="356">
        <v>13.05</v>
      </c>
      <c r="Q49" s="356">
        <v>19</v>
      </c>
      <c r="R49" s="356">
        <v>9.75</v>
      </c>
      <c r="S49" s="356">
        <v>0</v>
      </c>
      <c r="T49" s="356">
        <v>0</v>
      </c>
      <c r="U49" s="356">
        <v>0</v>
      </c>
      <c r="V49" s="356">
        <v>0</v>
      </c>
      <c r="W49" s="356">
        <v>0</v>
      </c>
      <c r="X49" s="356">
        <v>0</v>
      </c>
      <c r="Y49" s="356">
        <v>0</v>
      </c>
      <c r="Z49" s="356">
        <v>0</v>
      </c>
      <c r="AA49" s="356">
        <v>0</v>
      </c>
      <c r="AB49" s="356">
        <v>0</v>
      </c>
      <c r="AC49" s="356">
        <v>0</v>
      </c>
      <c r="AD49" s="356">
        <v>0</v>
      </c>
      <c r="AE49" s="356">
        <v>0</v>
      </c>
      <c r="AF49" s="356">
        <v>0</v>
      </c>
      <c r="AG49" s="356">
        <v>0</v>
      </c>
      <c r="AH49" s="356">
        <v>0</v>
      </c>
      <c r="AI49" s="356">
        <v>0</v>
      </c>
      <c r="AJ49" s="356">
        <v>0</v>
      </c>
      <c r="AK49" s="356">
        <v>0</v>
      </c>
      <c r="AL49" s="356">
        <v>0</v>
      </c>
      <c r="AM49" s="356">
        <v>0</v>
      </c>
      <c r="AN49" s="356">
        <v>0</v>
      </c>
      <c r="AO49" s="356">
        <v>2</v>
      </c>
      <c r="AP49" s="356">
        <v>0</v>
      </c>
      <c r="AQ49" s="356">
        <v>0</v>
      </c>
      <c r="AR49" s="356">
        <v>2</v>
      </c>
      <c r="AS49" s="356">
        <v>0</v>
      </c>
      <c r="AT49" s="356">
        <v>0</v>
      </c>
      <c r="AU49" s="356">
        <v>0</v>
      </c>
      <c r="AV49" s="356">
        <v>0</v>
      </c>
      <c r="AW49" s="356">
        <v>1</v>
      </c>
    </row>
    <row r="50" spans="3:49" x14ac:dyDescent="0.3">
      <c r="C50" s="356">
        <v>59</v>
      </c>
      <c r="D50" s="356">
        <v>6</v>
      </c>
      <c r="E50" s="356">
        <v>2</v>
      </c>
      <c r="F50" s="356">
        <v>8196.31</v>
      </c>
      <c r="G50" s="356">
        <v>0</v>
      </c>
      <c r="H50" s="356">
        <v>0</v>
      </c>
      <c r="I50" s="356">
        <v>0</v>
      </c>
      <c r="J50" s="356">
        <v>273.5</v>
      </c>
      <c r="K50" s="356">
        <v>953.27</v>
      </c>
      <c r="L50" s="356">
        <v>0</v>
      </c>
      <c r="M50" s="356">
        <v>0</v>
      </c>
      <c r="N50" s="356">
        <v>0</v>
      </c>
      <c r="O50" s="356">
        <v>0</v>
      </c>
      <c r="P50" s="356">
        <v>2019</v>
      </c>
      <c r="Q50" s="356">
        <v>2948.27</v>
      </c>
      <c r="R50" s="356">
        <v>1296.77</v>
      </c>
      <c r="S50" s="356">
        <v>0</v>
      </c>
      <c r="T50" s="356">
        <v>0</v>
      </c>
      <c r="U50" s="356">
        <v>0</v>
      </c>
      <c r="V50" s="356">
        <v>0</v>
      </c>
      <c r="W50" s="356">
        <v>0</v>
      </c>
      <c r="X50" s="356">
        <v>0</v>
      </c>
      <c r="Y50" s="356">
        <v>0</v>
      </c>
      <c r="Z50" s="356">
        <v>0</v>
      </c>
      <c r="AA50" s="356">
        <v>0</v>
      </c>
      <c r="AB50" s="356">
        <v>0</v>
      </c>
      <c r="AC50" s="356">
        <v>0</v>
      </c>
      <c r="AD50" s="356">
        <v>0</v>
      </c>
      <c r="AE50" s="356">
        <v>0</v>
      </c>
      <c r="AF50" s="356">
        <v>0</v>
      </c>
      <c r="AG50" s="356">
        <v>0</v>
      </c>
      <c r="AH50" s="356">
        <v>0</v>
      </c>
      <c r="AI50" s="356">
        <v>0</v>
      </c>
      <c r="AJ50" s="356">
        <v>0</v>
      </c>
      <c r="AK50" s="356">
        <v>0</v>
      </c>
      <c r="AL50" s="356">
        <v>0</v>
      </c>
      <c r="AM50" s="356">
        <v>0</v>
      </c>
      <c r="AN50" s="356">
        <v>0</v>
      </c>
      <c r="AO50" s="356">
        <v>276</v>
      </c>
      <c r="AP50" s="356">
        <v>0</v>
      </c>
      <c r="AQ50" s="356">
        <v>0</v>
      </c>
      <c r="AR50" s="356">
        <v>293.5</v>
      </c>
      <c r="AS50" s="356">
        <v>0</v>
      </c>
      <c r="AT50" s="356">
        <v>0</v>
      </c>
      <c r="AU50" s="356">
        <v>0</v>
      </c>
      <c r="AV50" s="356">
        <v>0</v>
      </c>
      <c r="AW50" s="356">
        <v>136</v>
      </c>
    </row>
    <row r="51" spans="3:49" x14ac:dyDescent="0.3">
      <c r="C51" s="356">
        <v>59</v>
      </c>
      <c r="D51" s="356">
        <v>6</v>
      </c>
      <c r="E51" s="356">
        <v>3</v>
      </c>
      <c r="F51" s="356">
        <v>202</v>
      </c>
      <c r="G51" s="356">
        <v>0</v>
      </c>
      <c r="H51" s="356">
        <v>0</v>
      </c>
      <c r="I51" s="356">
        <v>0</v>
      </c>
      <c r="J51" s="356">
        <v>8</v>
      </c>
      <c r="K51" s="356">
        <v>19</v>
      </c>
      <c r="L51" s="356">
        <v>0</v>
      </c>
      <c r="M51" s="356">
        <v>0</v>
      </c>
      <c r="N51" s="356">
        <v>0</v>
      </c>
      <c r="O51" s="356">
        <v>0</v>
      </c>
      <c r="P51" s="356">
        <v>50</v>
      </c>
      <c r="Q51" s="356">
        <v>90</v>
      </c>
      <c r="R51" s="356">
        <v>35</v>
      </c>
      <c r="S51" s="356">
        <v>0</v>
      </c>
      <c r="T51" s="356">
        <v>0</v>
      </c>
      <c r="U51" s="356">
        <v>0</v>
      </c>
      <c r="V51" s="356">
        <v>0</v>
      </c>
      <c r="W51" s="356">
        <v>0</v>
      </c>
      <c r="X51" s="356">
        <v>0</v>
      </c>
      <c r="Y51" s="356">
        <v>0</v>
      </c>
      <c r="Z51" s="356">
        <v>0</v>
      </c>
      <c r="AA51" s="356">
        <v>0</v>
      </c>
      <c r="AB51" s="356">
        <v>0</v>
      </c>
      <c r="AC51" s="356">
        <v>0</v>
      </c>
      <c r="AD51" s="356">
        <v>0</v>
      </c>
      <c r="AE51" s="356">
        <v>0</v>
      </c>
      <c r="AF51" s="356">
        <v>0</v>
      </c>
      <c r="AG51" s="356">
        <v>0</v>
      </c>
      <c r="AH51" s="356">
        <v>0</v>
      </c>
      <c r="AI51" s="356">
        <v>0</v>
      </c>
      <c r="AJ51" s="356">
        <v>0</v>
      </c>
      <c r="AK51" s="356">
        <v>0</v>
      </c>
      <c r="AL51" s="356">
        <v>0</v>
      </c>
      <c r="AM51" s="356">
        <v>0</v>
      </c>
      <c r="AN51" s="356">
        <v>0</v>
      </c>
      <c r="AO51" s="356">
        <v>0</v>
      </c>
      <c r="AP51" s="356">
        <v>0</v>
      </c>
      <c r="AQ51" s="356">
        <v>0</v>
      </c>
      <c r="AR51" s="356">
        <v>0</v>
      </c>
      <c r="AS51" s="356">
        <v>0</v>
      </c>
      <c r="AT51" s="356">
        <v>0</v>
      </c>
      <c r="AU51" s="356">
        <v>0</v>
      </c>
      <c r="AV51" s="356">
        <v>0</v>
      </c>
      <c r="AW51" s="356">
        <v>0</v>
      </c>
    </row>
    <row r="52" spans="3:49" x14ac:dyDescent="0.3">
      <c r="C52" s="356">
        <v>59</v>
      </c>
      <c r="D52" s="356">
        <v>6</v>
      </c>
      <c r="E52" s="356">
        <v>4</v>
      </c>
      <c r="F52" s="356">
        <v>383</v>
      </c>
      <c r="G52" s="356">
        <v>0</v>
      </c>
      <c r="H52" s="356">
        <v>0</v>
      </c>
      <c r="I52" s="356">
        <v>0</v>
      </c>
      <c r="J52" s="356">
        <v>14</v>
      </c>
      <c r="K52" s="356">
        <v>95</v>
      </c>
      <c r="L52" s="356">
        <v>0</v>
      </c>
      <c r="M52" s="356">
        <v>0</v>
      </c>
      <c r="N52" s="356">
        <v>0</v>
      </c>
      <c r="O52" s="356">
        <v>0</v>
      </c>
      <c r="P52" s="356">
        <v>100</v>
      </c>
      <c r="Q52" s="356">
        <v>80</v>
      </c>
      <c r="R52" s="356">
        <v>47</v>
      </c>
      <c r="S52" s="356">
        <v>0</v>
      </c>
      <c r="T52" s="356">
        <v>0</v>
      </c>
      <c r="U52" s="356">
        <v>0</v>
      </c>
      <c r="V52" s="356">
        <v>0</v>
      </c>
      <c r="W52" s="356">
        <v>0</v>
      </c>
      <c r="X52" s="356">
        <v>0</v>
      </c>
      <c r="Y52" s="356">
        <v>0</v>
      </c>
      <c r="Z52" s="356">
        <v>0</v>
      </c>
      <c r="AA52" s="356">
        <v>0</v>
      </c>
      <c r="AB52" s="356">
        <v>0</v>
      </c>
      <c r="AC52" s="356">
        <v>0</v>
      </c>
      <c r="AD52" s="356">
        <v>0</v>
      </c>
      <c r="AE52" s="356">
        <v>0</v>
      </c>
      <c r="AF52" s="356">
        <v>0</v>
      </c>
      <c r="AG52" s="356">
        <v>0</v>
      </c>
      <c r="AH52" s="356">
        <v>0</v>
      </c>
      <c r="AI52" s="356">
        <v>0</v>
      </c>
      <c r="AJ52" s="356">
        <v>0</v>
      </c>
      <c r="AK52" s="356">
        <v>0</v>
      </c>
      <c r="AL52" s="356">
        <v>0</v>
      </c>
      <c r="AM52" s="356">
        <v>0</v>
      </c>
      <c r="AN52" s="356">
        <v>0</v>
      </c>
      <c r="AO52" s="356">
        <v>22</v>
      </c>
      <c r="AP52" s="356">
        <v>0</v>
      </c>
      <c r="AQ52" s="356">
        <v>0</v>
      </c>
      <c r="AR52" s="356">
        <v>25</v>
      </c>
      <c r="AS52" s="356">
        <v>0</v>
      </c>
      <c r="AT52" s="356">
        <v>0</v>
      </c>
      <c r="AU52" s="356">
        <v>0</v>
      </c>
      <c r="AV52" s="356">
        <v>0</v>
      </c>
      <c r="AW52" s="356">
        <v>0</v>
      </c>
    </row>
    <row r="53" spans="3:49" x14ac:dyDescent="0.3">
      <c r="C53" s="356">
        <v>59</v>
      </c>
      <c r="D53" s="356">
        <v>6</v>
      </c>
      <c r="E53" s="356">
        <v>5</v>
      </c>
      <c r="F53" s="356">
        <v>48</v>
      </c>
      <c r="G53" s="356">
        <v>48</v>
      </c>
      <c r="H53" s="356">
        <v>0</v>
      </c>
      <c r="I53" s="356">
        <v>0</v>
      </c>
      <c r="J53" s="356">
        <v>0</v>
      </c>
      <c r="K53" s="356">
        <v>0</v>
      </c>
      <c r="L53" s="356">
        <v>0</v>
      </c>
      <c r="M53" s="356">
        <v>0</v>
      </c>
      <c r="N53" s="356">
        <v>0</v>
      </c>
      <c r="O53" s="356">
        <v>0</v>
      </c>
      <c r="P53" s="356">
        <v>0</v>
      </c>
      <c r="Q53" s="356">
        <v>0</v>
      </c>
      <c r="R53" s="356">
        <v>0</v>
      </c>
      <c r="S53" s="356">
        <v>0</v>
      </c>
      <c r="T53" s="356">
        <v>0</v>
      </c>
      <c r="U53" s="356">
        <v>0</v>
      </c>
      <c r="V53" s="356">
        <v>0</v>
      </c>
      <c r="W53" s="356">
        <v>0</v>
      </c>
      <c r="X53" s="356">
        <v>0</v>
      </c>
      <c r="Y53" s="356">
        <v>0</v>
      </c>
      <c r="Z53" s="356">
        <v>0</v>
      </c>
      <c r="AA53" s="356">
        <v>0</v>
      </c>
      <c r="AB53" s="356">
        <v>0</v>
      </c>
      <c r="AC53" s="356">
        <v>0</v>
      </c>
      <c r="AD53" s="356">
        <v>0</v>
      </c>
      <c r="AE53" s="356">
        <v>0</v>
      </c>
      <c r="AF53" s="356">
        <v>0</v>
      </c>
      <c r="AG53" s="356">
        <v>0</v>
      </c>
      <c r="AH53" s="356">
        <v>0</v>
      </c>
      <c r="AI53" s="356">
        <v>0</v>
      </c>
      <c r="AJ53" s="356">
        <v>0</v>
      </c>
      <c r="AK53" s="356">
        <v>0</v>
      </c>
      <c r="AL53" s="356">
        <v>0</v>
      </c>
      <c r="AM53" s="356">
        <v>0</v>
      </c>
      <c r="AN53" s="356">
        <v>0</v>
      </c>
      <c r="AO53" s="356">
        <v>0</v>
      </c>
      <c r="AP53" s="356">
        <v>0</v>
      </c>
      <c r="AQ53" s="356">
        <v>0</v>
      </c>
      <c r="AR53" s="356">
        <v>0</v>
      </c>
      <c r="AS53" s="356">
        <v>0</v>
      </c>
      <c r="AT53" s="356">
        <v>0</v>
      </c>
      <c r="AU53" s="356">
        <v>0</v>
      </c>
      <c r="AV53" s="356">
        <v>0</v>
      </c>
      <c r="AW53" s="356">
        <v>0</v>
      </c>
    </row>
    <row r="54" spans="3:49" x14ac:dyDescent="0.3">
      <c r="C54" s="356">
        <v>59</v>
      </c>
      <c r="D54" s="356">
        <v>6</v>
      </c>
      <c r="E54" s="356">
        <v>6</v>
      </c>
      <c r="F54" s="356">
        <v>2278054</v>
      </c>
      <c r="G54" s="356">
        <v>9600</v>
      </c>
      <c r="H54" s="356">
        <v>0</v>
      </c>
      <c r="I54" s="356">
        <v>0</v>
      </c>
      <c r="J54" s="356">
        <v>79306</v>
      </c>
      <c r="K54" s="356">
        <v>555798</v>
      </c>
      <c r="L54" s="356">
        <v>0</v>
      </c>
      <c r="M54" s="356">
        <v>0</v>
      </c>
      <c r="N54" s="356">
        <v>0</v>
      </c>
      <c r="O54" s="356">
        <v>0</v>
      </c>
      <c r="P54" s="356">
        <v>403948</v>
      </c>
      <c r="Q54" s="356">
        <v>721758</v>
      </c>
      <c r="R54" s="356">
        <v>383649</v>
      </c>
      <c r="S54" s="356">
        <v>0</v>
      </c>
      <c r="T54" s="356">
        <v>0</v>
      </c>
      <c r="U54" s="356">
        <v>0</v>
      </c>
      <c r="V54" s="356">
        <v>0</v>
      </c>
      <c r="W54" s="356">
        <v>0</v>
      </c>
      <c r="X54" s="356">
        <v>0</v>
      </c>
      <c r="Y54" s="356">
        <v>0</v>
      </c>
      <c r="Z54" s="356">
        <v>0</v>
      </c>
      <c r="AA54" s="356">
        <v>0</v>
      </c>
      <c r="AB54" s="356">
        <v>0</v>
      </c>
      <c r="AC54" s="356">
        <v>0</v>
      </c>
      <c r="AD54" s="356">
        <v>0</v>
      </c>
      <c r="AE54" s="356">
        <v>0</v>
      </c>
      <c r="AF54" s="356">
        <v>0</v>
      </c>
      <c r="AG54" s="356">
        <v>0</v>
      </c>
      <c r="AH54" s="356">
        <v>0</v>
      </c>
      <c r="AI54" s="356">
        <v>0</v>
      </c>
      <c r="AJ54" s="356">
        <v>0</v>
      </c>
      <c r="AK54" s="356">
        <v>0</v>
      </c>
      <c r="AL54" s="356">
        <v>0</v>
      </c>
      <c r="AM54" s="356">
        <v>0</v>
      </c>
      <c r="AN54" s="356">
        <v>0</v>
      </c>
      <c r="AO54" s="356">
        <v>51303</v>
      </c>
      <c r="AP54" s="356">
        <v>0</v>
      </c>
      <c r="AQ54" s="356">
        <v>0</v>
      </c>
      <c r="AR54" s="356">
        <v>46073</v>
      </c>
      <c r="AS54" s="356">
        <v>0</v>
      </c>
      <c r="AT54" s="356">
        <v>0</v>
      </c>
      <c r="AU54" s="356">
        <v>0</v>
      </c>
      <c r="AV54" s="356">
        <v>0</v>
      </c>
      <c r="AW54" s="356">
        <v>26619</v>
      </c>
    </row>
    <row r="55" spans="3:49" x14ac:dyDescent="0.3">
      <c r="C55" s="356">
        <v>59</v>
      </c>
      <c r="D55" s="356">
        <v>6</v>
      </c>
      <c r="E55" s="356">
        <v>10</v>
      </c>
      <c r="F55" s="356">
        <v>30148</v>
      </c>
      <c r="G55" s="356">
        <v>0</v>
      </c>
      <c r="H55" s="356">
        <v>0</v>
      </c>
      <c r="I55" s="356">
        <v>0</v>
      </c>
      <c r="J55" s="356">
        <v>0</v>
      </c>
      <c r="K55" s="356">
        <v>0</v>
      </c>
      <c r="L55" s="356">
        <v>0</v>
      </c>
      <c r="M55" s="356">
        <v>0</v>
      </c>
      <c r="N55" s="356">
        <v>0</v>
      </c>
      <c r="O55" s="356">
        <v>30148</v>
      </c>
      <c r="P55" s="356">
        <v>0</v>
      </c>
      <c r="Q55" s="356">
        <v>0</v>
      </c>
      <c r="R55" s="356">
        <v>0</v>
      </c>
      <c r="S55" s="356">
        <v>0</v>
      </c>
      <c r="T55" s="356">
        <v>0</v>
      </c>
      <c r="U55" s="356">
        <v>0</v>
      </c>
      <c r="V55" s="356">
        <v>0</v>
      </c>
      <c r="W55" s="356">
        <v>0</v>
      </c>
      <c r="X55" s="356">
        <v>0</v>
      </c>
      <c r="Y55" s="356">
        <v>0</v>
      </c>
      <c r="Z55" s="356">
        <v>0</v>
      </c>
      <c r="AA55" s="356">
        <v>0</v>
      </c>
      <c r="AB55" s="356">
        <v>0</v>
      </c>
      <c r="AC55" s="356">
        <v>0</v>
      </c>
      <c r="AD55" s="356">
        <v>0</v>
      </c>
      <c r="AE55" s="356">
        <v>0</v>
      </c>
      <c r="AF55" s="356">
        <v>0</v>
      </c>
      <c r="AG55" s="356">
        <v>0</v>
      </c>
      <c r="AH55" s="356">
        <v>0</v>
      </c>
      <c r="AI55" s="356">
        <v>0</v>
      </c>
      <c r="AJ55" s="356">
        <v>0</v>
      </c>
      <c r="AK55" s="356">
        <v>0</v>
      </c>
      <c r="AL55" s="356">
        <v>0</v>
      </c>
      <c r="AM55" s="356">
        <v>0</v>
      </c>
      <c r="AN55" s="356">
        <v>0</v>
      </c>
      <c r="AO55" s="356">
        <v>0</v>
      </c>
      <c r="AP55" s="356">
        <v>0</v>
      </c>
      <c r="AQ55" s="356">
        <v>0</v>
      </c>
      <c r="AR55" s="356">
        <v>0</v>
      </c>
      <c r="AS55" s="356">
        <v>0</v>
      </c>
      <c r="AT55" s="356">
        <v>0</v>
      </c>
      <c r="AU55" s="356">
        <v>0</v>
      </c>
      <c r="AV55" s="356">
        <v>0</v>
      </c>
      <c r="AW55" s="356">
        <v>0</v>
      </c>
    </row>
    <row r="56" spans="3:49" x14ac:dyDescent="0.3">
      <c r="C56" s="356">
        <v>59</v>
      </c>
      <c r="D56" s="356">
        <v>6</v>
      </c>
      <c r="E56" s="356">
        <v>11</v>
      </c>
      <c r="F56" s="356">
        <v>12717.557251908398</v>
      </c>
      <c r="G56" s="356">
        <v>0</v>
      </c>
      <c r="H56" s="356">
        <v>0</v>
      </c>
      <c r="I56" s="356">
        <v>0</v>
      </c>
      <c r="J56" s="356">
        <v>1717.5572519083971</v>
      </c>
      <c r="K56" s="356">
        <v>0</v>
      </c>
      <c r="L56" s="356">
        <v>0</v>
      </c>
      <c r="M56" s="356">
        <v>0</v>
      </c>
      <c r="N56" s="356">
        <v>0</v>
      </c>
      <c r="O56" s="356">
        <v>11000</v>
      </c>
      <c r="P56" s="356">
        <v>0</v>
      </c>
      <c r="Q56" s="356">
        <v>0</v>
      </c>
      <c r="R56" s="356">
        <v>0</v>
      </c>
      <c r="S56" s="356">
        <v>0</v>
      </c>
      <c r="T56" s="356">
        <v>0</v>
      </c>
      <c r="U56" s="356">
        <v>0</v>
      </c>
      <c r="V56" s="356">
        <v>0</v>
      </c>
      <c r="W56" s="356">
        <v>0</v>
      </c>
      <c r="X56" s="356">
        <v>0</v>
      </c>
      <c r="Y56" s="356">
        <v>0</v>
      </c>
      <c r="Z56" s="356">
        <v>0</v>
      </c>
      <c r="AA56" s="356">
        <v>0</v>
      </c>
      <c r="AB56" s="356">
        <v>0</v>
      </c>
      <c r="AC56" s="356">
        <v>0</v>
      </c>
      <c r="AD56" s="356">
        <v>0</v>
      </c>
      <c r="AE56" s="356">
        <v>0</v>
      </c>
      <c r="AF56" s="356">
        <v>0</v>
      </c>
      <c r="AG56" s="356">
        <v>0</v>
      </c>
      <c r="AH56" s="356">
        <v>0</v>
      </c>
      <c r="AI56" s="356">
        <v>0</v>
      </c>
      <c r="AJ56" s="356">
        <v>0</v>
      </c>
      <c r="AK56" s="356">
        <v>0</v>
      </c>
      <c r="AL56" s="356">
        <v>0</v>
      </c>
      <c r="AM56" s="356">
        <v>0</v>
      </c>
      <c r="AN56" s="356">
        <v>0</v>
      </c>
      <c r="AO56" s="356">
        <v>0</v>
      </c>
      <c r="AP56" s="356">
        <v>0</v>
      </c>
      <c r="AQ56" s="356">
        <v>0</v>
      </c>
      <c r="AR56" s="356">
        <v>0</v>
      </c>
      <c r="AS56" s="356">
        <v>0</v>
      </c>
      <c r="AT56" s="356">
        <v>0</v>
      </c>
      <c r="AU56" s="356">
        <v>0</v>
      </c>
      <c r="AV56" s="356">
        <v>0</v>
      </c>
      <c r="AW56" s="356">
        <v>0</v>
      </c>
    </row>
    <row r="57" spans="3:49" x14ac:dyDescent="0.3">
      <c r="C57" s="356">
        <v>59</v>
      </c>
      <c r="D57" s="356">
        <v>7</v>
      </c>
      <c r="E57" s="356">
        <v>1</v>
      </c>
      <c r="F57" s="356">
        <v>58.15</v>
      </c>
      <c r="G57" s="356">
        <v>0</v>
      </c>
      <c r="H57" s="356">
        <v>0</v>
      </c>
      <c r="I57" s="356">
        <v>0</v>
      </c>
      <c r="J57" s="356">
        <v>1.8</v>
      </c>
      <c r="K57" s="356">
        <v>6.55</v>
      </c>
      <c r="L57" s="356">
        <v>0</v>
      </c>
      <c r="M57" s="356">
        <v>0</v>
      </c>
      <c r="N57" s="356">
        <v>0</v>
      </c>
      <c r="O57" s="356">
        <v>2</v>
      </c>
      <c r="P57" s="356">
        <v>13.3</v>
      </c>
      <c r="Q57" s="356">
        <v>19</v>
      </c>
      <c r="R57" s="356">
        <v>9.5</v>
      </c>
      <c r="S57" s="356">
        <v>0</v>
      </c>
      <c r="T57" s="356">
        <v>0</v>
      </c>
      <c r="U57" s="356">
        <v>0</v>
      </c>
      <c r="V57" s="356">
        <v>0</v>
      </c>
      <c r="W57" s="356">
        <v>0</v>
      </c>
      <c r="X57" s="356">
        <v>0</v>
      </c>
      <c r="Y57" s="356">
        <v>0</v>
      </c>
      <c r="Z57" s="356">
        <v>0</v>
      </c>
      <c r="AA57" s="356">
        <v>0</v>
      </c>
      <c r="AB57" s="356">
        <v>0</v>
      </c>
      <c r="AC57" s="356">
        <v>0</v>
      </c>
      <c r="AD57" s="356">
        <v>0</v>
      </c>
      <c r="AE57" s="356">
        <v>0</v>
      </c>
      <c r="AF57" s="356">
        <v>0</v>
      </c>
      <c r="AG57" s="356">
        <v>0</v>
      </c>
      <c r="AH57" s="356">
        <v>0</v>
      </c>
      <c r="AI57" s="356">
        <v>0</v>
      </c>
      <c r="AJ57" s="356">
        <v>0</v>
      </c>
      <c r="AK57" s="356">
        <v>0</v>
      </c>
      <c r="AL57" s="356">
        <v>0</v>
      </c>
      <c r="AM57" s="356">
        <v>0</v>
      </c>
      <c r="AN57" s="356">
        <v>0</v>
      </c>
      <c r="AO57" s="356">
        <v>3</v>
      </c>
      <c r="AP57" s="356">
        <v>0</v>
      </c>
      <c r="AQ57" s="356">
        <v>0</v>
      </c>
      <c r="AR57" s="356">
        <v>2</v>
      </c>
      <c r="AS57" s="356">
        <v>0</v>
      </c>
      <c r="AT57" s="356">
        <v>0</v>
      </c>
      <c r="AU57" s="356">
        <v>0</v>
      </c>
      <c r="AV57" s="356">
        <v>0</v>
      </c>
      <c r="AW57" s="356">
        <v>1</v>
      </c>
    </row>
    <row r="58" spans="3:49" x14ac:dyDescent="0.3">
      <c r="C58" s="356">
        <v>59</v>
      </c>
      <c r="D58" s="356">
        <v>7</v>
      </c>
      <c r="E58" s="356">
        <v>2</v>
      </c>
      <c r="F58" s="356">
        <v>7228.48</v>
      </c>
      <c r="G58" s="356">
        <v>0</v>
      </c>
      <c r="H58" s="356">
        <v>0</v>
      </c>
      <c r="I58" s="356">
        <v>0</v>
      </c>
      <c r="J58" s="356">
        <v>192.5</v>
      </c>
      <c r="K58" s="356">
        <v>844.65</v>
      </c>
      <c r="L58" s="356">
        <v>0</v>
      </c>
      <c r="M58" s="356">
        <v>0</v>
      </c>
      <c r="N58" s="356">
        <v>0</v>
      </c>
      <c r="O58" s="356">
        <v>315</v>
      </c>
      <c r="P58" s="356">
        <v>1601.39</v>
      </c>
      <c r="Q58" s="356">
        <v>2179.64</v>
      </c>
      <c r="R58" s="356">
        <v>1216.05</v>
      </c>
      <c r="S58" s="356">
        <v>0</v>
      </c>
      <c r="T58" s="356">
        <v>0</v>
      </c>
      <c r="U58" s="356">
        <v>0</v>
      </c>
      <c r="V58" s="356">
        <v>0</v>
      </c>
      <c r="W58" s="356">
        <v>0</v>
      </c>
      <c r="X58" s="356">
        <v>0</v>
      </c>
      <c r="Y58" s="356">
        <v>0</v>
      </c>
      <c r="Z58" s="356">
        <v>0</v>
      </c>
      <c r="AA58" s="356">
        <v>0</v>
      </c>
      <c r="AB58" s="356">
        <v>0</v>
      </c>
      <c r="AC58" s="356">
        <v>0</v>
      </c>
      <c r="AD58" s="356">
        <v>0</v>
      </c>
      <c r="AE58" s="356">
        <v>0</v>
      </c>
      <c r="AF58" s="356">
        <v>0</v>
      </c>
      <c r="AG58" s="356">
        <v>0</v>
      </c>
      <c r="AH58" s="356">
        <v>0</v>
      </c>
      <c r="AI58" s="356">
        <v>0</v>
      </c>
      <c r="AJ58" s="356">
        <v>0</v>
      </c>
      <c r="AK58" s="356">
        <v>0</v>
      </c>
      <c r="AL58" s="356">
        <v>0</v>
      </c>
      <c r="AM58" s="356">
        <v>0</v>
      </c>
      <c r="AN58" s="356">
        <v>0</v>
      </c>
      <c r="AO58" s="356">
        <v>484.5</v>
      </c>
      <c r="AP58" s="356">
        <v>0</v>
      </c>
      <c r="AQ58" s="356">
        <v>0</v>
      </c>
      <c r="AR58" s="356">
        <v>258.75</v>
      </c>
      <c r="AS58" s="356">
        <v>0</v>
      </c>
      <c r="AT58" s="356">
        <v>0</v>
      </c>
      <c r="AU58" s="356">
        <v>0</v>
      </c>
      <c r="AV58" s="356">
        <v>0</v>
      </c>
      <c r="AW58" s="356">
        <v>136</v>
      </c>
    </row>
    <row r="59" spans="3:49" x14ac:dyDescent="0.3">
      <c r="C59" s="356">
        <v>59</v>
      </c>
      <c r="D59" s="356">
        <v>7</v>
      </c>
      <c r="E59" s="356">
        <v>3</v>
      </c>
      <c r="F59" s="356">
        <v>273.26</v>
      </c>
      <c r="G59" s="356">
        <v>0</v>
      </c>
      <c r="H59" s="356">
        <v>0</v>
      </c>
      <c r="I59" s="356">
        <v>0</v>
      </c>
      <c r="J59" s="356">
        <v>20</v>
      </c>
      <c r="K59" s="356">
        <v>61</v>
      </c>
      <c r="L59" s="356">
        <v>0</v>
      </c>
      <c r="M59" s="356">
        <v>0</v>
      </c>
      <c r="N59" s="356">
        <v>0</v>
      </c>
      <c r="O59" s="356">
        <v>0</v>
      </c>
      <c r="P59" s="356">
        <v>27.26</v>
      </c>
      <c r="Q59" s="356">
        <v>110</v>
      </c>
      <c r="R59" s="356">
        <v>55</v>
      </c>
      <c r="S59" s="356">
        <v>0</v>
      </c>
      <c r="T59" s="356">
        <v>0</v>
      </c>
      <c r="U59" s="356">
        <v>0</v>
      </c>
      <c r="V59" s="356">
        <v>0</v>
      </c>
      <c r="W59" s="356">
        <v>0</v>
      </c>
      <c r="X59" s="356">
        <v>0</v>
      </c>
      <c r="Y59" s="356">
        <v>0</v>
      </c>
      <c r="Z59" s="356">
        <v>0</v>
      </c>
      <c r="AA59" s="356">
        <v>0</v>
      </c>
      <c r="AB59" s="356">
        <v>0</v>
      </c>
      <c r="AC59" s="356">
        <v>0</v>
      </c>
      <c r="AD59" s="356">
        <v>0</v>
      </c>
      <c r="AE59" s="356">
        <v>0</v>
      </c>
      <c r="AF59" s="356">
        <v>0</v>
      </c>
      <c r="AG59" s="356">
        <v>0</v>
      </c>
      <c r="AH59" s="356">
        <v>0</v>
      </c>
      <c r="AI59" s="356">
        <v>0</v>
      </c>
      <c r="AJ59" s="356">
        <v>0</v>
      </c>
      <c r="AK59" s="356">
        <v>0</v>
      </c>
      <c r="AL59" s="356">
        <v>0</v>
      </c>
      <c r="AM59" s="356">
        <v>0</v>
      </c>
      <c r="AN59" s="356">
        <v>0</v>
      </c>
      <c r="AO59" s="356">
        <v>0</v>
      </c>
      <c r="AP59" s="356">
        <v>0</v>
      </c>
      <c r="AQ59" s="356">
        <v>0</v>
      </c>
      <c r="AR59" s="356">
        <v>0</v>
      </c>
      <c r="AS59" s="356">
        <v>0</v>
      </c>
      <c r="AT59" s="356">
        <v>0</v>
      </c>
      <c r="AU59" s="356">
        <v>0</v>
      </c>
      <c r="AV59" s="356">
        <v>0</v>
      </c>
      <c r="AW59" s="356">
        <v>0</v>
      </c>
    </row>
    <row r="60" spans="3:49" x14ac:dyDescent="0.3">
      <c r="C60" s="356">
        <v>59</v>
      </c>
      <c r="D60" s="356">
        <v>7</v>
      </c>
      <c r="E60" s="356">
        <v>4</v>
      </c>
      <c r="F60" s="356">
        <v>701.33</v>
      </c>
      <c r="G60" s="356">
        <v>0</v>
      </c>
      <c r="H60" s="356">
        <v>0</v>
      </c>
      <c r="I60" s="356">
        <v>0</v>
      </c>
      <c r="J60" s="356">
        <v>19</v>
      </c>
      <c r="K60" s="356">
        <v>137</v>
      </c>
      <c r="L60" s="356">
        <v>0</v>
      </c>
      <c r="M60" s="356">
        <v>0</v>
      </c>
      <c r="N60" s="356">
        <v>0</v>
      </c>
      <c r="O60" s="356">
        <v>30</v>
      </c>
      <c r="P60" s="356">
        <v>123.33</v>
      </c>
      <c r="Q60" s="356">
        <v>230</v>
      </c>
      <c r="R60" s="356">
        <v>102</v>
      </c>
      <c r="S60" s="356">
        <v>0</v>
      </c>
      <c r="T60" s="356">
        <v>0</v>
      </c>
      <c r="U60" s="356">
        <v>0</v>
      </c>
      <c r="V60" s="356">
        <v>0</v>
      </c>
      <c r="W60" s="356">
        <v>0</v>
      </c>
      <c r="X60" s="356">
        <v>0</v>
      </c>
      <c r="Y60" s="356">
        <v>0</v>
      </c>
      <c r="Z60" s="356">
        <v>0</v>
      </c>
      <c r="AA60" s="356">
        <v>0</v>
      </c>
      <c r="AB60" s="356">
        <v>0</v>
      </c>
      <c r="AC60" s="356">
        <v>0</v>
      </c>
      <c r="AD60" s="356">
        <v>0</v>
      </c>
      <c r="AE60" s="356">
        <v>0</v>
      </c>
      <c r="AF60" s="356">
        <v>0</v>
      </c>
      <c r="AG60" s="356">
        <v>0</v>
      </c>
      <c r="AH60" s="356">
        <v>0</v>
      </c>
      <c r="AI60" s="356">
        <v>0</v>
      </c>
      <c r="AJ60" s="356">
        <v>0</v>
      </c>
      <c r="AK60" s="356">
        <v>0</v>
      </c>
      <c r="AL60" s="356">
        <v>0</v>
      </c>
      <c r="AM60" s="356">
        <v>0</v>
      </c>
      <c r="AN60" s="356">
        <v>0</v>
      </c>
      <c r="AO60" s="356">
        <v>35</v>
      </c>
      <c r="AP60" s="356">
        <v>0</v>
      </c>
      <c r="AQ60" s="356">
        <v>0</v>
      </c>
      <c r="AR60" s="356">
        <v>25</v>
      </c>
      <c r="AS60" s="356">
        <v>0</v>
      </c>
      <c r="AT60" s="356">
        <v>0</v>
      </c>
      <c r="AU60" s="356">
        <v>0</v>
      </c>
      <c r="AV60" s="356">
        <v>0</v>
      </c>
      <c r="AW60" s="356">
        <v>0</v>
      </c>
    </row>
    <row r="61" spans="3:49" x14ac:dyDescent="0.3">
      <c r="C61" s="356">
        <v>59</v>
      </c>
      <c r="D61" s="356">
        <v>7</v>
      </c>
      <c r="E61" s="356">
        <v>5</v>
      </c>
      <c r="F61" s="356">
        <v>48</v>
      </c>
      <c r="G61" s="356">
        <v>48</v>
      </c>
      <c r="H61" s="356">
        <v>0</v>
      </c>
      <c r="I61" s="356">
        <v>0</v>
      </c>
      <c r="J61" s="356">
        <v>0</v>
      </c>
      <c r="K61" s="356">
        <v>0</v>
      </c>
      <c r="L61" s="356">
        <v>0</v>
      </c>
      <c r="M61" s="356">
        <v>0</v>
      </c>
      <c r="N61" s="356">
        <v>0</v>
      </c>
      <c r="O61" s="356">
        <v>0</v>
      </c>
      <c r="P61" s="356">
        <v>0</v>
      </c>
      <c r="Q61" s="356">
        <v>0</v>
      </c>
      <c r="R61" s="356">
        <v>0</v>
      </c>
      <c r="S61" s="356">
        <v>0</v>
      </c>
      <c r="T61" s="356">
        <v>0</v>
      </c>
      <c r="U61" s="356">
        <v>0</v>
      </c>
      <c r="V61" s="356">
        <v>0</v>
      </c>
      <c r="W61" s="356">
        <v>0</v>
      </c>
      <c r="X61" s="356">
        <v>0</v>
      </c>
      <c r="Y61" s="356">
        <v>0</v>
      </c>
      <c r="Z61" s="356">
        <v>0</v>
      </c>
      <c r="AA61" s="356">
        <v>0</v>
      </c>
      <c r="AB61" s="356">
        <v>0</v>
      </c>
      <c r="AC61" s="356">
        <v>0</v>
      </c>
      <c r="AD61" s="356">
        <v>0</v>
      </c>
      <c r="AE61" s="356">
        <v>0</v>
      </c>
      <c r="AF61" s="356">
        <v>0</v>
      </c>
      <c r="AG61" s="356">
        <v>0</v>
      </c>
      <c r="AH61" s="356">
        <v>0</v>
      </c>
      <c r="AI61" s="356">
        <v>0</v>
      </c>
      <c r="AJ61" s="356">
        <v>0</v>
      </c>
      <c r="AK61" s="356">
        <v>0</v>
      </c>
      <c r="AL61" s="356">
        <v>0</v>
      </c>
      <c r="AM61" s="356">
        <v>0</v>
      </c>
      <c r="AN61" s="356">
        <v>0</v>
      </c>
      <c r="AO61" s="356">
        <v>0</v>
      </c>
      <c r="AP61" s="356">
        <v>0</v>
      </c>
      <c r="AQ61" s="356">
        <v>0</v>
      </c>
      <c r="AR61" s="356">
        <v>0</v>
      </c>
      <c r="AS61" s="356">
        <v>0</v>
      </c>
      <c r="AT61" s="356">
        <v>0</v>
      </c>
      <c r="AU61" s="356">
        <v>0</v>
      </c>
      <c r="AV61" s="356">
        <v>0</v>
      </c>
      <c r="AW61" s="356">
        <v>0</v>
      </c>
    </row>
    <row r="62" spans="3:49" x14ac:dyDescent="0.3">
      <c r="C62" s="356">
        <v>59</v>
      </c>
      <c r="D62" s="356">
        <v>7</v>
      </c>
      <c r="E62" s="356">
        <v>6</v>
      </c>
      <c r="F62" s="356">
        <v>3259178</v>
      </c>
      <c r="G62" s="356">
        <v>9600</v>
      </c>
      <c r="H62" s="356">
        <v>0</v>
      </c>
      <c r="I62" s="356">
        <v>0</v>
      </c>
      <c r="J62" s="356">
        <v>108558</v>
      </c>
      <c r="K62" s="356">
        <v>865571</v>
      </c>
      <c r="L62" s="356">
        <v>0</v>
      </c>
      <c r="M62" s="356">
        <v>0</v>
      </c>
      <c r="N62" s="356">
        <v>0</v>
      </c>
      <c r="O62" s="356">
        <v>45195</v>
      </c>
      <c r="P62" s="356">
        <v>532870</v>
      </c>
      <c r="Q62" s="356">
        <v>999405</v>
      </c>
      <c r="R62" s="356">
        <v>511390</v>
      </c>
      <c r="S62" s="356">
        <v>0</v>
      </c>
      <c r="T62" s="356">
        <v>0</v>
      </c>
      <c r="U62" s="356">
        <v>0</v>
      </c>
      <c r="V62" s="356">
        <v>0</v>
      </c>
      <c r="W62" s="356">
        <v>0</v>
      </c>
      <c r="X62" s="356">
        <v>0</v>
      </c>
      <c r="Y62" s="356">
        <v>0</v>
      </c>
      <c r="Z62" s="356">
        <v>0</v>
      </c>
      <c r="AA62" s="356">
        <v>0</v>
      </c>
      <c r="AB62" s="356">
        <v>0</v>
      </c>
      <c r="AC62" s="356">
        <v>0</v>
      </c>
      <c r="AD62" s="356">
        <v>0</v>
      </c>
      <c r="AE62" s="356">
        <v>0</v>
      </c>
      <c r="AF62" s="356">
        <v>0</v>
      </c>
      <c r="AG62" s="356">
        <v>0</v>
      </c>
      <c r="AH62" s="356">
        <v>0</v>
      </c>
      <c r="AI62" s="356">
        <v>0</v>
      </c>
      <c r="AJ62" s="356">
        <v>0</v>
      </c>
      <c r="AK62" s="356">
        <v>0</v>
      </c>
      <c r="AL62" s="356">
        <v>0</v>
      </c>
      <c r="AM62" s="356">
        <v>0</v>
      </c>
      <c r="AN62" s="356">
        <v>0</v>
      </c>
      <c r="AO62" s="356">
        <v>94832</v>
      </c>
      <c r="AP62" s="356">
        <v>0</v>
      </c>
      <c r="AQ62" s="356">
        <v>0</v>
      </c>
      <c r="AR62" s="356">
        <v>58813</v>
      </c>
      <c r="AS62" s="356">
        <v>0</v>
      </c>
      <c r="AT62" s="356">
        <v>0</v>
      </c>
      <c r="AU62" s="356">
        <v>0</v>
      </c>
      <c r="AV62" s="356">
        <v>0</v>
      </c>
      <c r="AW62" s="356">
        <v>32944</v>
      </c>
    </row>
    <row r="63" spans="3:49" x14ac:dyDescent="0.3">
      <c r="C63" s="356">
        <v>59</v>
      </c>
      <c r="D63" s="356">
        <v>7</v>
      </c>
      <c r="E63" s="356">
        <v>9</v>
      </c>
      <c r="F63" s="356">
        <v>673090</v>
      </c>
      <c r="G63" s="356">
        <v>0</v>
      </c>
      <c r="H63" s="356">
        <v>0</v>
      </c>
      <c r="I63" s="356">
        <v>0</v>
      </c>
      <c r="J63" s="356">
        <v>20463</v>
      </c>
      <c r="K63" s="356">
        <v>229468</v>
      </c>
      <c r="L63" s="356">
        <v>0</v>
      </c>
      <c r="M63" s="356">
        <v>0</v>
      </c>
      <c r="N63" s="356">
        <v>0</v>
      </c>
      <c r="O63" s="356">
        <v>0</v>
      </c>
      <c r="P63" s="356">
        <v>92186</v>
      </c>
      <c r="Q63" s="356">
        <v>177332</v>
      </c>
      <c r="R63" s="356">
        <v>116820</v>
      </c>
      <c r="S63" s="356">
        <v>0</v>
      </c>
      <c r="T63" s="356">
        <v>0</v>
      </c>
      <c r="U63" s="356">
        <v>0</v>
      </c>
      <c r="V63" s="356">
        <v>0</v>
      </c>
      <c r="W63" s="356">
        <v>0</v>
      </c>
      <c r="X63" s="356">
        <v>0</v>
      </c>
      <c r="Y63" s="356">
        <v>0</v>
      </c>
      <c r="Z63" s="356">
        <v>0</v>
      </c>
      <c r="AA63" s="356">
        <v>0</v>
      </c>
      <c r="AB63" s="356">
        <v>0</v>
      </c>
      <c r="AC63" s="356">
        <v>0</v>
      </c>
      <c r="AD63" s="356">
        <v>0</v>
      </c>
      <c r="AE63" s="356">
        <v>0</v>
      </c>
      <c r="AF63" s="356">
        <v>0</v>
      </c>
      <c r="AG63" s="356">
        <v>0</v>
      </c>
      <c r="AH63" s="356">
        <v>0</v>
      </c>
      <c r="AI63" s="356">
        <v>0</v>
      </c>
      <c r="AJ63" s="356">
        <v>0</v>
      </c>
      <c r="AK63" s="356">
        <v>0</v>
      </c>
      <c r="AL63" s="356">
        <v>0</v>
      </c>
      <c r="AM63" s="356">
        <v>0</v>
      </c>
      <c r="AN63" s="356">
        <v>0</v>
      </c>
      <c r="AO63" s="356">
        <v>18881</v>
      </c>
      <c r="AP63" s="356">
        <v>0</v>
      </c>
      <c r="AQ63" s="356">
        <v>0</v>
      </c>
      <c r="AR63" s="356">
        <v>11031</v>
      </c>
      <c r="AS63" s="356">
        <v>0</v>
      </c>
      <c r="AT63" s="356">
        <v>0</v>
      </c>
      <c r="AU63" s="356">
        <v>0</v>
      </c>
      <c r="AV63" s="356">
        <v>0</v>
      </c>
      <c r="AW63" s="356">
        <v>6909</v>
      </c>
    </row>
    <row r="64" spans="3:49" x14ac:dyDescent="0.3">
      <c r="C64" s="356">
        <v>59</v>
      </c>
      <c r="D64" s="356">
        <v>7</v>
      </c>
      <c r="E64" s="356">
        <v>10</v>
      </c>
      <c r="F64" s="356">
        <v>11892</v>
      </c>
      <c r="G64" s="356">
        <v>0</v>
      </c>
      <c r="H64" s="356">
        <v>0</v>
      </c>
      <c r="I64" s="356">
        <v>0</v>
      </c>
      <c r="J64" s="356">
        <v>4400</v>
      </c>
      <c r="K64" s="356">
        <v>0</v>
      </c>
      <c r="L64" s="356">
        <v>0</v>
      </c>
      <c r="M64" s="356">
        <v>0</v>
      </c>
      <c r="N64" s="356">
        <v>0</v>
      </c>
      <c r="O64" s="356">
        <v>7492</v>
      </c>
      <c r="P64" s="356">
        <v>0</v>
      </c>
      <c r="Q64" s="356">
        <v>0</v>
      </c>
      <c r="R64" s="356">
        <v>0</v>
      </c>
      <c r="S64" s="356">
        <v>0</v>
      </c>
      <c r="T64" s="356">
        <v>0</v>
      </c>
      <c r="U64" s="356">
        <v>0</v>
      </c>
      <c r="V64" s="356">
        <v>0</v>
      </c>
      <c r="W64" s="356">
        <v>0</v>
      </c>
      <c r="X64" s="356">
        <v>0</v>
      </c>
      <c r="Y64" s="356">
        <v>0</v>
      </c>
      <c r="Z64" s="356">
        <v>0</v>
      </c>
      <c r="AA64" s="356">
        <v>0</v>
      </c>
      <c r="AB64" s="356">
        <v>0</v>
      </c>
      <c r="AC64" s="356">
        <v>0</v>
      </c>
      <c r="AD64" s="356">
        <v>0</v>
      </c>
      <c r="AE64" s="356">
        <v>0</v>
      </c>
      <c r="AF64" s="356">
        <v>0</v>
      </c>
      <c r="AG64" s="356">
        <v>0</v>
      </c>
      <c r="AH64" s="356">
        <v>0</v>
      </c>
      <c r="AI64" s="356">
        <v>0</v>
      </c>
      <c r="AJ64" s="356">
        <v>0</v>
      </c>
      <c r="AK64" s="356">
        <v>0</v>
      </c>
      <c r="AL64" s="356">
        <v>0</v>
      </c>
      <c r="AM64" s="356">
        <v>0</v>
      </c>
      <c r="AN64" s="356">
        <v>0</v>
      </c>
      <c r="AO64" s="356">
        <v>0</v>
      </c>
      <c r="AP64" s="356">
        <v>0</v>
      </c>
      <c r="AQ64" s="356">
        <v>0</v>
      </c>
      <c r="AR64" s="356">
        <v>0</v>
      </c>
      <c r="AS64" s="356">
        <v>0</v>
      </c>
      <c r="AT64" s="356">
        <v>0</v>
      </c>
      <c r="AU64" s="356">
        <v>0</v>
      </c>
      <c r="AV64" s="356">
        <v>0</v>
      </c>
      <c r="AW64" s="356">
        <v>0</v>
      </c>
    </row>
    <row r="65" spans="3:49" x14ac:dyDescent="0.3">
      <c r="C65" s="356">
        <v>59</v>
      </c>
      <c r="D65" s="356">
        <v>7</v>
      </c>
      <c r="E65" s="356">
        <v>11</v>
      </c>
      <c r="F65" s="356">
        <v>12717.557251908398</v>
      </c>
      <c r="G65" s="356">
        <v>0</v>
      </c>
      <c r="H65" s="356">
        <v>0</v>
      </c>
      <c r="I65" s="356">
        <v>0</v>
      </c>
      <c r="J65" s="356">
        <v>1717.5572519083971</v>
      </c>
      <c r="K65" s="356">
        <v>0</v>
      </c>
      <c r="L65" s="356">
        <v>0</v>
      </c>
      <c r="M65" s="356">
        <v>0</v>
      </c>
      <c r="N65" s="356">
        <v>0</v>
      </c>
      <c r="O65" s="356">
        <v>11000</v>
      </c>
      <c r="P65" s="356">
        <v>0</v>
      </c>
      <c r="Q65" s="356">
        <v>0</v>
      </c>
      <c r="R65" s="356">
        <v>0</v>
      </c>
      <c r="S65" s="356">
        <v>0</v>
      </c>
      <c r="T65" s="356">
        <v>0</v>
      </c>
      <c r="U65" s="356">
        <v>0</v>
      </c>
      <c r="V65" s="356">
        <v>0</v>
      </c>
      <c r="W65" s="356">
        <v>0</v>
      </c>
      <c r="X65" s="356">
        <v>0</v>
      </c>
      <c r="Y65" s="356">
        <v>0</v>
      </c>
      <c r="Z65" s="356">
        <v>0</v>
      </c>
      <c r="AA65" s="356">
        <v>0</v>
      </c>
      <c r="AB65" s="356">
        <v>0</v>
      </c>
      <c r="AC65" s="356">
        <v>0</v>
      </c>
      <c r="AD65" s="356">
        <v>0</v>
      </c>
      <c r="AE65" s="356">
        <v>0</v>
      </c>
      <c r="AF65" s="356">
        <v>0</v>
      </c>
      <c r="AG65" s="356">
        <v>0</v>
      </c>
      <c r="AH65" s="356">
        <v>0</v>
      </c>
      <c r="AI65" s="356">
        <v>0</v>
      </c>
      <c r="AJ65" s="356">
        <v>0</v>
      </c>
      <c r="AK65" s="356">
        <v>0</v>
      </c>
      <c r="AL65" s="356">
        <v>0</v>
      </c>
      <c r="AM65" s="356">
        <v>0</v>
      </c>
      <c r="AN65" s="356">
        <v>0</v>
      </c>
      <c r="AO65" s="356">
        <v>0</v>
      </c>
      <c r="AP65" s="356">
        <v>0</v>
      </c>
      <c r="AQ65" s="356">
        <v>0</v>
      </c>
      <c r="AR65" s="356">
        <v>0</v>
      </c>
      <c r="AS65" s="356">
        <v>0</v>
      </c>
      <c r="AT65" s="356">
        <v>0</v>
      </c>
      <c r="AU65" s="356">
        <v>0</v>
      </c>
      <c r="AV65" s="356">
        <v>0</v>
      </c>
      <c r="AW65" s="356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pageSetUpPr fitToPage="1"/>
  </sheetPr>
  <dimension ref="A1:S7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x14ac:dyDescent="0.3"/>
  <cols>
    <col min="1" max="1" width="46.6640625" style="238" bestFit="1" customWidth="1"/>
    <col min="2" max="2" width="7.77734375" style="203" customWidth="1"/>
    <col min="3" max="3" width="0.109375" style="238" hidden="1" customWidth="1"/>
    <col min="4" max="4" width="7.77734375" style="203" customWidth="1"/>
    <col min="5" max="5" width="5.44140625" style="238" hidden="1" customWidth="1"/>
    <col min="6" max="6" width="7.77734375" style="203" customWidth="1"/>
    <col min="7" max="7" width="7.77734375" style="321" customWidth="1"/>
    <col min="8" max="8" width="7.77734375" style="203" customWidth="1"/>
    <col min="9" max="9" width="5.44140625" style="238" hidden="1" customWidth="1"/>
    <col min="10" max="10" width="7.77734375" style="203" customWidth="1"/>
    <col min="11" max="11" width="5.44140625" style="238" hidden="1" customWidth="1"/>
    <col min="12" max="12" width="7.77734375" style="203" customWidth="1"/>
    <col min="13" max="13" width="7.77734375" style="321" customWidth="1"/>
    <col min="14" max="14" width="7.77734375" style="203" customWidth="1"/>
    <col min="15" max="15" width="5" style="238" hidden="1" customWidth="1"/>
    <col min="16" max="16" width="7.77734375" style="203" customWidth="1"/>
    <col min="17" max="17" width="5" style="238" hidden="1" customWidth="1"/>
    <col min="18" max="18" width="7.77734375" style="203" customWidth="1"/>
    <col min="19" max="19" width="7.77734375" style="321" customWidth="1"/>
    <col min="20" max="16384" width="8.88671875" style="238"/>
  </cols>
  <sheetData>
    <row r="1" spans="1:19" ht="18.600000000000001" customHeight="1" thickBot="1" x14ac:dyDescent="0.4">
      <c r="A1" s="463" t="s">
        <v>140</v>
      </c>
      <c r="B1" s="454"/>
      <c r="C1" s="454"/>
      <c r="D1" s="454"/>
      <c r="E1" s="454"/>
      <c r="F1" s="454"/>
      <c r="G1" s="454"/>
      <c r="H1" s="454"/>
      <c r="I1" s="454"/>
      <c r="J1" s="454"/>
      <c r="K1" s="454"/>
      <c r="L1" s="454"/>
      <c r="M1" s="454"/>
      <c r="N1" s="454"/>
      <c r="O1" s="454"/>
      <c r="P1" s="454"/>
      <c r="Q1" s="454"/>
      <c r="R1" s="454"/>
      <c r="S1" s="454"/>
    </row>
    <row r="2" spans="1:19" ht="14.4" customHeight="1" thickBot="1" x14ac:dyDescent="0.35">
      <c r="A2" s="360" t="s">
        <v>280</v>
      </c>
      <c r="B2" s="333"/>
      <c r="C2" s="208"/>
      <c r="D2" s="333"/>
      <c r="E2" s="208"/>
      <c r="F2" s="333"/>
      <c r="G2" s="334"/>
      <c r="H2" s="333"/>
      <c r="I2" s="208"/>
      <c r="J2" s="333"/>
      <c r="K2" s="208"/>
      <c r="L2" s="333"/>
      <c r="M2" s="334"/>
      <c r="N2" s="333"/>
      <c r="O2" s="208"/>
      <c r="P2" s="333"/>
      <c r="Q2" s="208"/>
      <c r="R2" s="333"/>
      <c r="S2" s="334"/>
    </row>
    <row r="3" spans="1:19" ht="14.4" customHeight="1" thickBot="1" x14ac:dyDescent="0.35">
      <c r="A3" s="327" t="s">
        <v>142</v>
      </c>
      <c r="B3" s="328">
        <f>SUBTOTAL(9,B6:B1048576)</f>
        <v>25418103</v>
      </c>
      <c r="C3" s="329">
        <f t="shared" ref="C3:R3" si="0">SUBTOTAL(9,C6:C1048576)</f>
        <v>1</v>
      </c>
      <c r="D3" s="329">
        <f t="shared" si="0"/>
        <v>26364818</v>
      </c>
      <c r="E3" s="329">
        <f t="shared" si="0"/>
        <v>1.0372456984693152</v>
      </c>
      <c r="F3" s="329">
        <f t="shared" si="0"/>
        <v>26972010</v>
      </c>
      <c r="G3" s="332">
        <f>IF(B3&lt;&gt;0,F3/B3,"")</f>
        <v>1.0611338698249826</v>
      </c>
      <c r="H3" s="328">
        <f t="shared" si="0"/>
        <v>3831556.6799999992</v>
      </c>
      <c r="I3" s="329">
        <f t="shared" si="0"/>
        <v>1</v>
      </c>
      <c r="J3" s="329">
        <f t="shared" si="0"/>
        <v>5029950.0599999968</v>
      </c>
      <c r="K3" s="329">
        <f t="shared" si="0"/>
        <v>1.3127693206929143</v>
      </c>
      <c r="L3" s="329">
        <f t="shared" si="0"/>
        <v>7224727.8499999987</v>
      </c>
      <c r="M3" s="330">
        <f>IF(H3&lt;&gt;0,L3/H3,"")</f>
        <v>1.8855855343891195</v>
      </c>
      <c r="N3" s="331">
        <f t="shared" si="0"/>
        <v>0</v>
      </c>
      <c r="O3" s="329">
        <f t="shared" si="0"/>
        <v>0</v>
      </c>
      <c r="P3" s="329">
        <f t="shared" si="0"/>
        <v>0</v>
      </c>
      <c r="Q3" s="329">
        <f t="shared" si="0"/>
        <v>0</v>
      </c>
      <c r="R3" s="329">
        <f t="shared" si="0"/>
        <v>0</v>
      </c>
      <c r="S3" s="330" t="str">
        <f>IF(N3&lt;&gt;0,R3/N3,"")</f>
        <v/>
      </c>
    </row>
    <row r="4" spans="1:19" ht="14.4" customHeight="1" x14ac:dyDescent="0.3">
      <c r="A4" s="512" t="s">
        <v>116</v>
      </c>
      <c r="B4" s="513" t="s">
        <v>110</v>
      </c>
      <c r="C4" s="514"/>
      <c r="D4" s="514"/>
      <c r="E4" s="514"/>
      <c r="F4" s="514"/>
      <c r="G4" s="515"/>
      <c r="H4" s="513" t="s">
        <v>111</v>
      </c>
      <c r="I4" s="514"/>
      <c r="J4" s="514"/>
      <c r="K4" s="514"/>
      <c r="L4" s="514"/>
      <c r="M4" s="515"/>
      <c r="N4" s="513" t="s">
        <v>112</v>
      </c>
      <c r="O4" s="514"/>
      <c r="P4" s="514"/>
      <c r="Q4" s="514"/>
      <c r="R4" s="514"/>
      <c r="S4" s="515"/>
    </row>
    <row r="5" spans="1:19" ht="14.4" customHeight="1" thickBot="1" x14ac:dyDescent="0.35">
      <c r="A5" s="700"/>
      <c r="B5" s="701">
        <v>2014</v>
      </c>
      <c r="C5" s="702"/>
      <c r="D5" s="702">
        <v>2015</v>
      </c>
      <c r="E5" s="702"/>
      <c r="F5" s="702">
        <v>2016</v>
      </c>
      <c r="G5" s="703" t="s">
        <v>2</v>
      </c>
      <c r="H5" s="701">
        <v>2014</v>
      </c>
      <c r="I5" s="702"/>
      <c r="J5" s="702">
        <v>2015</v>
      </c>
      <c r="K5" s="702"/>
      <c r="L5" s="702">
        <v>2016</v>
      </c>
      <c r="M5" s="703" t="s">
        <v>2</v>
      </c>
      <c r="N5" s="701">
        <v>2014</v>
      </c>
      <c r="O5" s="702"/>
      <c r="P5" s="702">
        <v>2015</v>
      </c>
      <c r="Q5" s="702"/>
      <c r="R5" s="702">
        <v>2016</v>
      </c>
      <c r="S5" s="703" t="s">
        <v>2</v>
      </c>
    </row>
    <row r="6" spans="1:19" ht="14.4" customHeight="1" x14ac:dyDescent="0.3">
      <c r="A6" s="644" t="s">
        <v>3008</v>
      </c>
      <c r="B6" s="704"/>
      <c r="C6" s="610"/>
      <c r="D6" s="704"/>
      <c r="E6" s="610"/>
      <c r="F6" s="704">
        <v>372</v>
      </c>
      <c r="G6" s="632"/>
      <c r="H6" s="704"/>
      <c r="I6" s="610"/>
      <c r="J6" s="704"/>
      <c r="K6" s="610"/>
      <c r="L6" s="704"/>
      <c r="M6" s="632"/>
      <c r="N6" s="704"/>
      <c r="O6" s="610"/>
      <c r="P6" s="704"/>
      <c r="Q6" s="610"/>
      <c r="R6" s="704"/>
      <c r="S6" s="656"/>
    </row>
    <row r="7" spans="1:19" ht="14.4" customHeight="1" thickBot="1" x14ac:dyDescent="0.35">
      <c r="A7" s="706" t="s">
        <v>2392</v>
      </c>
      <c r="B7" s="705">
        <v>25418103</v>
      </c>
      <c r="C7" s="622">
        <v>1</v>
      </c>
      <c r="D7" s="705">
        <v>26364818</v>
      </c>
      <c r="E7" s="622">
        <v>1.0372456984693152</v>
      </c>
      <c r="F7" s="705">
        <v>26971638</v>
      </c>
      <c r="G7" s="633">
        <v>1.0611192345864677</v>
      </c>
      <c r="H7" s="705">
        <v>3831556.6799999992</v>
      </c>
      <c r="I7" s="622">
        <v>1</v>
      </c>
      <c r="J7" s="705">
        <v>5029950.0599999968</v>
      </c>
      <c r="K7" s="622">
        <v>1.3127693206929143</v>
      </c>
      <c r="L7" s="705">
        <v>7224727.8499999987</v>
      </c>
      <c r="M7" s="633">
        <v>1.8855855343891195</v>
      </c>
      <c r="N7" s="705"/>
      <c r="O7" s="622"/>
      <c r="P7" s="705"/>
      <c r="Q7" s="622"/>
      <c r="R7" s="705"/>
      <c r="S7" s="657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pageSetUpPr fitToPage="1"/>
  </sheetPr>
  <dimension ref="A1:Q519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x14ac:dyDescent="0.3"/>
  <cols>
    <col min="1" max="1" width="3" style="238" bestFit="1" customWidth="1"/>
    <col min="2" max="2" width="8.6640625" style="238" bestFit="1" customWidth="1"/>
    <col min="3" max="3" width="2.109375" style="238" bestFit="1" customWidth="1"/>
    <col min="4" max="4" width="8" style="238" bestFit="1" customWidth="1"/>
    <col min="5" max="5" width="52.88671875" style="238" bestFit="1" customWidth="1"/>
    <col min="6" max="7" width="11.109375" style="318" customWidth="1"/>
    <col min="8" max="9" width="9.33203125" style="318" hidden="1" customWidth="1"/>
    <col min="10" max="11" width="11.109375" style="318" customWidth="1"/>
    <col min="12" max="13" width="9.33203125" style="318" hidden="1" customWidth="1"/>
    <col min="14" max="15" width="11.109375" style="318" customWidth="1"/>
    <col min="16" max="16" width="11.109375" style="321" customWidth="1"/>
    <col min="17" max="17" width="11.109375" style="318" customWidth="1"/>
    <col min="18" max="16384" width="8.88671875" style="238"/>
  </cols>
  <sheetData>
    <row r="1" spans="1:17" ht="18.600000000000001" customHeight="1" thickBot="1" x14ac:dyDescent="0.4">
      <c r="A1" s="454" t="s">
        <v>3908</v>
      </c>
      <c r="B1" s="454"/>
      <c r="C1" s="454"/>
      <c r="D1" s="454"/>
      <c r="E1" s="454"/>
      <c r="F1" s="454"/>
      <c r="G1" s="454"/>
      <c r="H1" s="454"/>
      <c r="I1" s="454"/>
      <c r="J1" s="454"/>
      <c r="K1" s="454"/>
      <c r="L1" s="454"/>
      <c r="M1" s="454"/>
      <c r="N1" s="454"/>
      <c r="O1" s="454"/>
      <c r="P1" s="454"/>
      <c r="Q1" s="454"/>
    </row>
    <row r="2" spans="1:17" ht="14.4" customHeight="1" thickBot="1" x14ac:dyDescent="0.35">
      <c r="A2" s="360" t="s">
        <v>280</v>
      </c>
      <c r="B2" s="239"/>
      <c r="C2" s="239"/>
      <c r="D2" s="239"/>
      <c r="E2" s="239"/>
      <c r="F2" s="335"/>
      <c r="G2" s="335"/>
      <c r="H2" s="335"/>
      <c r="I2" s="335"/>
      <c r="J2" s="335"/>
      <c r="K2" s="335"/>
      <c r="L2" s="335"/>
      <c r="M2" s="335"/>
      <c r="N2" s="335"/>
      <c r="O2" s="335"/>
      <c r="P2" s="336"/>
      <c r="Q2" s="335"/>
    </row>
    <row r="3" spans="1:17" ht="14.4" customHeight="1" thickBot="1" x14ac:dyDescent="0.35">
      <c r="E3" s="97" t="s">
        <v>142</v>
      </c>
      <c r="F3" s="195">
        <f t="shared" ref="F3:O3" si="0">SUBTOTAL(9,F6:F1048576)</f>
        <v>9014.77</v>
      </c>
      <c r="G3" s="196">
        <f t="shared" si="0"/>
        <v>29249659.68</v>
      </c>
      <c r="H3" s="196"/>
      <c r="I3" s="196"/>
      <c r="J3" s="196">
        <f t="shared" si="0"/>
        <v>9135.23</v>
      </c>
      <c r="K3" s="196">
        <f t="shared" si="0"/>
        <v>31394768.060000002</v>
      </c>
      <c r="L3" s="196"/>
      <c r="M3" s="196"/>
      <c r="N3" s="196">
        <f t="shared" si="0"/>
        <v>10162.58</v>
      </c>
      <c r="O3" s="196">
        <f t="shared" si="0"/>
        <v>34196737.850000001</v>
      </c>
      <c r="P3" s="70">
        <f>IF(G3=0,0,O3/G3)</f>
        <v>1.1691328454458108</v>
      </c>
      <c r="Q3" s="197">
        <f>IF(N3=0,0,O3/N3)</f>
        <v>3364.9661650879993</v>
      </c>
    </row>
    <row r="4" spans="1:17" ht="14.4" customHeight="1" x14ac:dyDescent="0.3">
      <c r="A4" s="518" t="s">
        <v>61</v>
      </c>
      <c r="B4" s="517" t="s">
        <v>106</v>
      </c>
      <c r="C4" s="518" t="s">
        <v>107</v>
      </c>
      <c r="D4" s="522" t="s">
        <v>108</v>
      </c>
      <c r="E4" s="519" t="s">
        <v>68</v>
      </c>
      <c r="F4" s="520">
        <v>2014</v>
      </c>
      <c r="G4" s="521"/>
      <c r="H4" s="198"/>
      <c r="I4" s="198"/>
      <c r="J4" s="520">
        <v>2015</v>
      </c>
      <c r="K4" s="521"/>
      <c r="L4" s="198"/>
      <c r="M4" s="198"/>
      <c r="N4" s="520">
        <v>2016</v>
      </c>
      <c r="O4" s="521"/>
      <c r="P4" s="523" t="s">
        <v>2</v>
      </c>
      <c r="Q4" s="516" t="s">
        <v>109</v>
      </c>
    </row>
    <row r="5" spans="1:17" ht="14.4" customHeight="1" thickBot="1" x14ac:dyDescent="0.35">
      <c r="A5" s="707"/>
      <c r="B5" s="708"/>
      <c r="C5" s="707"/>
      <c r="D5" s="709"/>
      <c r="E5" s="710"/>
      <c r="F5" s="711" t="s">
        <v>78</v>
      </c>
      <c r="G5" s="712" t="s">
        <v>14</v>
      </c>
      <c r="H5" s="713"/>
      <c r="I5" s="713"/>
      <c r="J5" s="711" t="s">
        <v>78</v>
      </c>
      <c r="K5" s="712" t="s">
        <v>14</v>
      </c>
      <c r="L5" s="713"/>
      <c r="M5" s="713"/>
      <c r="N5" s="711" t="s">
        <v>78</v>
      </c>
      <c r="O5" s="712" t="s">
        <v>14</v>
      </c>
      <c r="P5" s="714"/>
      <c r="Q5" s="715"/>
    </row>
    <row r="6" spans="1:17" ht="14.4" customHeight="1" x14ac:dyDescent="0.3">
      <c r="A6" s="609" t="s">
        <v>3009</v>
      </c>
      <c r="B6" s="610" t="s">
        <v>3010</v>
      </c>
      <c r="C6" s="610" t="s">
        <v>3011</v>
      </c>
      <c r="D6" s="610" t="s">
        <v>3012</v>
      </c>
      <c r="E6" s="610" t="s">
        <v>3013</v>
      </c>
      <c r="F6" s="613"/>
      <c r="G6" s="613"/>
      <c r="H6" s="613"/>
      <c r="I6" s="613"/>
      <c r="J6" s="613"/>
      <c r="K6" s="613"/>
      <c r="L6" s="613"/>
      <c r="M6" s="613"/>
      <c r="N6" s="613">
        <v>1</v>
      </c>
      <c r="O6" s="613">
        <v>372</v>
      </c>
      <c r="P6" s="632"/>
      <c r="Q6" s="614">
        <v>372</v>
      </c>
    </row>
    <row r="7" spans="1:17" ht="14.4" customHeight="1" x14ac:dyDescent="0.3">
      <c r="A7" s="615" t="s">
        <v>471</v>
      </c>
      <c r="B7" s="616" t="s">
        <v>3014</v>
      </c>
      <c r="C7" s="616" t="s">
        <v>3011</v>
      </c>
      <c r="D7" s="616" t="s">
        <v>3015</v>
      </c>
      <c r="E7" s="616" t="s">
        <v>3016</v>
      </c>
      <c r="F7" s="619">
        <v>1</v>
      </c>
      <c r="G7" s="619">
        <v>611</v>
      </c>
      <c r="H7" s="619">
        <v>1</v>
      </c>
      <c r="I7" s="619">
        <v>611</v>
      </c>
      <c r="J7" s="619"/>
      <c r="K7" s="619"/>
      <c r="L7" s="619"/>
      <c r="M7" s="619"/>
      <c r="N7" s="619"/>
      <c r="O7" s="619"/>
      <c r="P7" s="640"/>
      <c r="Q7" s="620"/>
    </row>
    <row r="8" spans="1:17" ht="14.4" customHeight="1" x14ac:dyDescent="0.3">
      <c r="A8" s="615" t="s">
        <v>471</v>
      </c>
      <c r="B8" s="616" t="s">
        <v>3014</v>
      </c>
      <c r="C8" s="616" t="s">
        <v>3011</v>
      </c>
      <c r="D8" s="616" t="s">
        <v>3017</v>
      </c>
      <c r="E8" s="616" t="s">
        <v>3018</v>
      </c>
      <c r="F8" s="619">
        <v>3</v>
      </c>
      <c r="G8" s="619">
        <v>117</v>
      </c>
      <c r="H8" s="619">
        <v>1</v>
      </c>
      <c r="I8" s="619">
        <v>39</v>
      </c>
      <c r="J8" s="619"/>
      <c r="K8" s="619"/>
      <c r="L8" s="619"/>
      <c r="M8" s="619"/>
      <c r="N8" s="619"/>
      <c r="O8" s="619"/>
      <c r="P8" s="640"/>
      <c r="Q8" s="620"/>
    </row>
    <row r="9" spans="1:17" ht="14.4" customHeight="1" x14ac:dyDescent="0.3">
      <c r="A9" s="615" t="s">
        <v>471</v>
      </c>
      <c r="B9" s="616" t="s">
        <v>3014</v>
      </c>
      <c r="C9" s="616" t="s">
        <v>3011</v>
      </c>
      <c r="D9" s="616" t="s">
        <v>3019</v>
      </c>
      <c r="E9" s="616" t="s">
        <v>3020</v>
      </c>
      <c r="F9" s="619">
        <v>2</v>
      </c>
      <c r="G9" s="619">
        <v>1383</v>
      </c>
      <c r="H9" s="619">
        <v>1</v>
      </c>
      <c r="I9" s="619">
        <v>691.5</v>
      </c>
      <c r="J9" s="619"/>
      <c r="K9" s="619"/>
      <c r="L9" s="619"/>
      <c r="M9" s="619"/>
      <c r="N9" s="619"/>
      <c r="O9" s="619"/>
      <c r="P9" s="640"/>
      <c r="Q9" s="620"/>
    </row>
    <row r="10" spans="1:17" ht="14.4" customHeight="1" x14ac:dyDescent="0.3">
      <c r="A10" s="615" t="s">
        <v>471</v>
      </c>
      <c r="B10" s="616" t="s">
        <v>3021</v>
      </c>
      <c r="C10" s="616" t="s">
        <v>3011</v>
      </c>
      <c r="D10" s="616" t="s">
        <v>3022</v>
      </c>
      <c r="E10" s="616" t="s">
        <v>3023</v>
      </c>
      <c r="F10" s="619">
        <v>1</v>
      </c>
      <c r="G10" s="619">
        <v>2444</v>
      </c>
      <c r="H10" s="619">
        <v>1</v>
      </c>
      <c r="I10" s="619">
        <v>2444</v>
      </c>
      <c r="J10" s="619"/>
      <c r="K10" s="619"/>
      <c r="L10" s="619"/>
      <c r="M10" s="619"/>
      <c r="N10" s="619"/>
      <c r="O10" s="619"/>
      <c r="P10" s="640"/>
      <c r="Q10" s="620"/>
    </row>
    <row r="11" spans="1:17" ht="14.4" customHeight="1" x14ac:dyDescent="0.3">
      <c r="A11" s="615" t="s">
        <v>471</v>
      </c>
      <c r="B11" s="616" t="s">
        <v>3021</v>
      </c>
      <c r="C11" s="616" t="s">
        <v>3011</v>
      </c>
      <c r="D11" s="616" t="s">
        <v>3024</v>
      </c>
      <c r="E11" s="616" t="s">
        <v>3025</v>
      </c>
      <c r="F11" s="619"/>
      <c r="G11" s="619"/>
      <c r="H11" s="619"/>
      <c r="I11" s="619"/>
      <c r="J11" s="619">
        <v>2</v>
      </c>
      <c r="K11" s="619">
        <v>6976</v>
      </c>
      <c r="L11" s="619"/>
      <c r="M11" s="619">
        <v>3488</v>
      </c>
      <c r="N11" s="619"/>
      <c r="O11" s="619"/>
      <c r="P11" s="640"/>
      <c r="Q11" s="620"/>
    </row>
    <row r="12" spans="1:17" ht="14.4" customHeight="1" x14ac:dyDescent="0.3">
      <c r="A12" s="615" t="s">
        <v>471</v>
      </c>
      <c r="B12" s="616" t="s">
        <v>3021</v>
      </c>
      <c r="C12" s="616" t="s">
        <v>3011</v>
      </c>
      <c r="D12" s="616" t="s">
        <v>3026</v>
      </c>
      <c r="E12" s="616" t="s">
        <v>3027</v>
      </c>
      <c r="F12" s="619">
        <v>19</v>
      </c>
      <c r="G12" s="619">
        <v>51092</v>
      </c>
      <c r="H12" s="619">
        <v>1</v>
      </c>
      <c r="I12" s="619">
        <v>2689.0526315789475</v>
      </c>
      <c r="J12" s="619">
        <v>29</v>
      </c>
      <c r="K12" s="619">
        <v>78242</v>
      </c>
      <c r="L12" s="619">
        <v>1.5313943474516558</v>
      </c>
      <c r="M12" s="619">
        <v>2698</v>
      </c>
      <c r="N12" s="619">
        <v>21</v>
      </c>
      <c r="O12" s="619">
        <v>58170</v>
      </c>
      <c r="P12" s="640">
        <v>1.1385344085179676</v>
      </c>
      <c r="Q12" s="620">
        <v>2770</v>
      </c>
    </row>
    <row r="13" spans="1:17" ht="14.4" customHeight="1" x14ac:dyDescent="0.3">
      <c r="A13" s="615" t="s">
        <v>471</v>
      </c>
      <c r="B13" s="616" t="s">
        <v>3021</v>
      </c>
      <c r="C13" s="616" t="s">
        <v>3011</v>
      </c>
      <c r="D13" s="616" t="s">
        <v>3028</v>
      </c>
      <c r="E13" s="616" t="s">
        <v>3029</v>
      </c>
      <c r="F13" s="619">
        <v>4</v>
      </c>
      <c r="G13" s="619">
        <v>23896</v>
      </c>
      <c r="H13" s="619">
        <v>1</v>
      </c>
      <c r="I13" s="619">
        <v>5974</v>
      </c>
      <c r="J13" s="619">
        <v>5</v>
      </c>
      <c r="K13" s="619">
        <v>29945</v>
      </c>
      <c r="L13" s="619">
        <v>1.2531386006026113</v>
      </c>
      <c r="M13" s="619">
        <v>5989</v>
      </c>
      <c r="N13" s="619">
        <v>10</v>
      </c>
      <c r="O13" s="619">
        <v>61700</v>
      </c>
      <c r="P13" s="640">
        <v>2.5820220957482425</v>
      </c>
      <c r="Q13" s="620">
        <v>6170</v>
      </c>
    </row>
    <row r="14" spans="1:17" ht="14.4" customHeight="1" x14ac:dyDescent="0.3">
      <c r="A14" s="615" t="s">
        <v>471</v>
      </c>
      <c r="B14" s="616" t="s">
        <v>3021</v>
      </c>
      <c r="C14" s="616" t="s">
        <v>3011</v>
      </c>
      <c r="D14" s="616" t="s">
        <v>3030</v>
      </c>
      <c r="E14" s="616" t="s">
        <v>3031</v>
      </c>
      <c r="F14" s="619">
        <v>2</v>
      </c>
      <c r="G14" s="619">
        <v>6228</v>
      </c>
      <c r="H14" s="619">
        <v>1</v>
      </c>
      <c r="I14" s="619">
        <v>3114</v>
      </c>
      <c r="J14" s="619">
        <v>1</v>
      </c>
      <c r="K14" s="619">
        <v>3123</v>
      </c>
      <c r="L14" s="619">
        <v>0.50144508670520227</v>
      </c>
      <c r="M14" s="619">
        <v>3123</v>
      </c>
      <c r="N14" s="619"/>
      <c r="O14" s="619"/>
      <c r="P14" s="640"/>
      <c r="Q14" s="620"/>
    </row>
    <row r="15" spans="1:17" ht="14.4" customHeight="1" x14ac:dyDescent="0.3">
      <c r="A15" s="615" t="s">
        <v>471</v>
      </c>
      <c r="B15" s="616" t="s">
        <v>3021</v>
      </c>
      <c r="C15" s="616" t="s">
        <v>3011</v>
      </c>
      <c r="D15" s="616" t="s">
        <v>530</v>
      </c>
      <c r="E15" s="616" t="s">
        <v>3032</v>
      </c>
      <c r="F15" s="619">
        <v>5</v>
      </c>
      <c r="G15" s="619">
        <v>11878</v>
      </c>
      <c r="H15" s="619">
        <v>1</v>
      </c>
      <c r="I15" s="619">
        <v>2375.6</v>
      </c>
      <c r="J15" s="619"/>
      <c r="K15" s="619"/>
      <c r="L15" s="619"/>
      <c r="M15" s="619"/>
      <c r="N15" s="619">
        <v>1</v>
      </c>
      <c r="O15" s="619">
        <v>2462</v>
      </c>
      <c r="P15" s="640">
        <v>0.20727395184374472</v>
      </c>
      <c r="Q15" s="620">
        <v>2462</v>
      </c>
    </row>
    <row r="16" spans="1:17" ht="14.4" customHeight="1" x14ac:dyDescent="0.3">
      <c r="A16" s="615" t="s">
        <v>471</v>
      </c>
      <c r="B16" s="616" t="s">
        <v>3021</v>
      </c>
      <c r="C16" s="616" t="s">
        <v>3011</v>
      </c>
      <c r="D16" s="616" t="s">
        <v>3033</v>
      </c>
      <c r="E16" s="616" t="s">
        <v>3034</v>
      </c>
      <c r="F16" s="619">
        <v>1</v>
      </c>
      <c r="G16" s="619">
        <v>3340</v>
      </c>
      <c r="H16" s="619">
        <v>1</v>
      </c>
      <c r="I16" s="619">
        <v>3340</v>
      </c>
      <c r="J16" s="619"/>
      <c r="K16" s="619"/>
      <c r="L16" s="619"/>
      <c r="M16" s="619"/>
      <c r="N16" s="619"/>
      <c r="O16" s="619"/>
      <c r="P16" s="640"/>
      <c r="Q16" s="620"/>
    </row>
    <row r="17" spans="1:17" ht="14.4" customHeight="1" x14ac:dyDescent="0.3">
      <c r="A17" s="615" t="s">
        <v>471</v>
      </c>
      <c r="B17" s="616" t="s">
        <v>3021</v>
      </c>
      <c r="C17" s="616" t="s">
        <v>3011</v>
      </c>
      <c r="D17" s="616" t="s">
        <v>3035</v>
      </c>
      <c r="E17" s="616" t="s">
        <v>3036</v>
      </c>
      <c r="F17" s="619">
        <v>1</v>
      </c>
      <c r="G17" s="619">
        <v>4218</v>
      </c>
      <c r="H17" s="619">
        <v>1</v>
      </c>
      <c r="I17" s="619">
        <v>4218</v>
      </c>
      <c r="J17" s="619"/>
      <c r="K17" s="619"/>
      <c r="L17" s="619"/>
      <c r="M17" s="619"/>
      <c r="N17" s="619"/>
      <c r="O17" s="619"/>
      <c r="P17" s="640"/>
      <c r="Q17" s="620"/>
    </row>
    <row r="18" spans="1:17" ht="14.4" customHeight="1" x14ac:dyDescent="0.3">
      <c r="A18" s="615" t="s">
        <v>471</v>
      </c>
      <c r="B18" s="616" t="s">
        <v>3021</v>
      </c>
      <c r="C18" s="616" t="s">
        <v>3011</v>
      </c>
      <c r="D18" s="616" t="s">
        <v>3037</v>
      </c>
      <c r="E18" s="616" t="s">
        <v>3038</v>
      </c>
      <c r="F18" s="619">
        <v>15</v>
      </c>
      <c r="G18" s="619">
        <v>30991</v>
      </c>
      <c r="H18" s="619">
        <v>1</v>
      </c>
      <c r="I18" s="619">
        <v>2066.0666666666666</v>
      </c>
      <c r="J18" s="619">
        <v>14</v>
      </c>
      <c r="K18" s="619">
        <v>29022</v>
      </c>
      <c r="L18" s="619">
        <v>0.93646542544609723</v>
      </c>
      <c r="M18" s="619">
        <v>2073</v>
      </c>
      <c r="N18" s="619">
        <v>14</v>
      </c>
      <c r="O18" s="619">
        <v>30030</v>
      </c>
      <c r="P18" s="640">
        <v>0.96899099738633798</v>
      </c>
      <c r="Q18" s="620">
        <v>2145</v>
      </c>
    </row>
    <row r="19" spans="1:17" ht="14.4" customHeight="1" x14ac:dyDescent="0.3">
      <c r="A19" s="615" t="s">
        <v>471</v>
      </c>
      <c r="B19" s="616" t="s">
        <v>3021</v>
      </c>
      <c r="C19" s="616" t="s">
        <v>3011</v>
      </c>
      <c r="D19" s="616" t="s">
        <v>3039</v>
      </c>
      <c r="E19" s="616" t="s">
        <v>3040</v>
      </c>
      <c r="F19" s="619">
        <v>4</v>
      </c>
      <c r="G19" s="619">
        <v>6495</v>
      </c>
      <c r="H19" s="619">
        <v>1</v>
      </c>
      <c r="I19" s="619">
        <v>1623.75</v>
      </c>
      <c r="J19" s="619">
        <v>6</v>
      </c>
      <c r="K19" s="619">
        <v>9780</v>
      </c>
      <c r="L19" s="619">
        <v>1.5057736720554273</v>
      </c>
      <c r="M19" s="619">
        <v>1630</v>
      </c>
      <c r="N19" s="619">
        <v>1</v>
      </c>
      <c r="O19" s="619">
        <v>1678</v>
      </c>
      <c r="P19" s="640">
        <v>0.25835257890685143</v>
      </c>
      <c r="Q19" s="620">
        <v>1678</v>
      </c>
    </row>
    <row r="20" spans="1:17" ht="14.4" customHeight="1" x14ac:dyDescent="0.3">
      <c r="A20" s="615" t="s">
        <v>471</v>
      </c>
      <c r="B20" s="616" t="s">
        <v>3021</v>
      </c>
      <c r="C20" s="616" t="s">
        <v>3011</v>
      </c>
      <c r="D20" s="616" t="s">
        <v>3041</v>
      </c>
      <c r="E20" s="616" t="s">
        <v>3042</v>
      </c>
      <c r="F20" s="619">
        <v>2</v>
      </c>
      <c r="G20" s="619">
        <v>4472</v>
      </c>
      <c r="H20" s="619">
        <v>1</v>
      </c>
      <c r="I20" s="619">
        <v>2236</v>
      </c>
      <c r="J20" s="619">
        <v>6</v>
      </c>
      <c r="K20" s="619">
        <v>13452</v>
      </c>
      <c r="L20" s="619">
        <v>3.0080500894454385</v>
      </c>
      <c r="M20" s="619">
        <v>2242</v>
      </c>
      <c r="N20" s="619">
        <v>6</v>
      </c>
      <c r="O20" s="619">
        <v>13884</v>
      </c>
      <c r="P20" s="640">
        <v>3.1046511627906979</v>
      </c>
      <c r="Q20" s="620">
        <v>2314</v>
      </c>
    </row>
    <row r="21" spans="1:17" ht="14.4" customHeight="1" x14ac:dyDescent="0.3">
      <c r="A21" s="615" t="s">
        <v>471</v>
      </c>
      <c r="B21" s="616" t="s">
        <v>3021</v>
      </c>
      <c r="C21" s="616" t="s">
        <v>3011</v>
      </c>
      <c r="D21" s="616" t="s">
        <v>3043</v>
      </c>
      <c r="E21" s="616" t="s">
        <v>3044</v>
      </c>
      <c r="F21" s="619">
        <v>6</v>
      </c>
      <c r="G21" s="619">
        <v>16132</v>
      </c>
      <c r="H21" s="619">
        <v>1</v>
      </c>
      <c r="I21" s="619">
        <v>2688.6666666666665</v>
      </c>
      <c r="J21" s="619">
        <v>22</v>
      </c>
      <c r="K21" s="619">
        <v>59334</v>
      </c>
      <c r="L21" s="619">
        <v>3.6780312422514259</v>
      </c>
      <c r="M21" s="619">
        <v>2697</v>
      </c>
      <c r="N21" s="619">
        <v>1</v>
      </c>
      <c r="O21" s="619">
        <v>2769</v>
      </c>
      <c r="P21" s="640">
        <v>0.17164641705926109</v>
      </c>
      <c r="Q21" s="620">
        <v>2769</v>
      </c>
    </row>
    <row r="22" spans="1:17" ht="14.4" customHeight="1" x14ac:dyDescent="0.3">
      <c r="A22" s="615" t="s">
        <v>471</v>
      </c>
      <c r="B22" s="616" t="s">
        <v>3021</v>
      </c>
      <c r="C22" s="616" t="s">
        <v>3011</v>
      </c>
      <c r="D22" s="616" t="s">
        <v>3045</v>
      </c>
      <c r="E22" s="616" t="s">
        <v>3046</v>
      </c>
      <c r="F22" s="619">
        <v>3</v>
      </c>
      <c r="G22" s="619">
        <v>15444</v>
      </c>
      <c r="H22" s="619">
        <v>1</v>
      </c>
      <c r="I22" s="619">
        <v>5148</v>
      </c>
      <c r="J22" s="619">
        <v>2</v>
      </c>
      <c r="K22" s="619">
        <v>10296</v>
      </c>
      <c r="L22" s="619">
        <v>0.66666666666666663</v>
      </c>
      <c r="M22" s="619">
        <v>5148</v>
      </c>
      <c r="N22" s="619">
        <v>1</v>
      </c>
      <c r="O22" s="619">
        <v>5148</v>
      </c>
      <c r="P22" s="640">
        <v>0.33333333333333331</v>
      </c>
      <c r="Q22" s="620">
        <v>5148</v>
      </c>
    </row>
    <row r="23" spans="1:17" ht="14.4" customHeight="1" x14ac:dyDescent="0.3">
      <c r="A23" s="615" t="s">
        <v>471</v>
      </c>
      <c r="B23" s="616" t="s">
        <v>3021</v>
      </c>
      <c r="C23" s="616" t="s">
        <v>3011</v>
      </c>
      <c r="D23" s="616" t="s">
        <v>3047</v>
      </c>
      <c r="E23" s="616" t="s">
        <v>3048</v>
      </c>
      <c r="F23" s="619">
        <v>2</v>
      </c>
      <c r="G23" s="619">
        <v>9796</v>
      </c>
      <c r="H23" s="619">
        <v>1</v>
      </c>
      <c r="I23" s="619">
        <v>4898</v>
      </c>
      <c r="J23" s="619">
        <v>2</v>
      </c>
      <c r="K23" s="619">
        <v>9802</v>
      </c>
      <c r="L23" s="619">
        <v>1.0006124948958759</v>
      </c>
      <c r="M23" s="619">
        <v>4901</v>
      </c>
      <c r="N23" s="619"/>
      <c r="O23" s="619"/>
      <c r="P23" s="640"/>
      <c r="Q23" s="620"/>
    </row>
    <row r="24" spans="1:17" ht="14.4" customHeight="1" x14ac:dyDescent="0.3">
      <c r="A24" s="615" t="s">
        <v>471</v>
      </c>
      <c r="B24" s="616" t="s">
        <v>3021</v>
      </c>
      <c r="C24" s="616" t="s">
        <v>3011</v>
      </c>
      <c r="D24" s="616" t="s">
        <v>3049</v>
      </c>
      <c r="E24" s="616" t="s">
        <v>3050</v>
      </c>
      <c r="F24" s="619"/>
      <c r="G24" s="619"/>
      <c r="H24" s="619"/>
      <c r="I24" s="619"/>
      <c r="J24" s="619">
        <v>18</v>
      </c>
      <c r="K24" s="619">
        <v>12528</v>
      </c>
      <c r="L24" s="619"/>
      <c r="M24" s="619">
        <v>696</v>
      </c>
      <c r="N24" s="619"/>
      <c r="O24" s="619"/>
      <c r="P24" s="640"/>
      <c r="Q24" s="620"/>
    </row>
    <row r="25" spans="1:17" ht="14.4" customHeight="1" x14ac:dyDescent="0.3">
      <c r="A25" s="615" t="s">
        <v>471</v>
      </c>
      <c r="B25" s="616" t="s">
        <v>3021</v>
      </c>
      <c r="C25" s="616" t="s">
        <v>3011</v>
      </c>
      <c r="D25" s="616" t="s">
        <v>3051</v>
      </c>
      <c r="E25" s="616" t="s">
        <v>3052</v>
      </c>
      <c r="F25" s="619">
        <v>10</v>
      </c>
      <c r="G25" s="619">
        <v>8114</v>
      </c>
      <c r="H25" s="619">
        <v>1</v>
      </c>
      <c r="I25" s="619">
        <v>811.4</v>
      </c>
      <c r="J25" s="619">
        <v>15</v>
      </c>
      <c r="K25" s="619">
        <v>12285</v>
      </c>
      <c r="L25" s="619">
        <v>1.5140497904855805</v>
      </c>
      <c r="M25" s="619">
        <v>819</v>
      </c>
      <c r="N25" s="619">
        <v>14</v>
      </c>
      <c r="O25" s="619">
        <v>11704</v>
      </c>
      <c r="P25" s="640">
        <v>1.4424451565195957</v>
      </c>
      <c r="Q25" s="620">
        <v>836</v>
      </c>
    </row>
    <row r="26" spans="1:17" ht="14.4" customHeight="1" x14ac:dyDescent="0.3">
      <c r="A26" s="615" t="s">
        <v>471</v>
      </c>
      <c r="B26" s="616" t="s">
        <v>3021</v>
      </c>
      <c r="C26" s="616" t="s">
        <v>3011</v>
      </c>
      <c r="D26" s="616" t="s">
        <v>3053</v>
      </c>
      <c r="E26" s="616" t="s">
        <v>3054</v>
      </c>
      <c r="F26" s="619">
        <v>1</v>
      </c>
      <c r="G26" s="619">
        <v>3875</v>
      </c>
      <c r="H26" s="619">
        <v>1</v>
      </c>
      <c r="I26" s="619">
        <v>3875</v>
      </c>
      <c r="J26" s="619"/>
      <c r="K26" s="619"/>
      <c r="L26" s="619"/>
      <c r="M26" s="619"/>
      <c r="N26" s="619"/>
      <c r="O26" s="619"/>
      <c r="P26" s="640"/>
      <c r="Q26" s="620"/>
    </row>
    <row r="27" spans="1:17" ht="14.4" customHeight="1" x14ac:dyDescent="0.3">
      <c r="A27" s="615" t="s">
        <v>471</v>
      </c>
      <c r="B27" s="616" t="s">
        <v>3021</v>
      </c>
      <c r="C27" s="616" t="s">
        <v>3011</v>
      </c>
      <c r="D27" s="616" t="s">
        <v>3055</v>
      </c>
      <c r="E27" s="616" t="s">
        <v>3056</v>
      </c>
      <c r="F27" s="619">
        <v>3</v>
      </c>
      <c r="G27" s="619">
        <v>0</v>
      </c>
      <c r="H27" s="619"/>
      <c r="I27" s="619">
        <v>0</v>
      </c>
      <c r="J27" s="619">
        <v>4</v>
      </c>
      <c r="K27" s="619">
        <v>0</v>
      </c>
      <c r="L27" s="619"/>
      <c r="M27" s="619">
        <v>0</v>
      </c>
      <c r="N27" s="619">
        <v>8</v>
      </c>
      <c r="O27" s="619">
        <v>0</v>
      </c>
      <c r="P27" s="640"/>
      <c r="Q27" s="620">
        <v>0</v>
      </c>
    </row>
    <row r="28" spans="1:17" ht="14.4" customHeight="1" x14ac:dyDescent="0.3">
      <c r="A28" s="615" t="s">
        <v>471</v>
      </c>
      <c r="B28" s="616" t="s">
        <v>3021</v>
      </c>
      <c r="C28" s="616" t="s">
        <v>3011</v>
      </c>
      <c r="D28" s="616" t="s">
        <v>3057</v>
      </c>
      <c r="E28" s="616" t="s">
        <v>3058</v>
      </c>
      <c r="F28" s="619">
        <v>1</v>
      </c>
      <c r="G28" s="619">
        <v>0</v>
      </c>
      <c r="H28" s="619"/>
      <c r="I28" s="619">
        <v>0</v>
      </c>
      <c r="J28" s="619">
        <v>1</v>
      </c>
      <c r="K28" s="619">
        <v>0</v>
      </c>
      <c r="L28" s="619"/>
      <c r="M28" s="619">
        <v>0</v>
      </c>
      <c r="N28" s="619"/>
      <c r="O28" s="619"/>
      <c r="P28" s="640"/>
      <c r="Q28" s="620"/>
    </row>
    <row r="29" spans="1:17" ht="14.4" customHeight="1" x14ac:dyDescent="0.3">
      <c r="A29" s="615" t="s">
        <v>471</v>
      </c>
      <c r="B29" s="616" t="s">
        <v>3021</v>
      </c>
      <c r="C29" s="616" t="s">
        <v>3011</v>
      </c>
      <c r="D29" s="616" t="s">
        <v>3059</v>
      </c>
      <c r="E29" s="616" t="s">
        <v>3060</v>
      </c>
      <c r="F29" s="619"/>
      <c r="G29" s="619"/>
      <c r="H29" s="619"/>
      <c r="I29" s="619"/>
      <c r="J29" s="619">
        <v>2</v>
      </c>
      <c r="K29" s="619">
        <v>0</v>
      </c>
      <c r="L29" s="619"/>
      <c r="M29" s="619">
        <v>0</v>
      </c>
      <c r="N29" s="619"/>
      <c r="O29" s="619"/>
      <c r="P29" s="640"/>
      <c r="Q29" s="620"/>
    </row>
    <row r="30" spans="1:17" ht="14.4" customHeight="1" x14ac:dyDescent="0.3">
      <c r="A30" s="615" t="s">
        <v>471</v>
      </c>
      <c r="B30" s="616" t="s">
        <v>3021</v>
      </c>
      <c r="C30" s="616" t="s">
        <v>3011</v>
      </c>
      <c r="D30" s="616" t="s">
        <v>3061</v>
      </c>
      <c r="E30" s="616" t="s">
        <v>3062</v>
      </c>
      <c r="F30" s="619">
        <v>1</v>
      </c>
      <c r="G30" s="619">
        <v>0</v>
      </c>
      <c r="H30" s="619"/>
      <c r="I30" s="619">
        <v>0</v>
      </c>
      <c r="J30" s="619">
        <v>2</v>
      </c>
      <c r="K30" s="619">
        <v>0</v>
      </c>
      <c r="L30" s="619"/>
      <c r="M30" s="619">
        <v>0</v>
      </c>
      <c r="N30" s="619">
        <v>1</v>
      </c>
      <c r="O30" s="619">
        <v>0</v>
      </c>
      <c r="P30" s="640"/>
      <c r="Q30" s="620">
        <v>0</v>
      </c>
    </row>
    <row r="31" spans="1:17" ht="14.4" customHeight="1" x14ac:dyDescent="0.3">
      <c r="A31" s="615" t="s">
        <v>471</v>
      </c>
      <c r="B31" s="616" t="s">
        <v>3021</v>
      </c>
      <c r="C31" s="616" t="s">
        <v>3011</v>
      </c>
      <c r="D31" s="616" t="s">
        <v>3063</v>
      </c>
      <c r="E31" s="616" t="s">
        <v>3064</v>
      </c>
      <c r="F31" s="619"/>
      <c r="G31" s="619"/>
      <c r="H31" s="619"/>
      <c r="I31" s="619"/>
      <c r="J31" s="619"/>
      <c r="K31" s="619"/>
      <c r="L31" s="619"/>
      <c r="M31" s="619"/>
      <c r="N31" s="619">
        <v>1</v>
      </c>
      <c r="O31" s="619">
        <v>0</v>
      </c>
      <c r="P31" s="640"/>
      <c r="Q31" s="620">
        <v>0</v>
      </c>
    </row>
    <row r="32" spans="1:17" ht="14.4" customHeight="1" x14ac:dyDescent="0.3">
      <c r="A32" s="615" t="s">
        <v>471</v>
      </c>
      <c r="B32" s="616" t="s">
        <v>3021</v>
      </c>
      <c r="C32" s="616" t="s">
        <v>3011</v>
      </c>
      <c r="D32" s="616" t="s">
        <v>3065</v>
      </c>
      <c r="E32" s="616" t="s">
        <v>3066</v>
      </c>
      <c r="F32" s="619"/>
      <c r="G32" s="619"/>
      <c r="H32" s="619"/>
      <c r="I32" s="619"/>
      <c r="J32" s="619"/>
      <c r="K32" s="619"/>
      <c r="L32" s="619"/>
      <c r="M32" s="619"/>
      <c r="N32" s="619">
        <v>1</v>
      </c>
      <c r="O32" s="619">
        <v>0</v>
      </c>
      <c r="P32" s="640"/>
      <c r="Q32" s="620">
        <v>0</v>
      </c>
    </row>
    <row r="33" spans="1:17" ht="14.4" customHeight="1" x14ac:dyDescent="0.3">
      <c r="A33" s="615" t="s">
        <v>471</v>
      </c>
      <c r="B33" s="616" t="s">
        <v>3021</v>
      </c>
      <c r="C33" s="616" t="s">
        <v>3011</v>
      </c>
      <c r="D33" s="616" t="s">
        <v>3067</v>
      </c>
      <c r="E33" s="616" t="s">
        <v>3068</v>
      </c>
      <c r="F33" s="619">
        <v>1</v>
      </c>
      <c r="G33" s="619">
        <v>0</v>
      </c>
      <c r="H33" s="619"/>
      <c r="I33" s="619">
        <v>0</v>
      </c>
      <c r="J33" s="619"/>
      <c r="K33" s="619"/>
      <c r="L33" s="619"/>
      <c r="M33" s="619"/>
      <c r="N33" s="619"/>
      <c r="O33" s="619"/>
      <c r="P33" s="640"/>
      <c r="Q33" s="620"/>
    </row>
    <row r="34" spans="1:17" ht="14.4" customHeight="1" x14ac:dyDescent="0.3">
      <c r="A34" s="615" t="s">
        <v>471</v>
      </c>
      <c r="B34" s="616" t="s">
        <v>3021</v>
      </c>
      <c r="C34" s="616" t="s">
        <v>3011</v>
      </c>
      <c r="D34" s="616" t="s">
        <v>3069</v>
      </c>
      <c r="E34" s="616" t="s">
        <v>3070</v>
      </c>
      <c r="F34" s="619"/>
      <c r="G34" s="619"/>
      <c r="H34" s="619"/>
      <c r="I34" s="619"/>
      <c r="J34" s="619">
        <v>1</v>
      </c>
      <c r="K34" s="619">
        <v>0</v>
      </c>
      <c r="L34" s="619"/>
      <c r="M34" s="619">
        <v>0</v>
      </c>
      <c r="N34" s="619"/>
      <c r="O34" s="619"/>
      <c r="P34" s="640"/>
      <c r="Q34" s="620"/>
    </row>
    <row r="35" spans="1:17" ht="14.4" customHeight="1" x14ac:dyDescent="0.3">
      <c r="A35" s="615" t="s">
        <v>471</v>
      </c>
      <c r="B35" s="616" t="s">
        <v>3021</v>
      </c>
      <c r="C35" s="616" t="s">
        <v>3011</v>
      </c>
      <c r="D35" s="616" t="s">
        <v>3071</v>
      </c>
      <c r="E35" s="616" t="s">
        <v>3072</v>
      </c>
      <c r="F35" s="619"/>
      <c r="G35" s="619"/>
      <c r="H35" s="619"/>
      <c r="I35" s="619"/>
      <c r="J35" s="619"/>
      <c r="K35" s="619"/>
      <c r="L35" s="619"/>
      <c r="M35" s="619"/>
      <c r="N35" s="619">
        <v>2</v>
      </c>
      <c r="O35" s="619">
        <v>0</v>
      </c>
      <c r="P35" s="640"/>
      <c r="Q35" s="620">
        <v>0</v>
      </c>
    </row>
    <row r="36" spans="1:17" ht="14.4" customHeight="1" x14ac:dyDescent="0.3">
      <c r="A36" s="615" t="s">
        <v>471</v>
      </c>
      <c r="B36" s="616" t="s">
        <v>3021</v>
      </c>
      <c r="C36" s="616" t="s">
        <v>3011</v>
      </c>
      <c r="D36" s="616" t="s">
        <v>3073</v>
      </c>
      <c r="E36" s="616" t="s">
        <v>3074</v>
      </c>
      <c r="F36" s="619"/>
      <c r="G36" s="619"/>
      <c r="H36" s="619"/>
      <c r="I36" s="619"/>
      <c r="J36" s="619"/>
      <c r="K36" s="619"/>
      <c r="L36" s="619"/>
      <c r="M36" s="619"/>
      <c r="N36" s="619">
        <v>2</v>
      </c>
      <c r="O36" s="619">
        <v>0</v>
      </c>
      <c r="P36" s="640"/>
      <c r="Q36" s="620">
        <v>0</v>
      </c>
    </row>
    <row r="37" spans="1:17" ht="14.4" customHeight="1" x14ac:dyDescent="0.3">
      <c r="A37" s="615" t="s">
        <v>471</v>
      </c>
      <c r="B37" s="616" t="s">
        <v>3021</v>
      </c>
      <c r="C37" s="616" t="s">
        <v>3011</v>
      </c>
      <c r="D37" s="616" t="s">
        <v>3075</v>
      </c>
      <c r="E37" s="616" t="s">
        <v>3076</v>
      </c>
      <c r="F37" s="619"/>
      <c r="G37" s="619"/>
      <c r="H37" s="619"/>
      <c r="I37" s="619"/>
      <c r="J37" s="619">
        <v>1</v>
      </c>
      <c r="K37" s="619">
        <v>0</v>
      </c>
      <c r="L37" s="619"/>
      <c r="M37" s="619">
        <v>0</v>
      </c>
      <c r="N37" s="619">
        <v>4</v>
      </c>
      <c r="O37" s="619">
        <v>0</v>
      </c>
      <c r="P37" s="640"/>
      <c r="Q37" s="620">
        <v>0</v>
      </c>
    </row>
    <row r="38" spans="1:17" ht="14.4" customHeight="1" x14ac:dyDescent="0.3">
      <c r="A38" s="615" t="s">
        <v>471</v>
      </c>
      <c r="B38" s="616" t="s">
        <v>3021</v>
      </c>
      <c r="C38" s="616" t="s">
        <v>3011</v>
      </c>
      <c r="D38" s="616" t="s">
        <v>3077</v>
      </c>
      <c r="E38" s="616" t="s">
        <v>3078</v>
      </c>
      <c r="F38" s="619">
        <v>1</v>
      </c>
      <c r="G38" s="619">
        <v>0</v>
      </c>
      <c r="H38" s="619"/>
      <c r="I38" s="619">
        <v>0</v>
      </c>
      <c r="J38" s="619"/>
      <c r="K38" s="619"/>
      <c r="L38" s="619"/>
      <c r="M38" s="619"/>
      <c r="N38" s="619"/>
      <c r="O38" s="619"/>
      <c r="P38" s="640"/>
      <c r="Q38" s="620"/>
    </row>
    <row r="39" spans="1:17" ht="14.4" customHeight="1" x14ac:dyDescent="0.3">
      <c r="A39" s="615" t="s">
        <v>471</v>
      </c>
      <c r="B39" s="616" t="s">
        <v>3021</v>
      </c>
      <c r="C39" s="616" t="s">
        <v>3011</v>
      </c>
      <c r="D39" s="616" t="s">
        <v>3079</v>
      </c>
      <c r="E39" s="616" t="s">
        <v>3080</v>
      </c>
      <c r="F39" s="619"/>
      <c r="G39" s="619"/>
      <c r="H39" s="619"/>
      <c r="I39" s="619"/>
      <c r="J39" s="619"/>
      <c r="K39" s="619"/>
      <c r="L39" s="619"/>
      <c r="M39" s="619"/>
      <c r="N39" s="619">
        <v>1</v>
      </c>
      <c r="O39" s="619">
        <v>0</v>
      </c>
      <c r="P39" s="640"/>
      <c r="Q39" s="620">
        <v>0</v>
      </c>
    </row>
    <row r="40" spans="1:17" ht="14.4" customHeight="1" x14ac:dyDescent="0.3">
      <c r="A40" s="615" t="s">
        <v>471</v>
      </c>
      <c r="B40" s="616" t="s">
        <v>3021</v>
      </c>
      <c r="C40" s="616" t="s">
        <v>3011</v>
      </c>
      <c r="D40" s="616" t="s">
        <v>3081</v>
      </c>
      <c r="E40" s="616" t="s">
        <v>3082</v>
      </c>
      <c r="F40" s="619"/>
      <c r="G40" s="619"/>
      <c r="H40" s="619"/>
      <c r="I40" s="619"/>
      <c r="J40" s="619"/>
      <c r="K40" s="619"/>
      <c r="L40" s="619"/>
      <c r="M40" s="619"/>
      <c r="N40" s="619">
        <v>1</v>
      </c>
      <c r="O40" s="619">
        <v>0</v>
      </c>
      <c r="P40" s="640"/>
      <c r="Q40" s="620">
        <v>0</v>
      </c>
    </row>
    <row r="41" spans="1:17" ht="14.4" customHeight="1" x14ac:dyDescent="0.3">
      <c r="A41" s="615" t="s">
        <v>471</v>
      </c>
      <c r="B41" s="616" t="s">
        <v>3021</v>
      </c>
      <c r="C41" s="616" t="s">
        <v>3011</v>
      </c>
      <c r="D41" s="616" t="s">
        <v>3083</v>
      </c>
      <c r="E41" s="616" t="s">
        <v>3084</v>
      </c>
      <c r="F41" s="619"/>
      <c r="G41" s="619"/>
      <c r="H41" s="619"/>
      <c r="I41" s="619"/>
      <c r="J41" s="619"/>
      <c r="K41" s="619"/>
      <c r="L41" s="619"/>
      <c r="M41" s="619"/>
      <c r="N41" s="619">
        <v>1</v>
      </c>
      <c r="O41" s="619">
        <v>0</v>
      </c>
      <c r="P41" s="640"/>
      <c r="Q41" s="620">
        <v>0</v>
      </c>
    </row>
    <row r="42" spans="1:17" ht="14.4" customHeight="1" x14ac:dyDescent="0.3">
      <c r="A42" s="615" t="s">
        <v>471</v>
      </c>
      <c r="B42" s="616" t="s">
        <v>3021</v>
      </c>
      <c r="C42" s="616" t="s">
        <v>3011</v>
      </c>
      <c r="D42" s="616" t="s">
        <v>3085</v>
      </c>
      <c r="E42" s="616" t="s">
        <v>3086</v>
      </c>
      <c r="F42" s="619">
        <v>1</v>
      </c>
      <c r="G42" s="619">
        <v>0</v>
      </c>
      <c r="H42" s="619"/>
      <c r="I42" s="619">
        <v>0</v>
      </c>
      <c r="J42" s="619"/>
      <c r="K42" s="619"/>
      <c r="L42" s="619"/>
      <c r="M42" s="619"/>
      <c r="N42" s="619"/>
      <c r="O42" s="619"/>
      <c r="P42" s="640"/>
      <c r="Q42" s="620"/>
    </row>
    <row r="43" spans="1:17" ht="14.4" customHeight="1" x14ac:dyDescent="0.3">
      <c r="A43" s="615" t="s">
        <v>471</v>
      </c>
      <c r="B43" s="616" t="s">
        <v>3021</v>
      </c>
      <c r="C43" s="616" t="s">
        <v>3011</v>
      </c>
      <c r="D43" s="616" t="s">
        <v>3087</v>
      </c>
      <c r="E43" s="616" t="s">
        <v>3088</v>
      </c>
      <c r="F43" s="619">
        <v>1</v>
      </c>
      <c r="G43" s="619">
        <v>0</v>
      </c>
      <c r="H43" s="619"/>
      <c r="I43" s="619">
        <v>0</v>
      </c>
      <c r="J43" s="619"/>
      <c r="K43" s="619"/>
      <c r="L43" s="619"/>
      <c r="M43" s="619"/>
      <c r="N43" s="619"/>
      <c r="O43" s="619"/>
      <c r="P43" s="640"/>
      <c r="Q43" s="620"/>
    </row>
    <row r="44" spans="1:17" ht="14.4" customHeight="1" x14ac:dyDescent="0.3">
      <c r="A44" s="615" t="s">
        <v>471</v>
      </c>
      <c r="B44" s="616" t="s">
        <v>3021</v>
      </c>
      <c r="C44" s="616" t="s">
        <v>3011</v>
      </c>
      <c r="D44" s="616" t="s">
        <v>3089</v>
      </c>
      <c r="E44" s="616" t="s">
        <v>3090</v>
      </c>
      <c r="F44" s="619">
        <v>2</v>
      </c>
      <c r="G44" s="619">
        <v>3200</v>
      </c>
      <c r="H44" s="619">
        <v>1</v>
      </c>
      <c r="I44" s="619">
        <v>1600</v>
      </c>
      <c r="J44" s="619"/>
      <c r="K44" s="619"/>
      <c r="L44" s="619"/>
      <c r="M44" s="619"/>
      <c r="N44" s="619"/>
      <c r="O44" s="619"/>
      <c r="P44" s="640"/>
      <c r="Q44" s="620"/>
    </row>
    <row r="45" spans="1:17" ht="14.4" customHeight="1" x14ac:dyDescent="0.3">
      <c r="A45" s="615" t="s">
        <v>471</v>
      </c>
      <c r="B45" s="616" t="s">
        <v>3021</v>
      </c>
      <c r="C45" s="616" t="s">
        <v>3011</v>
      </c>
      <c r="D45" s="616" t="s">
        <v>3091</v>
      </c>
      <c r="E45" s="616" t="s">
        <v>3092</v>
      </c>
      <c r="F45" s="619">
        <v>1</v>
      </c>
      <c r="G45" s="619">
        <v>953</v>
      </c>
      <c r="H45" s="619">
        <v>1</v>
      </c>
      <c r="I45" s="619">
        <v>953</v>
      </c>
      <c r="J45" s="619"/>
      <c r="K45" s="619"/>
      <c r="L45" s="619"/>
      <c r="M45" s="619"/>
      <c r="N45" s="619"/>
      <c r="O45" s="619"/>
      <c r="P45" s="640"/>
      <c r="Q45" s="620"/>
    </row>
    <row r="46" spans="1:17" ht="14.4" customHeight="1" x14ac:dyDescent="0.3">
      <c r="A46" s="615" t="s">
        <v>471</v>
      </c>
      <c r="B46" s="616" t="s">
        <v>3021</v>
      </c>
      <c r="C46" s="616" t="s">
        <v>3011</v>
      </c>
      <c r="D46" s="616" t="s">
        <v>3093</v>
      </c>
      <c r="E46" s="616" t="s">
        <v>3094</v>
      </c>
      <c r="F46" s="619">
        <v>3</v>
      </c>
      <c r="G46" s="619">
        <v>0</v>
      </c>
      <c r="H46" s="619"/>
      <c r="I46" s="619">
        <v>0</v>
      </c>
      <c r="J46" s="619">
        <v>2</v>
      </c>
      <c r="K46" s="619">
        <v>0</v>
      </c>
      <c r="L46" s="619"/>
      <c r="M46" s="619">
        <v>0</v>
      </c>
      <c r="N46" s="619">
        <v>8</v>
      </c>
      <c r="O46" s="619">
        <v>0</v>
      </c>
      <c r="P46" s="640"/>
      <c r="Q46" s="620">
        <v>0</v>
      </c>
    </row>
    <row r="47" spans="1:17" ht="14.4" customHeight="1" x14ac:dyDescent="0.3">
      <c r="A47" s="615" t="s">
        <v>471</v>
      </c>
      <c r="B47" s="616" t="s">
        <v>3021</v>
      </c>
      <c r="C47" s="616" t="s">
        <v>3011</v>
      </c>
      <c r="D47" s="616" t="s">
        <v>3095</v>
      </c>
      <c r="E47" s="616" t="s">
        <v>3096</v>
      </c>
      <c r="F47" s="619">
        <v>6</v>
      </c>
      <c r="G47" s="619">
        <v>4512</v>
      </c>
      <c r="H47" s="619">
        <v>1</v>
      </c>
      <c r="I47" s="619">
        <v>752</v>
      </c>
      <c r="J47" s="619">
        <v>2</v>
      </c>
      <c r="K47" s="619">
        <v>1510</v>
      </c>
      <c r="L47" s="619">
        <v>0.3346631205673759</v>
      </c>
      <c r="M47" s="619">
        <v>755</v>
      </c>
      <c r="N47" s="619">
        <v>2</v>
      </c>
      <c r="O47" s="619">
        <v>1536</v>
      </c>
      <c r="P47" s="640">
        <v>0.34042553191489361</v>
      </c>
      <c r="Q47" s="620">
        <v>768</v>
      </c>
    </row>
    <row r="48" spans="1:17" ht="14.4" customHeight="1" x14ac:dyDescent="0.3">
      <c r="A48" s="615" t="s">
        <v>471</v>
      </c>
      <c r="B48" s="616" t="s">
        <v>3021</v>
      </c>
      <c r="C48" s="616" t="s">
        <v>3011</v>
      </c>
      <c r="D48" s="616" t="s">
        <v>3097</v>
      </c>
      <c r="E48" s="616" t="s">
        <v>3098</v>
      </c>
      <c r="F48" s="619"/>
      <c r="G48" s="619"/>
      <c r="H48" s="619"/>
      <c r="I48" s="619"/>
      <c r="J48" s="619"/>
      <c r="K48" s="619"/>
      <c r="L48" s="619"/>
      <c r="M48" s="619"/>
      <c r="N48" s="619">
        <v>1</v>
      </c>
      <c r="O48" s="619">
        <v>532</v>
      </c>
      <c r="P48" s="640"/>
      <c r="Q48" s="620">
        <v>532</v>
      </c>
    </row>
    <row r="49" spans="1:17" ht="14.4" customHeight="1" x14ac:dyDescent="0.3">
      <c r="A49" s="615" t="s">
        <v>471</v>
      </c>
      <c r="B49" s="616" t="s">
        <v>3021</v>
      </c>
      <c r="C49" s="616" t="s">
        <v>3011</v>
      </c>
      <c r="D49" s="616" t="s">
        <v>3099</v>
      </c>
      <c r="E49" s="616" t="s">
        <v>3100</v>
      </c>
      <c r="F49" s="619">
        <v>3</v>
      </c>
      <c r="G49" s="619">
        <v>8138</v>
      </c>
      <c r="H49" s="619">
        <v>1</v>
      </c>
      <c r="I49" s="619">
        <v>2712.6666666666665</v>
      </c>
      <c r="J49" s="619"/>
      <c r="K49" s="619"/>
      <c r="L49" s="619"/>
      <c r="M49" s="619"/>
      <c r="N49" s="619">
        <v>1</v>
      </c>
      <c r="O49" s="619">
        <v>2810</v>
      </c>
      <c r="P49" s="640">
        <v>0.34529368395183091</v>
      </c>
      <c r="Q49" s="620">
        <v>2810</v>
      </c>
    </row>
    <row r="50" spans="1:17" ht="14.4" customHeight="1" x14ac:dyDescent="0.3">
      <c r="A50" s="615" t="s">
        <v>471</v>
      </c>
      <c r="B50" s="616" t="s">
        <v>3021</v>
      </c>
      <c r="C50" s="616" t="s">
        <v>3011</v>
      </c>
      <c r="D50" s="616" t="s">
        <v>3101</v>
      </c>
      <c r="E50" s="616" t="s">
        <v>3102</v>
      </c>
      <c r="F50" s="619">
        <v>2</v>
      </c>
      <c r="G50" s="619">
        <v>1610</v>
      </c>
      <c r="H50" s="619">
        <v>1</v>
      </c>
      <c r="I50" s="619">
        <v>805</v>
      </c>
      <c r="J50" s="619">
        <v>4</v>
      </c>
      <c r="K50" s="619">
        <v>3260</v>
      </c>
      <c r="L50" s="619">
        <v>2.0248447204968945</v>
      </c>
      <c r="M50" s="619">
        <v>815</v>
      </c>
      <c r="N50" s="619">
        <v>1</v>
      </c>
      <c r="O50" s="619">
        <v>839</v>
      </c>
      <c r="P50" s="640">
        <v>0.52111801242236022</v>
      </c>
      <c r="Q50" s="620">
        <v>839</v>
      </c>
    </row>
    <row r="51" spans="1:17" ht="14.4" customHeight="1" x14ac:dyDescent="0.3">
      <c r="A51" s="615" t="s">
        <v>471</v>
      </c>
      <c r="B51" s="616" t="s">
        <v>3021</v>
      </c>
      <c r="C51" s="616" t="s">
        <v>3011</v>
      </c>
      <c r="D51" s="616" t="s">
        <v>3103</v>
      </c>
      <c r="E51" s="616" t="s">
        <v>3104</v>
      </c>
      <c r="F51" s="619"/>
      <c r="G51" s="619"/>
      <c r="H51" s="619"/>
      <c r="I51" s="619"/>
      <c r="J51" s="619">
        <v>1</v>
      </c>
      <c r="K51" s="619">
        <v>6126</v>
      </c>
      <c r="L51" s="619"/>
      <c r="M51" s="619">
        <v>6126</v>
      </c>
      <c r="N51" s="619"/>
      <c r="O51" s="619"/>
      <c r="P51" s="640"/>
      <c r="Q51" s="620"/>
    </row>
    <row r="52" spans="1:17" ht="14.4" customHeight="1" x14ac:dyDescent="0.3">
      <c r="A52" s="615" t="s">
        <v>471</v>
      </c>
      <c r="B52" s="616" t="s">
        <v>3021</v>
      </c>
      <c r="C52" s="616" t="s">
        <v>3011</v>
      </c>
      <c r="D52" s="616" t="s">
        <v>3105</v>
      </c>
      <c r="E52" s="616" t="s">
        <v>3106</v>
      </c>
      <c r="F52" s="619">
        <v>3</v>
      </c>
      <c r="G52" s="619">
        <v>27102</v>
      </c>
      <c r="H52" s="619">
        <v>1</v>
      </c>
      <c r="I52" s="619">
        <v>9034</v>
      </c>
      <c r="J52" s="619">
        <v>3</v>
      </c>
      <c r="K52" s="619">
        <v>27369</v>
      </c>
      <c r="L52" s="619">
        <v>1.0098516714633607</v>
      </c>
      <c r="M52" s="619">
        <v>9123</v>
      </c>
      <c r="N52" s="619">
        <v>5</v>
      </c>
      <c r="O52" s="619">
        <v>46705</v>
      </c>
      <c r="P52" s="640">
        <v>1.7233045531695077</v>
      </c>
      <c r="Q52" s="620">
        <v>9341</v>
      </c>
    </row>
    <row r="53" spans="1:17" ht="14.4" customHeight="1" x14ac:dyDescent="0.3">
      <c r="A53" s="615" t="s">
        <v>471</v>
      </c>
      <c r="B53" s="616" t="s">
        <v>3021</v>
      </c>
      <c r="C53" s="616" t="s">
        <v>3011</v>
      </c>
      <c r="D53" s="616" t="s">
        <v>3107</v>
      </c>
      <c r="E53" s="616" t="s">
        <v>3108</v>
      </c>
      <c r="F53" s="619">
        <v>2</v>
      </c>
      <c r="G53" s="619">
        <v>866</v>
      </c>
      <c r="H53" s="619">
        <v>1</v>
      </c>
      <c r="I53" s="619">
        <v>433</v>
      </c>
      <c r="J53" s="619">
        <v>5</v>
      </c>
      <c r="K53" s="619">
        <v>2180</v>
      </c>
      <c r="L53" s="619">
        <v>2.5173210161662816</v>
      </c>
      <c r="M53" s="619">
        <v>436</v>
      </c>
      <c r="N53" s="619"/>
      <c r="O53" s="619"/>
      <c r="P53" s="640"/>
      <c r="Q53" s="620"/>
    </row>
    <row r="54" spans="1:17" ht="14.4" customHeight="1" x14ac:dyDescent="0.3">
      <c r="A54" s="615" t="s">
        <v>471</v>
      </c>
      <c r="B54" s="616" t="s">
        <v>3021</v>
      </c>
      <c r="C54" s="616" t="s">
        <v>3011</v>
      </c>
      <c r="D54" s="616" t="s">
        <v>3109</v>
      </c>
      <c r="E54" s="616" t="s">
        <v>3110</v>
      </c>
      <c r="F54" s="619">
        <v>17</v>
      </c>
      <c r="G54" s="619">
        <v>14420</v>
      </c>
      <c r="H54" s="619">
        <v>1</v>
      </c>
      <c r="I54" s="619">
        <v>848.23529411764707</v>
      </c>
      <c r="J54" s="619">
        <v>6</v>
      </c>
      <c r="K54" s="619">
        <v>5112</v>
      </c>
      <c r="L54" s="619">
        <v>0.35450762829403604</v>
      </c>
      <c r="M54" s="619">
        <v>852</v>
      </c>
      <c r="N54" s="619"/>
      <c r="O54" s="619"/>
      <c r="P54" s="640"/>
      <c r="Q54" s="620"/>
    </row>
    <row r="55" spans="1:17" ht="14.4" customHeight="1" x14ac:dyDescent="0.3">
      <c r="A55" s="615" t="s">
        <v>471</v>
      </c>
      <c r="B55" s="616" t="s">
        <v>3021</v>
      </c>
      <c r="C55" s="616" t="s">
        <v>3011</v>
      </c>
      <c r="D55" s="616" t="s">
        <v>3111</v>
      </c>
      <c r="E55" s="616" t="s">
        <v>3112</v>
      </c>
      <c r="F55" s="619">
        <v>6</v>
      </c>
      <c r="G55" s="619">
        <v>20869</v>
      </c>
      <c r="H55" s="619">
        <v>1</v>
      </c>
      <c r="I55" s="619">
        <v>3478.1666666666665</v>
      </c>
      <c r="J55" s="619">
        <v>9</v>
      </c>
      <c r="K55" s="619">
        <v>31428</v>
      </c>
      <c r="L55" s="619">
        <v>1.5059657865733864</v>
      </c>
      <c r="M55" s="619">
        <v>3492</v>
      </c>
      <c r="N55" s="619">
        <v>8</v>
      </c>
      <c r="O55" s="619">
        <v>28896</v>
      </c>
      <c r="P55" s="640">
        <v>1.3846375005989746</v>
      </c>
      <c r="Q55" s="620">
        <v>3612</v>
      </c>
    </row>
    <row r="56" spans="1:17" ht="14.4" customHeight="1" x14ac:dyDescent="0.3">
      <c r="A56" s="615" t="s">
        <v>471</v>
      </c>
      <c r="B56" s="616" t="s">
        <v>3021</v>
      </c>
      <c r="C56" s="616" t="s">
        <v>3011</v>
      </c>
      <c r="D56" s="616" t="s">
        <v>3113</v>
      </c>
      <c r="E56" s="616" t="s">
        <v>3114</v>
      </c>
      <c r="F56" s="619"/>
      <c r="G56" s="619"/>
      <c r="H56" s="619"/>
      <c r="I56" s="619"/>
      <c r="J56" s="619"/>
      <c r="K56" s="619"/>
      <c r="L56" s="619"/>
      <c r="M56" s="619"/>
      <c r="N56" s="619">
        <v>1</v>
      </c>
      <c r="O56" s="619">
        <v>3741</v>
      </c>
      <c r="P56" s="640"/>
      <c r="Q56" s="620">
        <v>3741</v>
      </c>
    </row>
    <row r="57" spans="1:17" ht="14.4" customHeight="1" x14ac:dyDescent="0.3">
      <c r="A57" s="615" t="s">
        <v>471</v>
      </c>
      <c r="B57" s="616" t="s">
        <v>3021</v>
      </c>
      <c r="C57" s="616" t="s">
        <v>3011</v>
      </c>
      <c r="D57" s="616" t="s">
        <v>3115</v>
      </c>
      <c r="E57" s="616" t="s">
        <v>3116</v>
      </c>
      <c r="F57" s="619"/>
      <c r="G57" s="619"/>
      <c r="H57" s="619"/>
      <c r="I57" s="619"/>
      <c r="J57" s="619">
        <v>2</v>
      </c>
      <c r="K57" s="619">
        <v>358</v>
      </c>
      <c r="L57" s="619"/>
      <c r="M57" s="619">
        <v>179</v>
      </c>
      <c r="N57" s="619"/>
      <c r="O57" s="619"/>
      <c r="P57" s="640"/>
      <c r="Q57" s="620"/>
    </row>
    <row r="58" spans="1:17" ht="14.4" customHeight="1" x14ac:dyDescent="0.3">
      <c r="A58" s="615" t="s">
        <v>471</v>
      </c>
      <c r="B58" s="616" t="s">
        <v>3021</v>
      </c>
      <c r="C58" s="616" t="s">
        <v>3011</v>
      </c>
      <c r="D58" s="616" t="s">
        <v>528</v>
      </c>
      <c r="E58" s="616" t="s">
        <v>3117</v>
      </c>
      <c r="F58" s="619"/>
      <c r="G58" s="619"/>
      <c r="H58" s="619"/>
      <c r="I58" s="619"/>
      <c r="J58" s="619"/>
      <c r="K58" s="619"/>
      <c r="L58" s="619"/>
      <c r="M58" s="619"/>
      <c r="N58" s="619">
        <v>2</v>
      </c>
      <c r="O58" s="619">
        <v>3968</v>
      </c>
      <c r="P58" s="640"/>
      <c r="Q58" s="620">
        <v>1984</v>
      </c>
    </row>
    <row r="59" spans="1:17" ht="14.4" customHeight="1" x14ac:dyDescent="0.3">
      <c r="A59" s="615" t="s">
        <v>471</v>
      </c>
      <c r="B59" s="616" t="s">
        <v>3021</v>
      </c>
      <c r="C59" s="616" t="s">
        <v>3011</v>
      </c>
      <c r="D59" s="616" t="s">
        <v>3118</v>
      </c>
      <c r="E59" s="616" t="s">
        <v>3119</v>
      </c>
      <c r="F59" s="619"/>
      <c r="G59" s="619"/>
      <c r="H59" s="619"/>
      <c r="I59" s="619"/>
      <c r="J59" s="619">
        <v>4</v>
      </c>
      <c r="K59" s="619">
        <v>2540</v>
      </c>
      <c r="L59" s="619"/>
      <c r="M59" s="619">
        <v>635</v>
      </c>
      <c r="N59" s="619"/>
      <c r="O59" s="619"/>
      <c r="P59" s="640"/>
      <c r="Q59" s="620"/>
    </row>
    <row r="60" spans="1:17" ht="14.4" customHeight="1" x14ac:dyDescent="0.3">
      <c r="A60" s="615" t="s">
        <v>471</v>
      </c>
      <c r="B60" s="616" t="s">
        <v>3021</v>
      </c>
      <c r="C60" s="616" t="s">
        <v>3011</v>
      </c>
      <c r="D60" s="616" t="s">
        <v>3120</v>
      </c>
      <c r="E60" s="616" t="s">
        <v>3121</v>
      </c>
      <c r="F60" s="619"/>
      <c r="G60" s="619"/>
      <c r="H60" s="619"/>
      <c r="I60" s="619"/>
      <c r="J60" s="619"/>
      <c r="K60" s="619"/>
      <c r="L60" s="619"/>
      <c r="M60" s="619"/>
      <c r="N60" s="619">
        <v>0</v>
      </c>
      <c r="O60" s="619">
        <v>0</v>
      </c>
      <c r="P60" s="640"/>
      <c r="Q60" s="620"/>
    </row>
    <row r="61" spans="1:17" ht="14.4" customHeight="1" x14ac:dyDescent="0.3">
      <c r="A61" s="615" t="s">
        <v>471</v>
      </c>
      <c r="B61" s="616" t="s">
        <v>3021</v>
      </c>
      <c r="C61" s="616" t="s">
        <v>3011</v>
      </c>
      <c r="D61" s="616" t="s">
        <v>3122</v>
      </c>
      <c r="E61" s="616" t="s">
        <v>3123</v>
      </c>
      <c r="F61" s="619">
        <v>1</v>
      </c>
      <c r="G61" s="619">
        <v>15368</v>
      </c>
      <c r="H61" s="619">
        <v>1</v>
      </c>
      <c r="I61" s="619">
        <v>15368</v>
      </c>
      <c r="J61" s="619">
        <v>1</v>
      </c>
      <c r="K61" s="619">
        <v>15515</v>
      </c>
      <c r="L61" s="619">
        <v>1.0095653305570016</v>
      </c>
      <c r="M61" s="619">
        <v>15515</v>
      </c>
      <c r="N61" s="619">
        <v>5</v>
      </c>
      <c r="O61" s="619">
        <v>80375</v>
      </c>
      <c r="P61" s="640">
        <v>5.230023425299323</v>
      </c>
      <c r="Q61" s="620">
        <v>16075</v>
      </c>
    </row>
    <row r="62" spans="1:17" ht="14.4" customHeight="1" x14ac:dyDescent="0.3">
      <c r="A62" s="615" t="s">
        <v>471</v>
      </c>
      <c r="B62" s="616" t="s">
        <v>3021</v>
      </c>
      <c r="C62" s="616" t="s">
        <v>3011</v>
      </c>
      <c r="D62" s="616" t="s">
        <v>3124</v>
      </c>
      <c r="E62" s="616" t="s">
        <v>3125</v>
      </c>
      <c r="F62" s="619"/>
      <c r="G62" s="619"/>
      <c r="H62" s="619"/>
      <c r="I62" s="619"/>
      <c r="J62" s="619">
        <v>1</v>
      </c>
      <c r="K62" s="619">
        <v>0</v>
      </c>
      <c r="L62" s="619"/>
      <c r="M62" s="619">
        <v>0</v>
      </c>
      <c r="N62" s="619">
        <v>2</v>
      </c>
      <c r="O62" s="619">
        <v>0</v>
      </c>
      <c r="P62" s="640"/>
      <c r="Q62" s="620">
        <v>0</v>
      </c>
    </row>
    <row r="63" spans="1:17" ht="14.4" customHeight="1" x14ac:dyDescent="0.3">
      <c r="A63" s="615" t="s">
        <v>471</v>
      </c>
      <c r="B63" s="616" t="s">
        <v>3021</v>
      </c>
      <c r="C63" s="616" t="s">
        <v>3011</v>
      </c>
      <c r="D63" s="616" t="s">
        <v>3126</v>
      </c>
      <c r="E63" s="616" t="s">
        <v>3127</v>
      </c>
      <c r="F63" s="619">
        <v>1</v>
      </c>
      <c r="G63" s="619">
        <v>355</v>
      </c>
      <c r="H63" s="619">
        <v>1</v>
      </c>
      <c r="I63" s="619">
        <v>355</v>
      </c>
      <c r="J63" s="619"/>
      <c r="K63" s="619"/>
      <c r="L63" s="619"/>
      <c r="M63" s="619"/>
      <c r="N63" s="619"/>
      <c r="O63" s="619"/>
      <c r="P63" s="640"/>
      <c r="Q63" s="620"/>
    </row>
    <row r="64" spans="1:17" ht="14.4" customHeight="1" x14ac:dyDescent="0.3">
      <c r="A64" s="615" t="s">
        <v>471</v>
      </c>
      <c r="B64" s="616" t="s">
        <v>3021</v>
      </c>
      <c r="C64" s="616" t="s">
        <v>3011</v>
      </c>
      <c r="D64" s="616" t="s">
        <v>3128</v>
      </c>
      <c r="E64" s="616" t="s">
        <v>3129</v>
      </c>
      <c r="F64" s="619"/>
      <c r="G64" s="619"/>
      <c r="H64" s="619"/>
      <c r="I64" s="619"/>
      <c r="J64" s="619"/>
      <c r="K64" s="619"/>
      <c r="L64" s="619"/>
      <c r="M64" s="619"/>
      <c r="N64" s="619">
        <v>1</v>
      </c>
      <c r="O64" s="619">
        <v>0</v>
      </c>
      <c r="P64" s="640"/>
      <c r="Q64" s="620">
        <v>0</v>
      </c>
    </row>
    <row r="65" spans="1:17" ht="14.4" customHeight="1" x14ac:dyDescent="0.3">
      <c r="A65" s="615" t="s">
        <v>471</v>
      </c>
      <c r="B65" s="616" t="s">
        <v>3021</v>
      </c>
      <c r="C65" s="616" t="s">
        <v>3011</v>
      </c>
      <c r="D65" s="616" t="s">
        <v>3130</v>
      </c>
      <c r="E65" s="616" t="s">
        <v>3131</v>
      </c>
      <c r="F65" s="619"/>
      <c r="G65" s="619"/>
      <c r="H65" s="619"/>
      <c r="I65" s="619"/>
      <c r="J65" s="619"/>
      <c r="K65" s="619"/>
      <c r="L65" s="619"/>
      <c r="M65" s="619"/>
      <c r="N65" s="619">
        <v>1</v>
      </c>
      <c r="O65" s="619">
        <v>10703</v>
      </c>
      <c r="P65" s="640"/>
      <c r="Q65" s="620">
        <v>10703</v>
      </c>
    </row>
    <row r="66" spans="1:17" ht="14.4" customHeight="1" x14ac:dyDescent="0.3">
      <c r="A66" s="615" t="s">
        <v>471</v>
      </c>
      <c r="B66" s="616" t="s">
        <v>3021</v>
      </c>
      <c r="C66" s="616" t="s">
        <v>3011</v>
      </c>
      <c r="D66" s="616" t="s">
        <v>3132</v>
      </c>
      <c r="E66" s="616" t="s">
        <v>3133</v>
      </c>
      <c r="F66" s="619">
        <v>1</v>
      </c>
      <c r="G66" s="619">
        <v>7159</v>
      </c>
      <c r="H66" s="619">
        <v>1</v>
      </c>
      <c r="I66" s="619">
        <v>7159</v>
      </c>
      <c r="J66" s="619"/>
      <c r="K66" s="619"/>
      <c r="L66" s="619"/>
      <c r="M66" s="619"/>
      <c r="N66" s="619"/>
      <c r="O66" s="619"/>
      <c r="P66" s="640"/>
      <c r="Q66" s="620"/>
    </row>
    <row r="67" spans="1:17" ht="14.4" customHeight="1" x14ac:dyDescent="0.3">
      <c r="A67" s="615" t="s">
        <v>471</v>
      </c>
      <c r="B67" s="616" t="s">
        <v>3021</v>
      </c>
      <c r="C67" s="616" t="s">
        <v>3011</v>
      </c>
      <c r="D67" s="616" t="s">
        <v>3134</v>
      </c>
      <c r="E67" s="616" t="s">
        <v>3135</v>
      </c>
      <c r="F67" s="619"/>
      <c r="G67" s="619"/>
      <c r="H67" s="619"/>
      <c r="I67" s="619"/>
      <c r="J67" s="619"/>
      <c r="K67" s="619"/>
      <c r="L67" s="619"/>
      <c r="M67" s="619"/>
      <c r="N67" s="619">
        <v>1</v>
      </c>
      <c r="O67" s="619">
        <v>6998</v>
      </c>
      <c r="P67" s="640"/>
      <c r="Q67" s="620">
        <v>6998</v>
      </c>
    </row>
    <row r="68" spans="1:17" ht="14.4" customHeight="1" x14ac:dyDescent="0.3">
      <c r="A68" s="615" t="s">
        <v>471</v>
      </c>
      <c r="B68" s="616" t="s">
        <v>3021</v>
      </c>
      <c r="C68" s="616" t="s">
        <v>3011</v>
      </c>
      <c r="D68" s="616" t="s">
        <v>3136</v>
      </c>
      <c r="E68" s="616" t="s">
        <v>3137</v>
      </c>
      <c r="F68" s="619">
        <v>3</v>
      </c>
      <c r="G68" s="619">
        <v>0</v>
      </c>
      <c r="H68" s="619"/>
      <c r="I68" s="619">
        <v>0</v>
      </c>
      <c r="J68" s="619">
        <v>4</v>
      </c>
      <c r="K68" s="619">
        <v>0</v>
      </c>
      <c r="L68" s="619"/>
      <c r="M68" s="619">
        <v>0</v>
      </c>
      <c r="N68" s="619">
        <v>9</v>
      </c>
      <c r="O68" s="619">
        <v>0</v>
      </c>
      <c r="P68" s="640"/>
      <c r="Q68" s="620">
        <v>0</v>
      </c>
    </row>
    <row r="69" spans="1:17" ht="14.4" customHeight="1" x14ac:dyDescent="0.3">
      <c r="A69" s="615" t="s">
        <v>471</v>
      </c>
      <c r="B69" s="616" t="s">
        <v>3021</v>
      </c>
      <c r="C69" s="616" t="s">
        <v>3011</v>
      </c>
      <c r="D69" s="616" t="s">
        <v>3138</v>
      </c>
      <c r="E69" s="616" t="s">
        <v>3139</v>
      </c>
      <c r="F69" s="619">
        <v>1</v>
      </c>
      <c r="G69" s="619">
        <v>4340</v>
      </c>
      <c r="H69" s="619">
        <v>1</v>
      </c>
      <c r="I69" s="619">
        <v>4340</v>
      </c>
      <c r="J69" s="619"/>
      <c r="K69" s="619"/>
      <c r="L69" s="619"/>
      <c r="M69" s="619"/>
      <c r="N69" s="619">
        <v>1</v>
      </c>
      <c r="O69" s="619">
        <v>4570</v>
      </c>
      <c r="P69" s="640">
        <v>1.0529953917050692</v>
      </c>
      <c r="Q69" s="620">
        <v>4570</v>
      </c>
    </row>
    <row r="70" spans="1:17" ht="14.4" customHeight="1" x14ac:dyDescent="0.3">
      <c r="A70" s="615" t="s">
        <v>471</v>
      </c>
      <c r="B70" s="616" t="s">
        <v>3021</v>
      </c>
      <c r="C70" s="616" t="s">
        <v>3011</v>
      </c>
      <c r="D70" s="616" t="s">
        <v>3140</v>
      </c>
      <c r="E70" s="616" t="s">
        <v>3141</v>
      </c>
      <c r="F70" s="619"/>
      <c r="G70" s="619"/>
      <c r="H70" s="619"/>
      <c r="I70" s="619"/>
      <c r="J70" s="619">
        <v>1</v>
      </c>
      <c r="K70" s="619">
        <v>0</v>
      </c>
      <c r="L70" s="619"/>
      <c r="M70" s="619">
        <v>0</v>
      </c>
      <c r="N70" s="619">
        <v>1</v>
      </c>
      <c r="O70" s="619">
        <v>0</v>
      </c>
      <c r="P70" s="640"/>
      <c r="Q70" s="620">
        <v>0</v>
      </c>
    </row>
    <row r="71" spans="1:17" ht="14.4" customHeight="1" x14ac:dyDescent="0.3">
      <c r="A71" s="615" t="s">
        <v>471</v>
      </c>
      <c r="B71" s="616" t="s">
        <v>3021</v>
      </c>
      <c r="C71" s="616" t="s">
        <v>3011</v>
      </c>
      <c r="D71" s="616" t="s">
        <v>3142</v>
      </c>
      <c r="E71" s="616" t="s">
        <v>3143</v>
      </c>
      <c r="F71" s="619">
        <v>10</v>
      </c>
      <c r="G71" s="619">
        <v>32134</v>
      </c>
      <c r="H71" s="619">
        <v>1</v>
      </c>
      <c r="I71" s="619">
        <v>3213.4</v>
      </c>
      <c r="J71" s="619">
        <v>11</v>
      </c>
      <c r="K71" s="619">
        <v>35475</v>
      </c>
      <c r="L71" s="619">
        <v>1.1039708719736105</v>
      </c>
      <c r="M71" s="619">
        <v>3225</v>
      </c>
      <c r="N71" s="619">
        <v>9</v>
      </c>
      <c r="O71" s="619">
        <v>29673</v>
      </c>
      <c r="P71" s="640">
        <v>0.92341445198232397</v>
      </c>
      <c r="Q71" s="620">
        <v>3297</v>
      </c>
    </row>
    <row r="72" spans="1:17" ht="14.4" customHeight="1" x14ac:dyDescent="0.3">
      <c r="A72" s="615" t="s">
        <v>471</v>
      </c>
      <c r="B72" s="616" t="s">
        <v>3021</v>
      </c>
      <c r="C72" s="616" t="s">
        <v>3011</v>
      </c>
      <c r="D72" s="616" t="s">
        <v>3144</v>
      </c>
      <c r="E72" s="616" t="s">
        <v>3145</v>
      </c>
      <c r="F72" s="619"/>
      <c r="G72" s="619"/>
      <c r="H72" s="619"/>
      <c r="I72" s="619"/>
      <c r="J72" s="619">
        <v>1</v>
      </c>
      <c r="K72" s="619">
        <v>8924</v>
      </c>
      <c r="L72" s="619"/>
      <c r="M72" s="619">
        <v>8924</v>
      </c>
      <c r="N72" s="619"/>
      <c r="O72" s="619"/>
      <c r="P72" s="640"/>
      <c r="Q72" s="620"/>
    </row>
    <row r="73" spans="1:17" ht="14.4" customHeight="1" x14ac:dyDescent="0.3">
      <c r="A73" s="615" t="s">
        <v>471</v>
      </c>
      <c r="B73" s="616" t="s">
        <v>3021</v>
      </c>
      <c r="C73" s="616" t="s">
        <v>3011</v>
      </c>
      <c r="D73" s="616" t="s">
        <v>3146</v>
      </c>
      <c r="E73" s="616" t="s">
        <v>3147</v>
      </c>
      <c r="F73" s="619">
        <v>3</v>
      </c>
      <c r="G73" s="619">
        <v>0</v>
      </c>
      <c r="H73" s="619"/>
      <c r="I73" s="619">
        <v>0</v>
      </c>
      <c r="J73" s="619">
        <v>2</v>
      </c>
      <c r="K73" s="619">
        <v>0</v>
      </c>
      <c r="L73" s="619"/>
      <c r="M73" s="619">
        <v>0</v>
      </c>
      <c r="N73" s="619">
        <v>2</v>
      </c>
      <c r="O73" s="619">
        <v>0</v>
      </c>
      <c r="P73" s="640"/>
      <c r="Q73" s="620">
        <v>0</v>
      </c>
    </row>
    <row r="74" spans="1:17" ht="14.4" customHeight="1" x14ac:dyDescent="0.3">
      <c r="A74" s="615" t="s">
        <v>471</v>
      </c>
      <c r="B74" s="616" t="s">
        <v>3021</v>
      </c>
      <c r="C74" s="616" t="s">
        <v>3011</v>
      </c>
      <c r="D74" s="616" t="s">
        <v>3148</v>
      </c>
      <c r="E74" s="616" t="s">
        <v>3149</v>
      </c>
      <c r="F74" s="619"/>
      <c r="G74" s="619"/>
      <c r="H74" s="619"/>
      <c r="I74" s="619"/>
      <c r="J74" s="619"/>
      <c r="K74" s="619"/>
      <c r="L74" s="619"/>
      <c r="M74" s="619"/>
      <c r="N74" s="619">
        <v>1</v>
      </c>
      <c r="O74" s="619">
        <v>5432</v>
      </c>
      <c r="P74" s="640"/>
      <c r="Q74" s="620">
        <v>5432</v>
      </c>
    </row>
    <row r="75" spans="1:17" ht="14.4" customHeight="1" x14ac:dyDescent="0.3">
      <c r="A75" s="615" t="s">
        <v>471</v>
      </c>
      <c r="B75" s="616" t="s">
        <v>3021</v>
      </c>
      <c r="C75" s="616" t="s">
        <v>3011</v>
      </c>
      <c r="D75" s="616" t="s">
        <v>3150</v>
      </c>
      <c r="E75" s="616" t="s">
        <v>3151</v>
      </c>
      <c r="F75" s="619"/>
      <c r="G75" s="619"/>
      <c r="H75" s="619"/>
      <c r="I75" s="619"/>
      <c r="J75" s="619">
        <v>1</v>
      </c>
      <c r="K75" s="619">
        <v>3528</v>
      </c>
      <c r="L75" s="619"/>
      <c r="M75" s="619">
        <v>3528</v>
      </c>
      <c r="N75" s="619"/>
      <c r="O75" s="619"/>
      <c r="P75" s="640"/>
      <c r="Q75" s="620"/>
    </row>
    <row r="76" spans="1:17" ht="14.4" customHeight="1" x14ac:dyDescent="0.3">
      <c r="A76" s="615" t="s">
        <v>471</v>
      </c>
      <c r="B76" s="616" t="s">
        <v>3021</v>
      </c>
      <c r="C76" s="616" t="s">
        <v>3011</v>
      </c>
      <c r="D76" s="616" t="s">
        <v>3152</v>
      </c>
      <c r="E76" s="616" t="s">
        <v>3153</v>
      </c>
      <c r="F76" s="619">
        <v>1</v>
      </c>
      <c r="G76" s="619">
        <v>2445</v>
      </c>
      <c r="H76" s="619">
        <v>1</v>
      </c>
      <c r="I76" s="619">
        <v>2445</v>
      </c>
      <c r="J76" s="619"/>
      <c r="K76" s="619"/>
      <c r="L76" s="619"/>
      <c r="M76" s="619"/>
      <c r="N76" s="619"/>
      <c r="O76" s="619"/>
      <c r="P76" s="640"/>
      <c r="Q76" s="620"/>
    </row>
    <row r="77" spans="1:17" ht="14.4" customHeight="1" x14ac:dyDescent="0.3">
      <c r="A77" s="615" t="s">
        <v>471</v>
      </c>
      <c r="B77" s="616" t="s">
        <v>3021</v>
      </c>
      <c r="C77" s="616" t="s">
        <v>3011</v>
      </c>
      <c r="D77" s="616" t="s">
        <v>3154</v>
      </c>
      <c r="E77" s="616" t="s">
        <v>3155</v>
      </c>
      <c r="F77" s="619"/>
      <c r="G77" s="619"/>
      <c r="H77" s="619"/>
      <c r="I77" s="619"/>
      <c r="J77" s="619"/>
      <c r="K77" s="619"/>
      <c r="L77" s="619"/>
      <c r="M77" s="619"/>
      <c r="N77" s="619">
        <v>2</v>
      </c>
      <c r="O77" s="619">
        <v>16864</v>
      </c>
      <c r="P77" s="640"/>
      <c r="Q77" s="620">
        <v>8432</v>
      </c>
    </row>
    <row r="78" spans="1:17" ht="14.4" customHeight="1" x14ac:dyDescent="0.3">
      <c r="A78" s="615" t="s">
        <v>471</v>
      </c>
      <c r="B78" s="616" t="s">
        <v>3021</v>
      </c>
      <c r="C78" s="616" t="s">
        <v>3011</v>
      </c>
      <c r="D78" s="616" t="s">
        <v>3156</v>
      </c>
      <c r="E78" s="616" t="s">
        <v>3157</v>
      </c>
      <c r="F78" s="619"/>
      <c r="G78" s="619"/>
      <c r="H78" s="619"/>
      <c r="I78" s="619"/>
      <c r="J78" s="619"/>
      <c r="K78" s="619"/>
      <c r="L78" s="619"/>
      <c r="M78" s="619"/>
      <c r="N78" s="619">
        <v>1</v>
      </c>
      <c r="O78" s="619">
        <v>0</v>
      </c>
      <c r="P78" s="640"/>
      <c r="Q78" s="620">
        <v>0</v>
      </c>
    </row>
    <row r="79" spans="1:17" ht="14.4" customHeight="1" x14ac:dyDescent="0.3">
      <c r="A79" s="615" t="s">
        <v>471</v>
      </c>
      <c r="B79" s="616" t="s">
        <v>3021</v>
      </c>
      <c r="C79" s="616" t="s">
        <v>3011</v>
      </c>
      <c r="D79" s="616" t="s">
        <v>3158</v>
      </c>
      <c r="E79" s="616" t="s">
        <v>3159</v>
      </c>
      <c r="F79" s="619"/>
      <c r="G79" s="619"/>
      <c r="H79" s="619"/>
      <c r="I79" s="619"/>
      <c r="J79" s="619">
        <v>1</v>
      </c>
      <c r="K79" s="619">
        <v>5589</v>
      </c>
      <c r="L79" s="619"/>
      <c r="M79" s="619">
        <v>5589</v>
      </c>
      <c r="N79" s="619"/>
      <c r="O79" s="619"/>
      <c r="P79" s="640"/>
      <c r="Q79" s="620"/>
    </row>
    <row r="80" spans="1:17" ht="14.4" customHeight="1" x14ac:dyDescent="0.3">
      <c r="A80" s="615" t="s">
        <v>471</v>
      </c>
      <c r="B80" s="616" t="s">
        <v>3021</v>
      </c>
      <c r="C80" s="616" t="s">
        <v>3011</v>
      </c>
      <c r="D80" s="616" t="s">
        <v>3160</v>
      </c>
      <c r="E80" s="616" t="s">
        <v>3161</v>
      </c>
      <c r="F80" s="619">
        <v>1</v>
      </c>
      <c r="G80" s="619">
        <v>4657</v>
      </c>
      <c r="H80" s="619">
        <v>1</v>
      </c>
      <c r="I80" s="619">
        <v>4657</v>
      </c>
      <c r="J80" s="619">
        <v>3</v>
      </c>
      <c r="K80" s="619">
        <v>14025</v>
      </c>
      <c r="L80" s="619">
        <v>3.0115954477131202</v>
      </c>
      <c r="M80" s="619">
        <v>4675</v>
      </c>
      <c r="N80" s="619">
        <v>6</v>
      </c>
      <c r="O80" s="619">
        <v>28368</v>
      </c>
      <c r="P80" s="640">
        <v>6.0914751986257247</v>
      </c>
      <c r="Q80" s="620">
        <v>4728</v>
      </c>
    </row>
    <row r="81" spans="1:17" ht="14.4" customHeight="1" x14ac:dyDescent="0.3">
      <c r="A81" s="615" t="s">
        <v>471</v>
      </c>
      <c r="B81" s="616" t="s">
        <v>3021</v>
      </c>
      <c r="C81" s="616" t="s">
        <v>3011</v>
      </c>
      <c r="D81" s="616" t="s">
        <v>3162</v>
      </c>
      <c r="E81" s="616" t="s">
        <v>3163</v>
      </c>
      <c r="F81" s="619">
        <v>3</v>
      </c>
      <c r="G81" s="619">
        <v>13623</v>
      </c>
      <c r="H81" s="619">
        <v>1</v>
      </c>
      <c r="I81" s="619">
        <v>4541</v>
      </c>
      <c r="J81" s="619">
        <v>4</v>
      </c>
      <c r="K81" s="619">
        <v>18228</v>
      </c>
      <c r="L81" s="619">
        <v>1.3380312706452324</v>
      </c>
      <c r="M81" s="619">
        <v>4557</v>
      </c>
      <c r="N81" s="619">
        <v>2</v>
      </c>
      <c r="O81" s="619">
        <v>9332</v>
      </c>
      <c r="P81" s="640">
        <v>0.68501798429127214</v>
      </c>
      <c r="Q81" s="620">
        <v>4666</v>
      </c>
    </row>
    <row r="82" spans="1:17" ht="14.4" customHeight="1" x14ac:dyDescent="0.3">
      <c r="A82" s="615" t="s">
        <v>471</v>
      </c>
      <c r="B82" s="616" t="s">
        <v>3021</v>
      </c>
      <c r="C82" s="616" t="s">
        <v>3011</v>
      </c>
      <c r="D82" s="616" t="s">
        <v>3164</v>
      </c>
      <c r="E82" s="616" t="s">
        <v>3165</v>
      </c>
      <c r="F82" s="619">
        <v>1</v>
      </c>
      <c r="G82" s="619">
        <v>11811</v>
      </c>
      <c r="H82" s="619">
        <v>1</v>
      </c>
      <c r="I82" s="619">
        <v>11811</v>
      </c>
      <c r="J82" s="619">
        <v>1</v>
      </c>
      <c r="K82" s="619">
        <v>11958</v>
      </c>
      <c r="L82" s="619">
        <v>1.0124460248920497</v>
      </c>
      <c r="M82" s="619">
        <v>11958</v>
      </c>
      <c r="N82" s="619"/>
      <c r="O82" s="619"/>
      <c r="P82" s="640"/>
      <c r="Q82" s="620"/>
    </row>
    <row r="83" spans="1:17" ht="14.4" customHeight="1" x14ac:dyDescent="0.3">
      <c r="A83" s="615" t="s">
        <v>471</v>
      </c>
      <c r="B83" s="616" t="s">
        <v>3021</v>
      </c>
      <c r="C83" s="616" t="s">
        <v>3011</v>
      </c>
      <c r="D83" s="616" t="s">
        <v>3166</v>
      </c>
      <c r="E83" s="616" t="s">
        <v>3167</v>
      </c>
      <c r="F83" s="619">
        <v>2</v>
      </c>
      <c r="G83" s="619">
        <v>4690</v>
      </c>
      <c r="H83" s="619">
        <v>1</v>
      </c>
      <c r="I83" s="619">
        <v>2345</v>
      </c>
      <c r="J83" s="619"/>
      <c r="K83" s="619"/>
      <c r="L83" s="619"/>
      <c r="M83" s="619"/>
      <c r="N83" s="619"/>
      <c r="O83" s="619"/>
      <c r="P83" s="640"/>
      <c r="Q83" s="620"/>
    </row>
    <row r="84" spans="1:17" ht="14.4" customHeight="1" x14ac:dyDescent="0.3">
      <c r="A84" s="615" t="s">
        <v>471</v>
      </c>
      <c r="B84" s="616" t="s">
        <v>3021</v>
      </c>
      <c r="C84" s="616" t="s">
        <v>3011</v>
      </c>
      <c r="D84" s="616" t="s">
        <v>3168</v>
      </c>
      <c r="E84" s="616" t="s">
        <v>3169</v>
      </c>
      <c r="F84" s="619">
        <v>1</v>
      </c>
      <c r="G84" s="619">
        <v>6105</v>
      </c>
      <c r="H84" s="619">
        <v>1</v>
      </c>
      <c r="I84" s="619">
        <v>6105</v>
      </c>
      <c r="J84" s="619"/>
      <c r="K84" s="619"/>
      <c r="L84" s="619"/>
      <c r="M84" s="619"/>
      <c r="N84" s="619"/>
      <c r="O84" s="619"/>
      <c r="P84" s="640"/>
      <c r="Q84" s="620"/>
    </row>
    <row r="85" spans="1:17" ht="14.4" customHeight="1" x14ac:dyDescent="0.3">
      <c r="A85" s="615" t="s">
        <v>471</v>
      </c>
      <c r="B85" s="616" t="s">
        <v>3021</v>
      </c>
      <c r="C85" s="616" t="s">
        <v>3011</v>
      </c>
      <c r="D85" s="616" t="s">
        <v>3170</v>
      </c>
      <c r="E85" s="616" t="s">
        <v>3171</v>
      </c>
      <c r="F85" s="619"/>
      <c r="G85" s="619"/>
      <c r="H85" s="619"/>
      <c r="I85" s="619"/>
      <c r="J85" s="619"/>
      <c r="K85" s="619"/>
      <c r="L85" s="619"/>
      <c r="M85" s="619"/>
      <c r="N85" s="619">
        <v>2</v>
      </c>
      <c r="O85" s="619">
        <v>0</v>
      </c>
      <c r="P85" s="640"/>
      <c r="Q85" s="620">
        <v>0</v>
      </c>
    </row>
    <row r="86" spans="1:17" ht="14.4" customHeight="1" x14ac:dyDescent="0.3">
      <c r="A86" s="615" t="s">
        <v>471</v>
      </c>
      <c r="B86" s="616" t="s">
        <v>3021</v>
      </c>
      <c r="C86" s="616" t="s">
        <v>3011</v>
      </c>
      <c r="D86" s="616" t="s">
        <v>3172</v>
      </c>
      <c r="E86" s="616" t="s">
        <v>3173</v>
      </c>
      <c r="F86" s="619">
        <v>1</v>
      </c>
      <c r="G86" s="619">
        <v>5125</v>
      </c>
      <c r="H86" s="619">
        <v>1</v>
      </c>
      <c r="I86" s="619">
        <v>5125</v>
      </c>
      <c r="J86" s="619">
        <v>3</v>
      </c>
      <c r="K86" s="619">
        <v>15411</v>
      </c>
      <c r="L86" s="619">
        <v>3.0070243902439024</v>
      </c>
      <c r="M86" s="619">
        <v>5137</v>
      </c>
      <c r="N86" s="619">
        <v>4</v>
      </c>
      <c r="O86" s="619">
        <v>21128</v>
      </c>
      <c r="P86" s="640">
        <v>4.1225365853658538</v>
      </c>
      <c r="Q86" s="620">
        <v>5282</v>
      </c>
    </row>
    <row r="87" spans="1:17" ht="14.4" customHeight="1" x14ac:dyDescent="0.3">
      <c r="A87" s="615" t="s">
        <v>471</v>
      </c>
      <c r="B87" s="616" t="s">
        <v>3021</v>
      </c>
      <c r="C87" s="616" t="s">
        <v>3011</v>
      </c>
      <c r="D87" s="616" t="s">
        <v>3174</v>
      </c>
      <c r="E87" s="616" t="s">
        <v>3175</v>
      </c>
      <c r="F87" s="619"/>
      <c r="G87" s="619"/>
      <c r="H87" s="619"/>
      <c r="I87" s="619"/>
      <c r="J87" s="619">
        <v>2</v>
      </c>
      <c r="K87" s="619">
        <v>0</v>
      </c>
      <c r="L87" s="619"/>
      <c r="M87" s="619">
        <v>0</v>
      </c>
      <c r="N87" s="619"/>
      <c r="O87" s="619"/>
      <c r="P87" s="640"/>
      <c r="Q87" s="620"/>
    </row>
    <row r="88" spans="1:17" ht="14.4" customHeight="1" x14ac:dyDescent="0.3">
      <c r="A88" s="615" t="s">
        <v>471</v>
      </c>
      <c r="B88" s="616" t="s">
        <v>3021</v>
      </c>
      <c r="C88" s="616" t="s">
        <v>3011</v>
      </c>
      <c r="D88" s="616" t="s">
        <v>3176</v>
      </c>
      <c r="E88" s="616" t="s">
        <v>3177</v>
      </c>
      <c r="F88" s="619">
        <v>1</v>
      </c>
      <c r="G88" s="619">
        <v>10597</v>
      </c>
      <c r="H88" s="619">
        <v>1</v>
      </c>
      <c r="I88" s="619">
        <v>10597</v>
      </c>
      <c r="J88" s="619"/>
      <c r="K88" s="619"/>
      <c r="L88" s="619"/>
      <c r="M88" s="619"/>
      <c r="N88" s="619">
        <v>2</v>
      </c>
      <c r="O88" s="619">
        <v>22008</v>
      </c>
      <c r="P88" s="640">
        <v>2.0768141926960459</v>
      </c>
      <c r="Q88" s="620">
        <v>11004</v>
      </c>
    </row>
    <row r="89" spans="1:17" ht="14.4" customHeight="1" x14ac:dyDescent="0.3">
      <c r="A89" s="615" t="s">
        <v>471</v>
      </c>
      <c r="B89" s="616" t="s">
        <v>3021</v>
      </c>
      <c r="C89" s="616" t="s">
        <v>3011</v>
      </c>
      <c r="D89" s="616" t="s">
        <v>3178</v>
      </c>
      <c r="E89" s="616" t="s">
        <v>3179</v>
      </c>
      <c r="F89" s="619"/>
      <c r="G89" s="619"/>
      <c r="H89" s="619"/>
      <c r="I89" s="619"/>
      <c r="J89" s="619">
        <v>1</v>
      </c>
      <c r="K89" s="619">
        <v>0</v>
      </c>
      <c r="L89" s="619"/>
      <c r="M89" s="619">
        <v>0</v>
      </c>
      <c r="N89" s="619"/>
      <c r="O89" s="619"/>
      <c r="P89" s="640"/>
      <c r="Q89" s="620"/>
    </row>
    <row r="90" spans="1:17" ht="14.4" customHeight="1" x14ac:dyDescent="0.3">
      <c r="A90" s="615" t="s">
        <v>471</v>
      </c>
      <c r="B90" s="616" t="s">
        <v>3021</v>
      </c>
      <c r="C90" s="616" t="s">
        <v>3011</v>
      </c>
      <c r="D90" s="616" t="s">
        <v>3180</v>
      </c>
      <c r="E90" s="616" t="s">
        <v>3181</v>
      </c>
      <c r="F90" s="619"/>
      <c r="G90" s="619"/>
      <c r="H90" s="619"/>
      <c r="I90" s="619"/>
      <c r="J90" s="619">
        <v>1</v>
      </c>
      <c r="K90" s="619">
        <v>8875</v>
      </c>
      <c r="L90" s="619"/>
      <c r="M90" s="619">
        <v>8875</v>
      </c>
      <c r="N90" s="619"/>
      <c r="O90" s="619"/>
      <c r="P90" s="640"/>
      <c r="Q90" s="620"/>
    </row>
    <row r="91" spans="1:17" ht="14.4" customHeight="1" x14ac:dyDescent="0.3">
      <c r="A91" s="615" t="s">
        <v>471</v>
      </c>
      <c r="B91" s="616" t="s">
        <v>3021</v>
      </c>
      <c r="C91" s="616" t="s">
        <v>3011</v>
      </c>
      <c r="D91" s="616" t="s">
        <v>3182</v>
      </c>
      <c r="E91" s="616" t="s">
        <v>3183</v>
      </c>
      <c r="F91" s="619"/>
      <c r="G91" s="619"/>
      <c r="H91" s="619"/>
      <c r="I91" s="619"/>
      <c r="J91" s="619"/>
      <c r="K91" s="619"/>
      <c r="L91" s="619"/>
      <c r="M91" s="619"/>
      <c r="N91" s="619">
        <v>1</v>
      </c>
      <c r="O91" s="619">
        <v>4114</v>
      </c>
      <c r="P91" s="640"/>
      <c r="Q91" s="620">
        <v>4114</v>
      </c>
    </row>
    <row r="92" spans="1:17" ht="14.4" customHeight="1" x14ac:dyDescent="0.3">
      <c r="A92" s="615" t="s">
        <v>471</v>
      </c>
      <c r="B92" s="616" t="s">
        <v>3021</v>
      </c>
      <c r="C92" s="616" t="s">
        <v>3011</v>
      </c>
      <c r="D92" s="616" t="s">
        <v>3184</v>
      </c>
      <c r="E92" s="616" t="s">
        <v>3185</v>
      </c>
      <c r="F92" s="619">
        <v>1</v>
      </c>
      <c r="G92" s="619">
        <v>0</v>
      </c>
      <c r="H92" s="619"/>
      <c r="I92" s="619">
        <v>0</v>
      </c>
      <c r="J92" s="619"/>
      <c r="K92" s="619"/>
      <c r="L92" s="619"/>
      <c r="M92" s="619"/>
      <c r="N92" s="619"/>
      <c r="O92" s="619"/>
      <c r="P92" s="640"/>
      <c r="Q92" s="620"/>
    </row>
    <row r="93" spans="1:17" ht="14.4" customHeight="1" x14ac:dyDescent="0.3">
      <c r="A93" s="615" t="s">
        <v>471</v>
      </c>
      <c r="B93" s="616" t="s">
        <v>3021</v>
      </c>
      <c r="C93" s="616" t="s">
        <v>3011</v>
      </c>
      <c r="D93" s="616" t="s">
        <v>3186</v>
      </c>
      <c r="E93" s="616" t="s">
        <v>3187</v>
      </c>
      <c r="F93" s="619">
        <v>1</v>
      </c>
      <c r="G93" s="619">
        <v>249</v>
      </c>
      <c r="H93" s="619">
        <v>1</v>
      </c>
      <c r="I93" s="619">
        <v>249</v>
      </c>
      <c r="J93" s="619">
        <v>1</v>
      </c>
      <c r="K93" s="619">
        <v>254</v>
      </c>
      <c r="L93" s="619">
        <v>1.0200803212851406</v>
      </c>
      <c r="M93" s="619">
        <v>254</v>
      </c>
      <c r="N93" s="619"/>
      <c r="O93" s="619"/>
      <c r="P93" s="640"/>
      <c r="Q93" s="620"/>
    </row>
    <row r="94" spans="1:17" ht="14.4" customHeight="1" x14ac:dyDescent="0.3">
      <c r="A94" s="615" t="s">
        <v>471</v>
      </c>
      <c r="B94" s="616" t="s">
        <v>3021</v>
      </c>
      <c r="C94" s="616" t="s">
        <v>3011</v>
      </c>
      <c r="D94" s="616" t="s">
        <v>3188</v>
      </c>
      <c r="E94" s="616" t="s">
        <v>3189</v>
      </c>
      <c r="F94" s="619"/>
      <c r="G94" s="619"/>
      <c r="H94" s="619"/>
      <c r="I94" s="619"/>
      <c r="J94" s="619">
        <v>2</v>
      </c>
      <c r="K94" s="619">
        <v>7114</v>
      </c>
      <c r="L94" s="619"/>
      <c r="M94" s="619">
        <v>3557</v>
      </c>
      <c r="N94" s="619"/>
      <c r="O94" s="619"/>
      <c r="P94" s="640"/>
      <c r="Q94" s="620"/>
    </row>
    <row r="95" spans="1:17" ht="14.4" customHeight="1" x14ac:dyDescent="0.3">
      <c r="A95" s="615" t="s">
        <v>471</v>
      </c>
      <c r="B95" s="616" t="s">
        <v>3021</v>
      </c>
      <c r="C95" s="616" t="s">
        <v>3011</v>
      </c>
      <c r="D95" s="616" t="s">
        <v>3190</v>
      </c>
      <c r="E95" s="616" t="s">
        <v>3191</v>
      </c>
      <c r="F95" s="619"/>
      <c r="G95" s="619"/>
      <c r="H95" s="619"/>
      <c r="I95" s="619"/>
      <c r="J95" s="619">
        <v>1</v>
      </c>
      <c r="K95" s="619">
        <v>6056</v>
      </c>
      <c r="L95" s="619"/>
      <c r="M95" s="619">
        <v>6056</v>
      </c>
      <c r="N95" s="619">
        <v>1</v>
      </c>
      <c r="O95" s="619">
        <v>6202</v>
      </c>
      <c r="P95" s="640"/>
      <c r="Q95" s="620">
        <v>6202</v>
      </c>
    </row>
    <row r="96" spans="1:17" ht="14.4" customHeight="1" x14ac:dyDescent="0.3">
      <c r="A96" s="615" t="s">
        <v>471</v>
      </c>
      <c r="B96" s="616" t="s">
        <v>3021</v>
      </c>
      <c r="C96" s="616" t="s">
        <v>3011</v>
      </c>
      <c r="D96" s="616" t="s">
        <v>3192</v>
      </c>
      <c r="E96" s="616" t="s">
        <v>3193</v>
      </c>
      <c r="F96" s="619"/>
      <c r="G96" s="619"/>
      <c r="H96" s="619"/>
      <c r="I96" s="619"/>
      <c r="J96" s="619"/>
      <c r="K96" s="619"/>
      <c r="L96" s="619"/>
      <c r="M96" s="619"/>
      <c r="N96" s="619">
        <v>1</v>
      </c>
      <c r="O96" s="619">
        <v>0</v>
      </c>
      <c r="P96" s="640"/>
      <c r="Q96" s="620">
        <v>0</v>
      </c>
    </row>
    <row r="97" spans="1:17" ht="14.4" customHeight="1" x14ac:dyDescent="0.3">
      <c r="A97" s="615" t="s">
        <v>471</v>
      </c>
      <c r="B97" s="616" t="s">
        <v>3021</v>
      </c>
      <c r="C97" s="616" t="s">
        <v>3011</v>
      </c>
      <c r="D97" s="616" t="s">
        <v>3194</v>
      </c>
      <c r="E97" s="616" t="s">
        <v>3195</v>
      </c>
      <c r="F97" s="619"/>
      <c r="G97" s="619"/>
      <c r="H97" s="619"/>
      <c r="I97" s="619"/>
      <c r="J97" s="619">
        <v>1</v>
      </c>
      <c r="K97" s="619">
        <v>3432</v>
      </c>
      <c r="L97" s="619"/>
      <c r="M97" s="619">
        <v>3432</v>
      </c>
      <c r="N97" s="619"/>
      <c r="O97" s="619"/>
      <c r="P97" s="640"/>
      <c r="Q97" s="620"/>
    </row>
    <row r="98" spans="1:17" ht="14.4" customHeight="1" x14ac:dyDescent="0.3">
      <c r="A98" s="615" t="s">
        <v>471</v>
      </c>
      <c r="B98" s="616" t="s">
        <v>3021</v>
      </c>
      <c r="C98" s="616" t="s">
        <v>3011</v>
      </c>
      <c r="D98" s="616" t="s">
        <v>3196</v>
      </c>
      <c r="E98" s="616" t="s">
        <v>3197</v>
      </c>
      <c r="F98" s="619">
        <v>2</v>
      </c>
      <c r="G98" s="619">
        <v>16056</v>
      </c>
      <c r="H98" s="619">
        <v>1</v>
      </c>
      <c r="I98" s="619">
        <v>8028</v>
      </c>
      <c r="J98" s="619"/>
      <c r="K98" s="619"/>
      <c r="L98" s="619"/>
      <c r="M98" s="619"/>
      <c r="N98" s="619"/>
      <c r="O98" s="619"/>
      <c r="P98" s="640"/>
      <c r="Q98" s="620"/>
    </row>
    <row r="99" spans="1:17" ht="14.4" customHeight="1" x14ac:dyDescent="0.3">
      <c r="A99" s="615" t="s">
        <v>471</v>
      </c>
      <c r="B99" s="616" t="s">
        <v>3021</v>
      </c>
      <c r="C99" s="616" t="s">
        <v>3011</v>
      </c>
      <c r="D99" s="616" t="s">
        <v>3198</v>
      </c>
      <c r="E99" s="616" t="s">
        <v>3199</v>
      </c>
      <c r="F99" s="619">
        <v>1</v>
      </c>
      <c r="G99" s="619">
        <v>6138</v>
      </c>
      <c r="H99" s="619">
        <v>1</v>
      </c>
      <c r="I99" s="619">
        <v>6138</v>
      </c>
      <c r="J99" s="619">
        <v>1</v>
      </c>
      <c r="K99" s="619">
        <v>6154</v>
      </c>
      <c r="L99" s="619">
        <v>1.0026067122841316</v>
      </c>
      <c r="M99" s="619">
        <v>6154</v>
      </c>
      <c r="N99" s="619"/>
      <c r="O99" s="619"/>
      <c r="P99" s="640"/>
      <c r="Q99" s="620"/>
    </row>
    <row r="100" spans="1:17" ht="14.4" customHeight="1" x14ac:dyDescent="0.3">
      <c r="A100" s="615" t="s">
        <v>471</v>
      </c>
      <c r="B100" s="616" t="s">
        <v>3021</v>
      </c>
      <c r="C100" s="616" t="s">
        <v>3011</v>
      </c>
      <c r="D100" s="616" t="s">
        <v>3200</v>
      </c>
      <c r="E100" s="616" t="s">
        <v>3201</v>
      </c>
      <c r="F100" s="619"/>
      <c r="G100" s="619"/>
      <c r="H100" s="619"/>
      <c r="I100" s="619"/>
      <c r="J100" s="619">
        <v>1</v>
      </c>
      <c r="K100" s="619">
        <v>0</v>
      </c>
      <c r="L100" s="619"/>
      <c r="M100" s="619">
        <v>0</v>
      </c>
      <c r="N100" s="619"/>
      <c r="O100" s="619"/>
      <c r="P100" s="640"/>
      <c r="Q100" s="620"/>
    </row>
    <row r="101" spans="1:17" ht="14.4" customHeight="1" x14ac:dyDescent="0.3">
      <c r="A101" s="615" t="s">
        <v>471</v>
      </c>
      <c r="B101" s="616" t="s">
        <v>3021</v>
      </c>
      <c r="C101" s="616" t="s">
        <v>3011</v>
      </c>
      <c r="D101" s="616" t="s">
        <v>3202</v>
      </c>
      <c r="E101" s="616" t="s">
        <v>3203</v>
      </c>
      <c r="F101" s="619">
        <v>1</v>
      </c>
      <c r="G101" s="619">
        <v>0</v>
      </c>
      <c r="H101" s="619"/>
      <c r="I101" s="619">
        <v>0</v>
      </c>
      <c r="J101" s="619"/>
      <c r="K101" s="619"/>
      <c r="L101" s="619"/>
      <c r="M101" s="619"/>
      <c r="N101" s="619"/>
      <c r="O101" s="619"/>
      <c r="P101" s="640"/>
      <c r="Q101" s="620"/>
    </row>
    <row r="102" spans="1:17" ht="14.4" customHeight="1" x14ac:dyDescent="0.3">
      <c r="A102" s="615" t="s">
        <v>471</v>
      </c>
      <c r="B102" s="616" t="s">
        <v>3021</v>
      </c>
      <c r="C102" s="616" t="s">
        <v>3011</v>
      </c>
      <c r="D102" s="616" t="s">
        <v>3204</v>
      </c>
      <c r="E102" s="616" t="s">
        <v>3205</v>
      </c>
      <c r="F102" s="619">
        <v>2</v>
      </c>
      <c r="G102" s="619">
        <v>3434</v>
      </c>
      <c r="H102" s="619">
        <v>1</v>
      </c>
      <c r="I102" s="619">
        <v>1717</v>
      </c>
      <c r="J102" s="619"/>
      <c r="K102" s="619"/>
      <c r="L102" s="619"/>
      <c r="M102" s="619"/>
      <c r="N102" s="619"/>
      <c r="O102" s="619"/>
      <c r="P102" s="640"/>
      <c r="Q102" s="620"/>
    </row>
    <row r="103" spans="1:17" ht="14.4" customHeight="1" x14ac:dyDescent="0.3">
      <c r="A103" s="615" t="s">
        <v>471</v>
      </c>
      <c r="B103" s="616" t="s">
        <v>3021</v>
      </c>
      <c r="C103" s="616" t="s">
        <v>3011</v>
      </c>
      <c r="D103" s="616" t="s">
        <v>3206</v>
      </c>
      <c r="E103" s="616" t="s">
        <v>3207</v>
      </c>
      <c r="F103" s="619"/>
      <c r="G103" s="619"/>
      <c r="H103" s="619"/>
      <c r="I103" s="619"/>
      <c r="J103" s="619"/>
      <c r="K103" s="619"/>
      <c r="L103" s="619"/>
      <c r="M103" s="619"/>
      <c r="N103" s="619">
        <v>1</v>
      </c>
      <c r="O103" s="619">
        <v>0</v>
      </c>
      <c r="P103" s="640"/>
      <c r="Q103" s="620">
        <v>0</v>
      </c>
    </row>
    <row r="104" spans="1:17" ht="14.4" customHeight="1" x14ac:dyDescent="0.3">
      <c r="A104" s="615" t="s">
        <v>471</v>
      </c>
      <c r="B104" s="616" t="s">
        <v>3021</v>
      </c>
      <c r="C104" s="616" t="s">
        <v>3011</v>
      </c>
      <c r="D104" s="616" t="s">
        <v>3208</v>
      </c>
      <c r="E104" s="616" t="s">
        <v>3209</v>
      </c>
      <c r="F104" s="619"/>
      <c r="G104" s="619"/>
      <c r="H104" s="619"/>
      <c r="I104" s="619"/>
      <c r="J104" s="619"/>
      <c r="K104" s="619"/>
      <c r="L104" s="619"/>
      <c r="M104" s="619"/>
      <c r="N104" s="619">
        <v>1</v>
      </c>
      <c r="O104" s="619">
        <v>0</v>
      </c>
      <c r="P104" s="640"/>
      <c r="Q104" s="620">
        <v>0</v>
      </c>
    </row>
    <row r="105" spans="1:17" ht="14.4" customHeight="1" x14ac:dyDescent="0.3">
      <c r="A105" s="615" t="s">
        <v>471</v>
      </c>
      <c r="B105" s="616" t="s">
        <v>3210</v>
      </c>
      <c r="C105" s="616" t="s">
        <v>3011</v>
      </c>
      <c r="D105" s="616" t="s">
        <v>3039</v>
      </c>
      <c r="E105" s="616" t="s">
        <v>3040</v>
      </c>
      <c r="F105" s="619">
        <v>2</v>
      </c>
      <c r="G105" s="619">
        <v>3234</v>
      </c>
      <c r="H105" s="619">
        <v>1</v>
      </c>
      <c r="I105" s="619">
        <v>1617</v>
      </c>
      <c r="J105" s="619"/>
      <c r="K105" s="619"/>
      <c r="L105" s="619"/>
      <c r="M105" s="619"/>
      <c r="N105" s="619"/>
      <c r="O105" s="619"/>
      <c r="P105" s="640"/>
      <c r="Q105" s="620"/>
    </row>
    <row r="106" spans="1:17" ht="14.4" customHeight="1" x14ac:dyDescent="0.3">
      <c r="A106" s="615" t="s">
        <v>471</v>
      </c>
      <c r="B106" s="616" t="s">
        <v>3210</v>
      </c>
      <c r="C106" s="616" t="s">
        <v>3011</v>
      </c>
      <c r="D106" s="616" t="s">
        <v>3049</v>
      </c>
      <c r="E106" s="616" t="s">
        <v>3050</v>
      </c>
      <c r="F106" s="619">
        <v>9</v>
      </c>
      <c r="G106" s="619">
        <v>6179</v>
      </c>
      <c r="H106" s="619">
        <v>1</v>
      </c>
      <c r="I106" s="619">
        <v>686.55555555555554</v>
      </c>
      <c r="J106" s="619">
        <v>6</v>
      </c>
      <c r="K106" s="619">
        <v>4176</v>
      </c>
      <c r="L106" s="619">
        <v>0.67583751416086746</v>
      </c>
      <c r="M106" s="619">
        <v>696</v>
      </c>
      <c r="N106" s="619">
        <v>14</v>
      </c>
      <c r="O106" s="619">
        <v>9926</v>
      </c>
      <c r="P106" s="640">
        <v>1.6064088040135944</v>
      </c>
      <c r="Q106" s="620">
        <v>709</v>
      </c>
    </row>
    <row r="107" spans="1:17" ht="14.4" customHeight="1" x14ac:dyDescent="0.3">
      <c r="A107" s="615" t="s">
        <v>471</v>
      </c>
      <c r="B107" s="616" t="s">
        <v>3210</v>
      </c>
      <c r="C107" s="616" t="s">
        <v>3011</v>
      </c>
      <c r="D107" s="616" t="s">
        <v>3211</v>
      </c>
      <c r="E107" s="616" t="s">
        <v>3212</v>
      </c>
      <c r="F107" s="619">
        <v>1</v>
      </c>
      <c r="G107" s="619">
        <v>200</v>
      </c>
      <c r="H107" s="619">
        <v>1</v>
      </c>
      <c r="I107" s="619">
        <v>200</v>
      </c>
      <c r="J107" s="619">
        <v>1</v>
      </c>
      <c r="K107" s="619">
        <v>201</v>
      </c>
      <c r="L107" s="619">
        <v>1.0049999999999999</v>
      </c>
      <c r="M107" s="619">
        <v>201</v>
      </c>
      <c r="N107" s="619"/>
      <c r="O107" s="619"/>
      <c r="P107" s="640"/>
      <c r="Q107" s="620"/>
    </row>
    <row r="108" spans="1:17" ht="14.4" customHeight="1" x14ac:dyDescent="0.3">
      <c r="A108" s="615" t="s">
        <v>471</v>
      </c>
      <c r="B108" s="616" t="s">
        <v>3210</v>
      </c>
      <c r="C108" s="616" t="s">
        <v>3011</v>
      </c>
      <c r="D108" s="616" t="s">
        <v>3213</v>
      </c>
      <c r="E108" s="616" t="s">
        <v>3214</v>
      </c>
      <c r="F108" s="619"/>
      <c r="G108" s="619"/>
      <c r="H108" s="619"/>
      <c r="I108" s="619"/>
      <c r="J108" s="619">
        <v>1</v>
      </c>
      <c r="K108" s="619">
        <v>301</v>
      </c>
      <c r="L108" s="619"/>
      <c r="M108" s="619">
        <v>301</v>
      </c>
      <c r="N108" s="619">
        <v>2</v>
      </c>
      <c r="O108" s="619">
        <v>618</v>
      </c>
      <c r="P108" s="640"/>
      <c r="Q108" s="620">
        <v>309</v>
      </c>
    </row>
    <row r="109" spans="1:17" ht="14.4" customHeight="1" x14ac:dyDescent="0.3">
      <c r="A109" s="615" t="s">
        <v>471</v>
      </c>
      <c r="B109" s="616" t="s">
        <v>3210</v>
      </c>
      <c r="C109" s="616" t="s">
        <v>3011</v>
      </c>
      <c r="D109" s="616" t="s">
        <v>3215</v>
      </c>
      <c r="E109" s="616" t="s">
        <v>3216</v>
      </c>
      <c r="F109" s="619"/>
      <c r="G109" s="619"/>
      <c r="H109" s="619"/>
      <c r="I109" s="619"/>
      <c r="J109" s="619"/>
      <c r="K109" s="619"/>
      <c r="L109" s="619"/>
      <c r="M109" s="619"/>
      <c r="N109" s="619">
        <v>3</v>
      </c>
      <c r="O109" s="619">
        <v>1464</v>
      </c>
      <c r="P109" s="640"/>
      <c r="Q109" s="620">
        <v>488</v>
      </c>
    </row>
    <row r="110" spans="1:17" ht="14.4" customHeight="1" x14ac:dyDescent="0.3">
      <c r="A110" s="615" t="s">
        <v>471</v>
      </c>
      <c r="B110" s="616" t="s">
        <v>3210</v>
      </c>
      <c r="C110" s="616" t="s">
        <v>3011</v>
      </c>
      <c r="D110" s="616" t="s">
        <v>3217</v>
      </c>
      <c r="E110" s="616" t="s">
        <v>3218</v>
      </c>
      <c r="F110" s="619">
        <v>2</v>
      </c>
      <c r="G110" s="619">
        <v>6932</v>
      </c>
      <c r="H110" s="619">
        <v>1</v>
      </c>
      <c r="I110" s="619">
        <v>3466</v>
      </c>
      <c r="J110" s="619">
        <v>2</v>
      </c>
      <c r="K110" s="619">
        <v>7010</v>
      </c>
      <c r="L110" s="619">
        <v>1.0112521638776688</v>
      </c>
      <c r="M110" s="619">
        <v>3505</v>
      </c>
      <c r="N110" s="619">
        <v>3</v>
      </c>
      <c r="O110" s="619">
        <v>10950</v>
      </c>
      <c r="P110" s="640">
        <v>1.5796306982111945</v>
      </c>
      <c r="Q110" s="620">
        <v>3650</v>
      </c>
    </row>
    <row r="111" spans="1:17" ht="14.4" customHeight="1" x14ac:dyDescent="0.3">
      <c r="A111" s="615" t="s">
        <v>471</v>
      </c>
      <c r="B111" s="616" t="s">
        <v>3210</v>
      </c>
      <c r="C111" s="616" t="s">
        <v>3011</v>
      </c>
      <c r="D111" s="616" t="s">
        <v>3219</v>
      </c>
      <c r="E111" s="616" t="s">
        <v>3220</v>
      </c>
      <c r="F111" s="619"/>
      <c r="G111" s="619"/>
      <c r="H111" s="619"/>
      <c r="I111" s="619"/>
      <c r="J111" s="619"/>
      <c r="K111" s="619"/>
      <c r="L111" s="619"/>
      <c r="M111" s="619"/>
      <c r="N111" s="619">
        <v>1</v>
      </c>
      <c r="O111" s="619">
        <v>4904</v>
      </c>
      <c r="P111" s="640"/>
      <c r="Q111" s="620">
        <v>4904</v>
      </c>
    </row>
    <row r="112" spans="1:17" ht="14.4" customHeight="1" x14ac:dyDescent="0.3">
      <c r="A112" s="615" t="s">
        <v>471</v>
      </c>
      <c r="B112" s="616" t="s">
        <v>3210</v>
      </c>
      <c r="C112" s="616" t="s">
        <v>3011</v>
      </c>
      <c r="D112" s="616" t="s">
        <v>3221</v>
      </c>
      <c r="E112" s="616" t="s">
        <v>3222</v>
      </c>
      <c r="F112" s="619"/>
      <c r="G112" s="619"/>
      <c r="H112" s="619"/>
      <c r="I112" s="619"/>
      <c r="J112" s="619"/>
      <c r="K112" s="619"/>
      <c r="L112" s="619"/>
      <c r="M112" s="619"/>
      <c r="N112" s="619">
        <v>1</v>
      </c>
      <c r="O112" s="619">
        <v>4340</v>
      </c>
      <c r="P112" s="640"/>
      <c r="Q112" s="620">
        <v>4340</v>
      </c>
    </row>
    <row r="113" spans="1:17" ht="14.4" customHeight="1" x14ac:dyDescent="0.3">
      <c r="A113" s="615" t="s">
        <v>471</v>
      </c>
      <c r="B113" s="616" t="s">
        <v>3210</v>
      </c>
      <c r="C113" s="616" t="s">
        <v>3011</v>
      </c>
      <c r="D113" s="616" t="s">
        <v>3223</v>
      </c>
      <c r="E113" s="616" t="s">
        <v>3224</v>
      </c>
      <c r="F113" s="619"/>
      <c r="G113" s="619"/>
      <c r="H113" s="619"/>
      <c r="I113" s="619"/>
      <c r="J113" s="619"/>
      <c r="K113" s="619"/>
      <c r="L113" s="619"/>
      <c r="M113" s="619"/>
      <c r="N113" s="619">
        <v>1</v>
      </c>
      <c r="O113" s="619">
        <v>120</v>
      </c>
      <c r="P113" s="640"/>
      <c r="Q113" s="620">
        <v>120</v>
      </c>
    </row>
    <row r="114" spans="1:17" ht="14.4" customHeight="1" x14ac:dyDescent="0.3">
      <c r="A114" s="615" t="s">
        <v>471</v>
      </c>
      <c r="B114" s="616" t="s">
        <v>3210</v>
      </c>
      <c r="C114" s="616" t="s">
        <v>3011</v>
      </c>
      <c r="D114" s="616" t="s">
        <v>3225</v>
      </c>
      <c r="E114" s="616" t="s">
        <v>3226</v>
      </c>
      <c r="F114" s="619"/>
      <c r="G114" s="619"/>
      <c r="H114" s="619"/>
      <c r="I114" s="619"/>
      <c r="J114" s="619"/>
      <c r="K114" s="619"/>
      <c r="L114" s="619"/>
      <c r="M114" s="619"/>
      <c r="N114" s="619">
        <v>5</v>
      </c>
      <c r="O114" s="619">
        <v>1795</v>
      </c>
      <c r="P114" s="640"/>
      <c r="Q114" s="620">
        <v>359</v>
      </c>
    </row>
    <row r="115" spans="1:17" ht="14.4" customHeight="1" x14ac:dyDescent="0.3">
      <c r="A115" s="615" t="s">
        <v>471</v>
      </c>
      <c r="B115" s="616" t="s">
        <v>3210</v>
      </c>
      <c r="C115" s="616" t="s">
        <v>3011</v>
      </c>
      <c r="D115" s="616" t="s">
        <v>3227</v>
      </c>
      <c r="E115" s="616" t="s">
        <v>3228</v>
      </c>
      <c r="F115" s="619"/>
      <c r="G115" s="619"/>
      <c r="H115" s="619"/>
      <c r="I115" s="619"/>
      <c r="J115" s="619"/>
      <c r="K115" s="619"/>
      <c r="L115" s="619"/>
      <c r="M115" s="619"/>
      <c r="N115" s="619">
        <v>2</v>
      </c>
      <c r="O115" s="619">
        <v>8936</v>
      </c>
      <c r="P115" s="640"/>
      <c r="Q115" s="620">
        <v>4468</v>
      </c>
    </row>
    <row r="116" spans="1:17" ht="14.4" customHeight="1" x14ac:dyDescent="0.3">
      <c r="A116" s="615" t="s">
        <v>471</v>
      </c>
      <c r="B116" s="616" t="s">
        <v>3210</v>
      </c>
      <c r="C116" s="616" t="s">
        <v>3011</v>
      </c>
      <c r="D116" s="616" t="s">
        <v>3229</v>
      </c>
      <c r="E116" s="616" t="s">
        <v>3230</v>
      </c>
      <c r="F116" s="619"/>
      <c r="G116" s="619"/>
      <c r="H116" s="619"/>
      <c r="I116" s="619"/>
      <c r="J116" s="619"/>
      <c r="K116" s="619"/>
      <c r="L116" s="619"/>
      <c r="M116" s="619"/>
      <c r="N116" s="619">
        <v>2</v>
      </c>
      <c r="O116" s="619">
        <v>4932</v>
      </c>
      <c r="P116" s="640"/>
      <c r="Q116" s="620">
        <v>2466</v>
      </c>
    </row>
    <row r="117" spans="1:17" ht="14.4" customHeight="1" x14ac:dyDescent="0.3">
      <c r="A117" s="615" t="s">
        <v>471</v>
      </c>
      <c r="B117" s="616" t="s">
        <v>3210</v>
      </c>
      <c r="C117" s="616" t="s">
        <v>3011</v>
      </c>
      <c r="D117" s="616" t="s">
        <v>3231</v>
      </c>
      <c r="E117" s="616" t="s">
        <v>3232</v>
      </c>
      <c r="F117" s="619"/>
      <c r="G117" s="619"/>
      <c r="H117" s="619"/>
      <c r="I117" s="619"/>
      <c r="J117" s="619">
        <v>3</v>
      </c>
      <c r="K117" s="619">
        <v>16086</v>
      </c>
      <c r="L117" s="619"/>
      <c r="M117" s="619">
        <v>5362</v>
      </c>
      <c r="N117" s="619">
        <v>5</v>
      </c>
      <c r="O117" s="619">
        <v>27535</v>
      </c>
      <c r="P117" s="640"/>
      <c r="Q117" s="620">
        <v>5507</v>
      </c>
    </row>
    <row r="118" spans="1:17" ht="14.4" customHeight="1" x14ac:dyDescent="0.3">
      <c r="A118" s="615" t="s">
        <v>471</v>
      </c>
      <c r="B118" s="616" t="s">
        <v>3210</v>
      </c>
      <c r="C118" s="616" t="s">
        <v>3011</v>
      </c>
      <c r="D118" s="616" t="s">
        <v>3233</v>
      </c>
      <c r="E118" s="616" t="s">
        <v>3234</v>
      </c>
      <c r="F118" s="619">
        <v>1</v>
      </c>
      <c r="G118" s="619">
        <v>8843</v>
      </c>
      <c r="H118" s="619">
        <v>1</v>
      </c>
      <c r="I118" s="619">
        <v>8843</v>
      </c>
      <c r="J118" s="619"/>
      <c r="K118" s="619"/>
      <c r="L118" s="619"/>
      <c r="M118" s="619"/>
      <c r="N118" s="619">
        <v>1</v>
      </c>
      <c r="O118" s="619">
        <v>9211</v>
      </c>
      <c r="P118" s="640">
        <v>1.0416148365939162</v>
      </c>
      <c r="Q118" s="620">
        <v>9211</v>
      </c>
    </row>
    <row r="119" spans="1:17" ht="14.4" customHeight="1" x14ac:dyDescent="0.3">
      <c r="A119" s="615" t="s">
        <v>471</v>
      </c>
      <c r="B119" s="616" t="s">
        <v>3210</v>
      </c>
      <c r="C119" s="616" t="s">
        <v>3011</v>
      </c>
      <c r="D119" s="616" t="s">
        <v>3235</v>
      </c>
      <c r="E119" s="616" t="s">
        <v>3236</v>
      </c>
      <c r="F119" s="619"/>
      <c r="G119" s="619"/>
      <c r="H119" s="619"/>
      <c r="I119" s="619"/>
      <c r="J119" s="619"/>
      <c r="K119" s="619"/>
      <c r="L119" s="619"/>
      <c r="M119" s="619"/>
      <c r="N119" s="619">
        <v>1</v>
      </c>
      <c r="O119" s="619">
        <v>1309</v>
      </c>
      <c r="P119" s="640"/>
      <c r="Q119" s="620">
        <v>1309</v>
      </c>
    </row>
    <row r="120" spans="1:17" ht="14.4" customHeight="1" x14ac:dyDescent="0.3">
      <c r="A120" s="615" t="s">
        <v>471</v>
      </c>
      <c r="B120" s="616" t="s">
        <v>3210</v>
      </c>
      <c r="C120" s="616" t="s">
        <v>3011</v>
      </c>
      <c r="D120" s="616" t="s">
        <v>3237</v>
      </c>
      <c r="E120" s="616" t="s">
        <v>3238</v>
      </c>
      <c r="F120" s="619">
        <v>3</v>
      </c>
      <c r="G120" s="619">
        <v>12133</v>
      </c>
      <c r="H120" s="619">
        <v>1</v>
      </c>
      <c r="I120" s="619">
        <v>4044.3333333333335</v>
      </c>
      <c r="J120" s="619">
        <v>1</v>
      </c>
      <c r="K120" s="619">
        <v>4082</v>
      </c>
      <c r="L120" s="619">
        <v>0.33643781422566554</v>
      </c>
      <c r="M120" s="619">
        <v>4082</v>
      </c>
      <c r="N120" s="619">
        <v>7</v>
      </c>
      <c r="O120" s="619">
        <v>29841</v>
      </c>
      <c r="P120" s="640">
        <v>2.4594906453473997</v>
      </c>
      <c r="Q120" s="620">
        <v>4263</v>
      </c>
    </row>
    <row r="121" spans="1:17" ht="14.4" customHeight="1" x14ac:dyDescent="0.3">
      <c r="A121" s="615" t="s">
        <v>471</v>
      </c>
      <c r="B121" s="616" t="s">
        <v>3210</v>
      </c>
      <c r="C121" s="616" t="s">
        <v>3011</v>
      </c>
      <c r="D121" s="616" t="s">
        <v>3239</v>
      </c>
      <c r="E121" s="616" t="s">
        <v>3240</v>
      </c>
      <c r="F121" s="619">
        <v>1</v>
      </c>
      <c r="G121" s="619">
        <v>942</v>
      </c>
      <c r="H121" s="619">
        <v>1</v>
      </c>
      <c r="I121" s="619">
        <v>942</v>
      </c>
      <c r="J121" s="619">
        <v>2</v>
      </c>
      <c r="K121" s="619">
        <v>1892</v>
      </c>
      <c r="L121" s="619">
        <v>2.0084925690021231</v>
      </c>
      <c r="M121" s="619">
        <v>946</v>
      </c>
      <c r="N121" s="619">
        <v>2</v>
      </c>
      <c r="O121" s="619">
        <v>1942</v>
      </c>
      <c r="P121" s="640">
        <v>2.061571125265393</v>
      </c>
      <c r="Q121" s="620">
        <v>971</v>
      </c>
    </row>
    <row r="122" spans="1:17" ht="14.4" customHeight="1" x14ac:dyDescent="0.3">
      <c r="A122" s="615" t="s">
        <v>471</v>
      </c>
      <c r="B122" s="616" t="s">
        <v>3210</v>
      </c>
      <c r="C122" s="616" t="s">
        <v>3011</v>
      </c>
      <c r="D122" s="616" t="s">
        <v>3241</v>
      </c>
      <c r="E122" s="616" t="s">
        <v>3242</v>
      </c>
      <c r="F122" s="619"/>
      <c r="G122" s="619"/>
      <c r="H122" s="619"/>
      <c r="I122" s="619"/>
      <c r="J122" s="619"/>
      <c r="K122" s="619"/>
      <c r="L122" s="619"/>
      <c r="M122" s="619"/>
      <c r="N122" s="619">
        <v>1</v>
      </c>
      <c r="O122" s="619">
        <v>930</v>
      </c>
      <c r="P122" s="640"/>
      <c r="Q122" s="620">
        <v>930</v>
      </c>
    </row>
    <row r="123" spans="1:17" ht="14.4" customHeight="1" x14ac:dyDescent="0.3">
      <c r="A123" s="615" t="s">
        <v>471</v>
      </c>
      <c r="B123" s="616" t="s">
        <v>3210</v>
      </c>
      <c r="C123" s="616" t="s">
        <v>3011</v>
      </c>
      <c r="D123" s="616" t="s">
        <v>3051</v>
      </c>
      <c r="E123" s="616" t="s">
        <v>3052</v>
      </c>
      <c r="F123" s="619">
        <v>3</v>
      </c>
      <c r="G123" s="619">
        <v>2427</v>
      </c>
      <c r="H123" s="619">
        <v>1</v>
      </c>
      <c r="I123" s="619">
        <v>809</v>
      </c>
      <c r="J123" s="619">
        <v>2</v>
      </c>
      <c r="K123" s="619">
        <v>1638</v>
      </c>
      <c r="L123" s="619">
        <v>0.67490729295426455</v>
      </c>
      <c r="M123" s="619">
        <v>819</v>
      </c>
      <c r="N123" s="619">
        <v>1</v>
      </c>
      <c r="O123" s="619">
        <v>836</v>
      </c>
      <c r="P123" s="640">
        <v>0.34445817882159047</v>
      </c>
      <c r="Q123" s="620">
        <v>836</v>
      </c>
    </row>
    <row r="124" spans="1:17" ht="14.4" customHeight="1" x14ac:dyDescent="0.3">
      <c r="A124" s="615" t="s">
        <v>471</v>
      </c>
      <c r="B124" s="616" t="s">
        <v>3210</v>
      </c>
      <c r="C124" s="616" t="s">
        <v>3011</v>
      </c>
      <c r="D124" s="616" t="s">
        <v>3243</v>
      </c>
      <c r="E124" s="616" t="s">
        <v>3244</v>
      </c>
      <c r="F124" s="619"/>
      <c r="G124" s="619"/>
      <c r="H124" s="619"/>
      <c r="I124" s="619"/>
      <c r="J124" s="619">
        <v>2</v>
      </c>
      <c r="K124" s="619">
        <v>7916</v>
      </c>
      <c r="L124" s="619"/>
      <c r="M124" s="619">
        <v>3958</v>
      </c>
      <c r="N124" s="619">
        <v>1</v>
      </c>
      <c r="O124" s="619">
        <v>4139</v>
      </c>
      <c r="P124" s="640"/>
      <c r="Q124" s="620">
        <v>4139</v>
      </c>
    </row>
    <row r="125" spans="1:17" ht="14.4" customHeight="1" x14ac:dyDescent="0.3">
      <c r="A125" s="615" t="s">
        <v>471</v>
      </c>
      <c r="B125" s="616" t="s">
        <v>3210</v>
      </c>
      <c r="C125" s="616" t="s">
        <v>3011</v>
      </c>
      <c r="D125" s="616" t="s">
        <v>3245</v>
      </c>
      <c r="E125" s="616" t="s">
        <v>3246</v>
      </c>
      <c r="F125" s="619"/>
      <c r="G125" s="619"/>
      <c r="H125" s="619"/>
      <c r="I125" s="619"/>
      <c r="J125" s="619">
        <v>1</v>
      </c>
      <c r="K125" s="619">
        <v>2853</v>
      </c>
      <c r="L125" s="619"/>
      <c r="M125" s="619">
        <v>2853</v>
      </c>
      <c r="N125" s="619">
        <v>5</v>
      </c>
      <c r="O125" s="619">
        <v>14750</v>
      </c>
      <c r="P125" s="640"/>
      <c r="Q125" s="620">
        <v>2950</v>
      </c>
    </row>
    <row r="126" spans="1:17" ht="14.4" customHeight="1" x14ac:dyDescent="0.3">
      <c r="A126" s="615" t="s">
        <v>471</v>
      </c>
      <c r="B126" s="616" t="s">
        <v>3210</v>
      </c>
      <c r="C126" s="616" t="s">
        <v>3011</v>
      </c>
      <c r="D126" s="616" t="s">
        <v>3107</v>
      </c>
      <c r="E126" s="616" t="s">
        <v>3108</v>
      </c>
      <c r="F126" s="619">
        <v>3</v>
      </c>
      <c r="G126" s="619">
        <v>1301</v>
      </c>
      <c r="H126" s="619">
        <v>1</v>
      </c>
      <c r="I126" s="619">
        <v>433.66666666666669</v>
      </c>
      <c r="J126" s="619"/>
      <c r="K126" s="619"/>
      <c r="L126" s="619"/>
      <c r="M126" s="619"/>
      <c r="N126" s="619">
        <v>3</v>
      </c>
      <c r="O126" s="619">
        <v>1332</v>
      </c>
      <c r="P126" s="640">
        <v>1.0238278247501922</v>
      </c>
      <c r="Q126" s="620">
        <v>444</v>
      </c>
    </row>
    <row r="127" spans="1:17" ht="14.4" customHeight="1" x14ac:dyDescent="0.3">
      <c r="A127" s="615" t="s">
        <v>471</v>
      </c>
      <c r="B127" s="616" t="s">
        <v>3210</v>
      </c>
      <c r="C127" s="616" t="s">
        <v>3011</v>
      </c>
      <c r="D127" s="616" t="s">
        <v>3247</v>
      </c>
      <c r="E127" s="616" t="s">
        <v>3248</v>
      </c>
      <c r="F127" s="619"/>
      <c r="G127" s="619"/>
      <c r="H127" s="619"/>
      <c r="I127" s="619"/>
      <c r="J127" s="619">
        <v>1</v>
      </c>
      <c r="K127" s="619">
        <v>114</v>
      </c>
      <c r="L127" s="619"/>
      <c r="M127" s="619">
        <v>114</v>
      </c>
      <c r="N127" s="619"/>
      <c r="O127" s="619"/>
      <c r="P127" s="640"/>
      <c r="Q127" s="620"/>
    </row>
    <row r="128" spans="1:17" ht="14.4" customHeight="1" x14ac:dyDescent="0.3">
      <c r="A128" s="615" t="s">
        <v>471</v>
      </c>
      <c r="B128" s="616" t="s">
        <v>3210</v>
      </c>
      <c r="C128" s="616" t="s">
        <v>3011</v>
      </c>
      <c r="D128" s="616" t="s">
        <v>3109</v>
      </c>
      <c r="E128" s="616" t="s">
        <v>3110</v>
      </c>
      <c r="F128" s="619">
        <v>10</v>
      </c>
      <c r="G128" s="619">
        <v>8475</v>
      </c>
      <c r="H128" s="619">
        <v>1</v>
      </c>
      <c r="I128" s="619">
        <v>847.5</v>
      </c>
      <c r="J128" s="619">
        <v>4</v>
      </c>
      <c r="K128" s="619">
        <v>3408</v>
      </c>
      <c r="L128" s="619">
        <v>0.40212389380530972</v>
      </c>
      <c r="M128" s="619">
        <v>852</v>
      </c>
      <c r="N128" s="619">
        <v>13</v>
      </c>
      <c r="O128" s="619">
        <v>11245</v>
      </c>
      <c r="P128" s="640">
        <v>1.3268436578171092</v>
      </c>
      <c r="Q128" s="620">
        <v>865</v>
      </c>
    </row>
    <row r="129" spans="1:17" ht="14.4" customHeight="1" x14ac:dyDescent="0.3">
      <c r="A129" s="615" t="s">
        <v>471</v>
      </c>
      <c r="B129" s="616" t="s">
        <v>3210</v>
      </c>
      <c r="C129" s="616" t="s">
        <v>3011</v>
      </c>
      <c r="D129" s="616" t="s">
        <v>3249</v>
      </c>
      <c r="E129" s="616" t="s">
        <v>3250</v>
      </c>
      <c r="F129" s="619">
        <v>6</v>
      </c>
      <c r="G129" s="619">
        <v>674</v>
      </c>
      <c r="H129" s="619">
        <v>1</v>
      </c>
      <c r="I129" s="619">
        <v>112.33333333333333</v>
      </c>
      <c r="J129" s="619">
        <v>6</v>
      </c>
      <c r="K129" s="619">
        <v>684</v>
      </c>
      <c r="L129" s="619">
        <v>1.0148367952522255</v>
      </c>
      <c r="M129" s="619">
        <v>114</v>
      </c>
      <c r="N129" s="619">
        <v>17</v>
      </c>
      <c r="O129" s="619">
        <v>2040</v>
      </c>
      <c r="P129" s="640">
        <v>3.0267062314540061</v>
      </c>
      <c r="Q129" s="620">
        <v>120</v>
      </c>
    </row>
    <row r="130" spans="1:17" ht="14.4" customHeight="1" x14ac:dyDescent="0.3">
      <c r="A130" s="615" t="s">
        <v>471</v>
      </c>
      <c r="B130" s="616" t="s">
        <v>3210</v>
      </c>
      <c r="C130" s="616" t="s">
        <v>3011</v>
      </c>
      <c r="D130" s="616" t="s">
        <v>3115</v>
      </c>
      <c r="E130" s="616" t="s">
        <v>3116</v>
      </c>
      <c r="F130" s="619">
        <v>1</v>
      </c>
      <c r="G130" s="619">
        <v>177</v>
      </c>
      <c r="H130" s="619">
        <v>1</v>
      </c>
      <c r="I130" s="619">
        <v>177</v>
      </c>
      <c r="J130" s="619"/>
      <c r="K130" s="619"/>
      <c r="L130" s="619"/>
      <c r="M130" s="619"/>
      <c r="N130" s="619"/>
      <c r="O130" s="619"/>
      <c r="P130" s="640"/>
      <c r="Q130" s="620"/>
    </row>
    <row r="131" spans="1:17" ht="14.4" customHeight="1" x14ac:dyDescent="0.3">
      <c r="A131" s="615" t="s">
        <v>471</v>
      </c>
      <c r="B131" s="616" t="s">
        <v>3210</v>
      </c>
      <c r="C131" s="616" t="s">
        <v>3011</v>
      </c>
      <c r="D131" s="616" t="s">
        <v>3251</v>
      </c>
      <c r="E131" s="616" t="s">
        <v>3252</v>
      </c>
      <c r="F131" s="619">
        <v>3</v>
      </c>
      <c r="G131" s="619">
        <v>930</v>
      </c>
      <c r="H131" s="619">
        <v>1</v>
      </c>
      <c r="I131" s="619">
        <v>310</v>
      </c>
      <c r="J131" s="619">
        <v>1</v>
      </c>
      <c r="K131" s="619">
        <v>311</v>
      </c>
      <c r="L131" s="619">
        <v>0.33440860215053764</v>
      </c>
      <c r="M131" s="619">
        <v>311</v>
      </c>
      <c r="N131" s="619">
        <v>2</v>
      </c>
      <c r="O131" s="619">
        <v>638</v>
      </c>
      <c r="P131" s="640">
        <v>0.6860215053763441</v>
      </c>
      <c r="Q131" s="620">
        <v>319</v>
      </c>
    </row>
    <row r="132" spans="1:17" ht="14.4" customHeight="1" x14ac:dyDescent="0.3">
      <c r="A132" s="615" t="s">
        <v>471</v>
      </c>
      <c r="B132" s="616" t="s">
        <v>3210</v>
      </c>
      <c r="C132" s="616" t="s">
        <v>3011</v>
      </c>
      <c r="D132" s="616" t="s">
        <v>3253</v>
      </c>
      <c r="E132" s="616" t="s">
        <v>3254</v>
      </c>
      <c r="F132" s="619">
        <v>1</v>
      </c>
      <c r="G132" s="619">
        <v>2510</v>
      </c>
      <c r="H132" s="619">
        <v>1</v>
      </c>
      <c r="I132" s="619">
        <v>2510</v>
      </c>
      <c r="J132" s="619">
        <v>2</v>
      </c>
      <c r="K132" s="619">
        <v>5080</v>
      </c>
      <c r="L132" s="619">
        <v>2.0239043824701195</v>
      </c>
      <c r="M132" s="619">
        <v>2540</v>
      </c>
      <c r="N132" s="619"/>
      <c r="O132" s="619"/>
      <c r="P132" s="640"/>
      <c r="Q132" s="620"/>
    </row>
    <row r="133" spans="1:17" ht="14.4" customHeight="1" x14ac:dyDescent="0.3">
      <c r="A133" s="615" t="s">
        <v>471</v>
      </c>
      <c r="B133" s="616" t="s">
        <v>3210</v>
      </c>
      <c r="C133" s="616" t="s">
        <v>3011</v>
      </c>
      <c r="D133" s="616" t="s">
        <v>3255</v>
      </c>
      <c r="E133" s="616" t="s">
        <v>3256</v>
      </c>
      <c r="F133" s="619"/>
      <c r="G133" s="619"/>
      <c r="H133" s="619"/>
      <c r="I133" s="619"/>
      <c r="J133" s="619"/>
      <c r="K133" s="619"/>
      <c r="L133" s="619"/>
      <c r="M133" s="619"/>
      <c r="N133" s="619">
        <v>7</v>
      </c>
      <c r="O133" s="619">
        <v>39942</v>
      </c>
      <c r="P133" s="640"/>
      <c r="Q133" s="620">
        <v>5706</v>
      </c>
    </row>
    <row r="134" spans="1:17" ht="14.4" customHeight="1" x14ac:dyDescent="0.3">
      <c r="A134" s="615" t="s">
        <v>471</v>
      </c>
      <c r="B134" s="616" t="s">
        <v>3210</v>
      </c>
      <c r="C134" s="616" t="s">
        <v>3011</v>
      </c>
      <c r="D134" s="616" t="s">
        <v>3257</v>
      </c>
      <c r="E134" s="616" t="s">
        <v>3258</v>
      </c>
      <c r="F134" s="619"/>
      <c r="G134" s="619"/>
      <c r="H134" s="619"/>
      <c r="I134" s="619"/>
      <c r="J134" s="619"/>
      <c r="K134" s="619"/>
      <c r="L134" s="619"/>
      <c r="M134" s="619"/>
      <c r="N134" s="619">
        <v>1</v>
      </c>
      <c r="O134" s="619">
        <v>2548</v>
      </c>
      <c r="P134" s="640"/>
      <c r="Q134" s="620">
        <v>2548</v>
      </c>
    </row>
    <row r="135" spans="1:17" ht="14.4" customHeight="1" x14ac:dyDescent="0.3">
      <c r="A135" s="615" t="s">
        <v>471</v>
      </c>
      <c r="B135" s="616" t="s">
        <v>3210</v>
      </c>
      <c r="C135" s="616" t="s">
        <v>3011</v>
      </c>
      <c r="D135" s="616" t="s">
        <v>3138</v>
      </c>
      <c r="E135" s="616" t="s">
        <v>3139</v>
      </c>
      <c r="F135" s="619">
        <v>1</v>
      </c>
      <c r="G135" s="619">
        <v>4374</v>
      </c>
      <c r="H135" s="619">
        <v>1</v>
      </c>
      <c r="I135" s="619">
        <v>4374</v>
      </c>
      <c r="J135" s="619">
        <v>2</v>
      </c>
      <c r="K135" s="619">
        <v>8778</v>
      </c>
      <c r="L135" s="619">
        <v>2.006858710562414</v>
      </c>
      <c r="M135" s="619">
        <v>4389</v>
      </c>
      <c r="N135" s="619">
        <v>1</v>
      </c>
      <c r="O135" s="619">
        <v>4570</v>
      </c>
      <c r="P135" s="640">
        <v>1.0448102423411065</v>
      </c>
      <c r="Q135" s="620">
        <v>4570</v>
      </c>
    </row>
    <row r="136" spans="1:17" ht="14.4" customHeight="1" x14ac:dyDescent="0.3">
      <c r="A136" s="615" t="s">
        <v>471</v>
      </c>
      <c r="B136" s="616" t="s">
        <v>3210</v>
      </c>
      <c r="C136" s="616" t="s">
        <v>3011</v>
      </c>
      <c r="D136" s="616" t="s">
        <v>3259</v>
      </c>
      <c r="E136" s="616" t="s">
        <v>3260</v>
      </c>
      <c r="F136" s="619"/>
      <c r="G136" s="619"/>
      <c r="H136" s="619"/>
      <c r="I136" s="619"/>
      <c r="J136" s="619">
        <v>1</v>
      </c>
      <c r="K136" s="619">
        <v>3795</v>
      </c>
      <c r="L136" s="619"/>
      <c r="M136" s="619">
        <v>3795</v>
      </c>
      <c r="N136" s="619"/>
      <c r="O136" s="619"/>
      <c r="P136" s="640"/>
      <c r="Q136" s="620"/>
    </row>
    <row r="137" spans="1:17" ht="14.4" customHeight="1" x14ac:dyDescent="0.3">
      <c r="A137" s="615" t="s">
        <v>471</v>
      </c>
      <c r="B137" s="616" t="s">
        <v>3210</v>
      </c>
      <c r="C137" s="616" t="s">
        <v>3011</v>
      </c>
      <c r="D137" s="616" t="s">
        <v>3261</v>
      </c>
      <c r="E137" s="616" t="s">
        <v>3262</v>
      </c>
      <c r="F137" s="619"/>
      <c r="G137" s="619"/>
      <c r="H137" s="619"/>
      <c r="I137" s="619"/>
      <c r="J137" s="619"/>
      <c r="K137" s="619"/>
      <c r="L137" s="619"/>
      <c r="M137" s="619"/>
      <c r="N137" s="619">
        <v>3</v>
      </c>
      <c r="O137" s="619">
        <v>24918</v>
      </c>
      <c r="P137" s="640"/>
      <c r="Q137" s="620">
        <v>8306</v>
      </c>
    </row>
    <row r="138" spans="1:17" ht="14.4" customHeight="1" x14ac:dyDescent="0.3">
      <c r="A138" s="615" t="s">
        <v>471</v>
      </c>
      <c r="B138" s="616" t="s">
        <v>3210</v>
      </c>
      <c r="C138" s="616" t="s">
        <v>3011</v>
      </c>
      <c r="D138" s="616" t="s">
        <v>3263</v>
      </c>
      <c r="E138" s="616" t="s">
        <v>3264</v>
      </c>
      <c r="F138" s="619">
        <v>2</v>
      </c>
      <c r="G138" s="619">
        <v>1372</v>
      </c>
      <c r="H138" s="619">
        <v>1</v>
      </c>
      <c r="I138" s="619">
        <v>686</v>
      </c>
      <c r="J138" s="619"/>
      <c r="K138" s="619"/>
      <c r="L138" s="619"/>
      <c r="M138" s="619"/>
      <c r="N138" s="619"/>
      <c r="O138" s="619"/>
      <c r="P138" s="640"/>
      <c r="Q138" s="620"/>
    </row>
    <row r="139" spans="1:17" ht="14.4" customHeight="1" x14ac:dyDescent="0.3">
      <c r="A139" s="615" t="s">
        <v>471</v>
      </c>
      <c r="B139" s="616" t="s">
        <v>3210</v>
      </c>
      <c r="C139" s="616" t="s">
        <v>3011</v>
      </c>
      <c r="D139" s="616" t="s">
        <v>3265</v>
      </c>
      <c r="E139" s="616" t="s">
        <v>3266</v>
      </c>
      <c r="F139" s="619">
        <v>2</v>
      </c>
      <c r="G139" s="619">
        <v>622</v>
      </c>
      <c r="H139" s="619">
        <v>1</v>
      </c>
      <c r="I139" s="619">
        <v>311</v>
      </c>
      <c r="J139" s="619">
        <v>1</v>
      </c>
      <c r="K139" s="619">
        <v>318</v>
      </c>
      <c r="L139" s="619">
        <v>0.5112540192926045</v>
      </c>
      <c r="M139" s="619">
        <v>318</v>
      </c>
      <c r="N139" s="619">
        <v>1</v>
      </c>
      <c r="O139" s="619">
        <v>331</v>
      </c>
      <c r="P139" s="640">
        <v>0.53215434083601287</v>
      </c>
      <c r="Q139" s="620">
        <v>331</v>
      </c>
    </row>
    <row r="140" spans="1:17" ht="14.4" customHeight="1" x14ac:dyDescent="0.3">
      <c r="A140" s="615" t="s">
        <v>471</v>
      </c>
      <c r="B140" s="616" t="s">
        <v>3210</v>
      </c>
      <c r="C140" s="616" t="s">
        <v>3011</v>
      </c>
      <c r="D140" s="616" t="s">
        <v>3267</v>
      </c>
      <c r="E140" s="616" t="s">
        <v>3268</v>
      </c>
      <c r="F140" s="619">
        <v>1</v>
      </c>
      <c r="G140" s="619">
        <v>1324</v>
      </c>
      <c r="H140" s="619">
        <v>1</v>
      </c>
      <c r="I140" s="619">
        <v>1324</v>
      </c>
      <c r="J140" s="619"/>
      <c r="K140" s="619"/>
      <c r="L140" s="619"/>
      <c r="M140" s="619"/>
      <c r="N140" s="619"/>
      <c r="O140" s="619"/>
      <c r="P140" s="640"/>
      <c r="Q140" s="620"/>
    </row>
    <row r="141" spans="1:17" ht="14.4" customHeight="1" x14ac:dyDescent="0.3">
      <c r="A141" s="615" t="s">
        <v>471</v>
      </c>
      <c r="B141" s="616" t="s">
        <v>3210</v>
      </c>
      <c r="C141" s="616" t="s">
        <v>3011</v>
      </c>
      <c r="D141" s="616" t="s">
        <v>3269</v>
      </c>
      <c r="E141" s="616" t="s">
        <v>3270</v>
      </c>
      <c r="F141" s="619"/>
      <c r="G141" s="619"/>
      <c r="H141" s="619"/>
      <c r="I141" s="619"/>
      <c r="J141" s="619"/>
      <c r="K141" s="619"/>
      <c r="L141" s="619"/>
      <c r="M141" s="619"/>
      <c r="N141" s="619">
        <v>1</v>
      </c>
      <c r="O141" s="619">
        <v>1109</v>
      </c>
      <c r="P141" s="640"/>
      <c r="Q141" s="620">
        <v>1109</v>
      </c>
    </row>
    <row r="142" spans="1:17" ht="14.4" customHeight="1" x14ac:dyDescent="0.3">
      <c r="A142" s="615" t="s">
        <v>471</v>
      </c>
      <c r="B142" s="616" t="s">
        <v>3210</v>
      </c>
      <c r="C142" s="616" t="s">
        <v>3011</v>
      </c>
      <c r="D142" s="616" t="s">
        <v>3271</v>
      </c>
      <c r="E142" s="616" t="s">
        <v>3272</v>
      </c>
      <c r="F142" s="619"/>
      <c r="G142" s="619"/>
      <c r="H142" s="619"/>
      <c r="I142" s="619"/>
      <c r="J142" s="619"/>
      <c r="K142" s="619"/>
      <c r="L142" s="619"/>
      <c r="M142" s="619"/>
      <c r="N142" s="619">
        <v>1</v>
      </c>
      <c r="O142" s="619">
        <v>1238</v>
      </c>
      <c r="P142" s="640"/>
      <c r="Q142" s="620">
        <v>1238</v>
      </c>
    </row>
    <row r="143" spans="1:17" ht="14.4" customHeight="1" x14ac:dyDescent="0.3">
      <c r="A143" s="615" t="s">
        <v>471</v>
      </c>
      <c r="B143" s="616" t="s">
        <v>3210</v>
      </c>
      <c r="C143" s="616" t="s">
        <v>3011</v>
      </c>
      <c r="D143" s="616" t="s">
        <v>3273</v>
      </c>
      <c r="E143" s="616" t="s">
        <v>3274</v>
      </c>
      <c r="F143" s="619">
        <v>1</v>
      </c>
      <c r="G143" s="619">
        <v>1796</v>
      </c>
      <c r="H143" s="619">
        <v>1</v>
      </c>
      <c r="I143" s="619">
        <v>1796</v>
      </c>
      <c r="J143" s="619"/>
      <c r="K143" s="619"/>
      <c r="L143" s="619"/>
      <c r="M143" s="619"/>
      <c r="N143" s="619"/>
      <c r="O143" s="619"/>
      <c r="P143" s="640"/>
      <c r="Q143" s="620"/>
    </row>
    <row r="144" spans="1:17" ht="14.4" customHeight="1" x14ac:dyDescent="0.3">
      <c r="A144" s="615" t="s">
        <v>471</v>
      </c>
      <c r="B144" s="616" t="s">
        <v>3210</v>
      </c>
      <c r="C144" s="616" t="s">
        <v>3011</v>
      </c>
      <c r="D144" s="616" t="s">
        <v>3275</v>
      </c>
      <c r="E144" s="616" t="s">
        <v>3276</v>
      </c>
      <c r="F144" s="619"/>
      <c r="G144" s="619"/>
      <c r="H144" s="619"/>
      <c r="I144" s="619"/>
      <c r="J144" s="619"/>
      <c r="K144" s="619"/>
      <c r="L144" s="619"/>
      <c r="M144" s="619"/>
      <c r="N144" s="619">
        <v>1</v>
      </c>
      <c r="O144" s="619">
        <v>2387</v>
      </c>
      <c r="P144" s="640"/>
      <c r="Q144" s="620">
        <v>2387</v>
      </c>
    </row>
    <row r="145" spans="1:17" ht="14.4" customHeight="1" x14ac:dyDescent="0.3">
      <c r="A145" s="615" t="s">
        <v>471</v>
      </c>
      <c r="B145" s="616" t="s">
        <v>3210</v>
      </c>
      <c r="C145" s="616" t="s">
        <v>3011</v>
      </c>
      <c r="D145" s="616" t="s">
        <v>3277</v>
      </c>
      <c r="E145" s="616" t="s">
        <v>3232</v>
      </c>
      <c r="F145" s="619"/>
      <c r="G145" s="619"/>
      <c r="H145" s="619"/>
      <c r="I145" s="619"/>
      <c r="J145" s="619"/>
      <c r="K145" s="619"/>
      <c r="L145" s="619"/>
      <c r="M145" s="619"/>
      <c r="N145" s="619">
        <v>2</v>
      </c>
      <c r="O145" s="619">
        <v>1186</v>
      </c>
      <c r="P145" s="640"/>
      <c r="Q145" s="620">
        <v>593</v>
      </c>
    </row>
    <row r="146" spans="1:17" ht="14.4" customHeight="1" x14ac:dyDescent="0.3">
      <c r="A146" s="615" t="s">
        <v>471</v>
      </c>
      <c r="B146" s="616" t="s">
        <v>3210</v>
      </c>
      <c r="C146" s="616" t="s">
        <v>3011</v>
      </c>
      <c r="D146" s="616" t="s">
        <v>3278</v>
      </c>
      <c r="E146" s="616" t="s">
        <v>3279</v>
      </c>
      <c r="F146" s="619">
        <v>1</v>
      </c>
      <c r="G146" s="619">
        <v>1934</v>
      </c>
      <c r="H146" s="619">
        <v>1</v>
      </c>
      <c r="I146" s="619">
        <v>1934</v>
      </c>
      <c r="J146" s="619"/>
      <c r="K146" s="619"/>
      <c r="L146" s="619"/>
      <c r="M146" s="619"/>
      <c r="N146" s="619"/>
      <c r="O146" s="619"/>
      <c r="P146" s="640"/>
      <c r="Q146" s="620"/>
    </row>
    <row r="147" spans="1:17" ht="14.4" customHeight="1" x14ac:dyDescent="0.3">
      <c r="A147" s="615" t="s">
        <v>471</v>
      </c>
      <c r="B147" s="616" t="s">
        <v>3210</v>
      </c>
      <c r="C147" s="616" t="s">
        <v>3011</v>
      </c>
      <c r="D147" s="616" t="s">
        <v>3280</v>
      </c>
      <c r="E147" s="616" t="s">
        <v>3281</v>
      </c>
      <c r="F147" s="619"/>
      <c r="G147" s="619"/>
      <c r="H147" s="619"/>
      <c r="I147" s="619"/>
      <c r="J147" s="619"/>
      <c r="K147" s="619"/>
      <c r="L147" s="619"/>
      <c r="M147" s="619"/>
      <c r="N147" s="619">
        <v>1</v>
      </c>
      <c r="O147" s="619">
        <v>3713</v>
      </c>
      <c r="P147" s="640"/>
      <c r="Q147" s="620">
        <v>3713</v>
      </c>
    </row>
    <row r="148" spans="1:17" ht="14.4" customHeight="1" x14ac:dyDescent="0.3">
      <c r="A148" s="615" t="s">
        <v>471</v>
      </c>
      <c r="B148" s="616" t="s">
        <v>3210</v>
      </c>
      <c r="C148" s="616" t="s">
        <v>3011</v>
      </c>
      <c r="D148" s="616" t="s">
        <v>3282</v>
      </c>
      <c r="E148" s="616" t="s">
        <v>3283</v>
      </c>
      <c r="F148" s="619"/>
      <c r="G148" s="619"/>
      <c r="H148" s="619"/>
      <c r="I148" s="619"/>
      <c r="J148" s="619"/>
      <c r="K148" s="619"/>
      <c r="L148" s="619"/>
      <c r="M148" s="619"/>
      <c r="N148" s="619">
        <v>1</v>
      </c>
      <c r="O148" s="619">
        <v>2758</v>
      </c>
      <c r="P148" s="640"/>
      <c r="Q148" s="620">
        <v>2758</v>
      </c>
    </row>
    <row r="149" spans="1:17" ht="14.4" customHeight="1" x14ac:dyDescent="0.3">
      <c r="A149" s="615" t="s">
        <v>471</v>
      </c>
      <c r="B149" s="616" t="s">
        <v>3284</v>
      </c>
      <c r="C149" s="616" t="s">
        <v>3011</v>
      </c>
      <c r="D149" s="616" t="s">
        <v>3285</v>
      </c>
      <c r="E149" s="616" t="s">
        <v>3286</v>
      </c>
      <c r="F149" s="619"/>
      <c r="G149" s="619"/>
      <c r="H149" s="619"/>
      <c r="I149" s="619"/>
      <c r="J149" s="619">
        <v>1</v>
      </c>
      <c r="K149" s="619">
        <v>5482</v>
      </c>
      <c r="L149" s="619"/>
      <c r="M149" s="619">
        <v>5482</v>
      </c>
      <c r="N149" s="619"/>
      <c r="O149" s="619"/>
      <c r="P149" s="640"/>
      <c r="Q149" s="620"/>
    </row>
    <row r="150" spans="1:17" ht="14.4" customHeight="1" x14ac:dyDescent="0.3">
      <c r="A150" s="615" t="s">
        <v>471</v>
      </c>
      <c r="B150" s="616" t="s">
        <v>3284</v>
      </c>
      <c r="C150" s="616" t="s">
        <v>3011</v>
      </c>
      <c r="D150" s="616" t="s">
        <v>3287</v>
      </c>
      <c r="E150" s="616" t="s">
        <v>3288</v>
      </c>
      <c r="F150" s="619"/>
      <c r="G150" s="619"/>
      <c r="H150" s="619"/>
      <c r="I150" s="619"/>
      <c r="J150" s="619">
        <v>1</v>
      </c>
      <c r="K150" s="619">
        <v>2238</v>
      </c>
      <c r="L150" s="619"/>
      <c r="M150" s="619">
        <v>2238</v>
      </c>
      <c r="N150" s="619"/>
      <c r="O150" s="619"/>
      <c r="P150" s="640"/>
      <c r="Q150" s="620"/>
    </row>
    <row r="151" spans="1:17" ht="14.4" customHeight="1" x14ac:dyDescent="0.3">
      <c r="A151" s="615" t="s">
        <v>471</v>
      </c>
      <c r="B151" s="616" t="s">
        <v>3284</v>
      </c>
      <c r="C151" s="616" t="s">
        <v>3011</v>
      </c>
      <c r="D151" s="616" t="s">
        <v>3289</v>
      </c>
      <c r="E151" s="616" t="s">
        <v>3290</v>
      </c>
      <c r="F151" s="619"/>
      <c r="G151" s="619"/>
      <c r="H151" s="619"/>
      <c r="I151" s="619"/>
      <c r="J151" s="619">
        <v>36</v>
      </c>
      <c r="K151" s="619">
        <v>6264</v>
      </c>
      <c r="L151" s="619"/>
      <c r="M151" s="619">
        <v>174</v>
      </c>
      <c r="N151" s="619"/>
      <c r="O151" s="619"/>
      <c r="P151" s="640"/>
      <c r="Q151" s="620"/>
    </row>
    <row r="152" spans="1:17" ht="14.4" customHeight="1" x14ac:dyDescent="0.3">
      <c r="A152" s="615" t="s">
        <v>471</v>
      </c>
      <c r="B152" s="616" t="s">
        <v>3284</v>
      </c>
      <c r="C152" s="616" t="s">
        <v>3011</v>
      </c>
      <c r="D152" s="616" t="s">
        <v>3291</v>
      </c>
      <c r="E152" s="616" t="s">
        <v>3292</v>
      </c>
      <c r="F152" s="619"/>
      <c r="G152" s="619"/>
      <c r="H152" s="619"/>
      <c r="I152" s="619"/>
      <c r="J152" s="619">
        <v>2</v>
      </c>
      <c r="K152" s="619">
        <v>10630</v>
      </c>
      <c r="L152" s="619"/>
      <c r="M152" s="619">
        <v>5315</v>
      </c>
      <c r="N152" s="619"/>
      <c r="O152" s="619"/>
      <c r="P152" s="640"/>
      <c r="Q152" s="620"/>
    </row>
    <row r="153" spans="1:17" ht="14.4" customHeight="1" x14ac:dyDescent="0.3">
      <c r="A153" s="615" t="s">
        <v>471</v>
      </c>
      <c r="B153" s="616" t="s">
        <v>3284</v>
      </c>
      <c r="C153" s="616" t="s">
        <v>3011</v>
      </c>
      <c r="D153" s="616" t="s">
        <v>3293</v>
      </c>
      <c r="E153" s="616" t="s">
        <v>3294</v>
      </c>
      <c r="F153" s="619"/>
      <c r="G153" s="619"/>
      <c r="H153" s="619"/>
      <c r="I153" s="619"/>
      <c r="J153" s="619">
        <v>1</v>
      </c>
      <c r="K153" s="619">
        <v>3629</v>
      </c>
      <c r="L153" s="619"/>
      <c r="M153" s="619">
        <v>3629</v>
      </c>
      <c r="N153" s="619"/>
      <c r="O153" s="619"/>
      <c r="P153" s="640"/>
      <c r="Q153" s="620"/>
    </row>
    <row r="154" spans="1:17" ht="14.4" customHeight="1" x14ac:dyDescent="0.3">
      <c r="A154" s="615" t="s">
        <v>471</v>
      </c>
      <c r="B154" s="616" t="s">
        <v>3284</v>
      </c>
      <c r="C154" s="616" t="s">
        <v>3011</v>
      </c>
      <c r="D154" s="616" t="s">
        <v>3295</v>
      </c>
      <c r="E154" s="616" t="s">
        <v>3296</v>
      </c>
      <c r="F154" s="619"/>
      <c r="G154" s="619"/>
      <c r="H154" s="619"/>
      <c r="I154" s="619"/>
      <c r="J154" s="619">
        <v>1</v>
      </c>
      <c r="K154" s="619">
        <v>1512</v>
      </c>
      <c r="L154" s="619"/>
      <c r="M154" s="619">
        <v>1512</v>
      </c>
      <c r="N154" s="619"/>
      <c r="O154" s="619"/>
      <c r="P154" s="640"/>
      <c r="Q154" s="620"/>
    </row>
    <row r="155" spans="1:17" ht="14.4" customHeight="1" x14ac:dyDescent="0.3">
      <c r="A155" s="615" t="s">
        <v>471</v>
      </c>
      <c r="B155" s="616" t="s">
        <v>3284</v>
      </c>
      <c r="C155" s="616" t="s">
        <v>3011</v>
      </c>
      <c r="D155" s="616" t="s">
        <v>3297</v>
      </c>
      <c r="E155" s="616" t="s">
        <v>3298</v>
      </c>
      <c r="F155" s="619"/>
      <c r="G155" s="619"/>
      <c r="H155" s="619"/>
      <c r="I155" s="619"/>
      <c r="J155" s="619">
        <v>1</v>
      </c>
      <c r="K155" s="619">
        <v>2722</v>
      </c>
      <c r="L155" s="619"/>
      <c r="M155" s="619">
        <v>2722</v>
      </c>
      <c r="N155" s="619"/>
      <c r="O155" s="619"/>
      <c r="P155" s="640"/>
      <c r="Q155" s="620"/>
    </row>
    <row r="156" spans="1:17" ht="14.4" customHeight="1" x14ac:dyDescent="0.3">
      <c r="A156" s="615" t="s">
        <v>471</v>
      </c>
      <c r="B156" s="616" t="s">
        <v>3284</v>
      </c>
      <c r="C156" s="616" t="s">
        <v>3011</v>
      </c>
      <c r="D156" s="616" t="s">
        <v>3299</v>
      </c>
      <c r="E156" s="616" t="s">
        <v>3300</v>
      </c>
      <c r="F156" s="619"/>
      <c r="G156" s="619"/>
      <c r="H156" s="619"/>
      <c r="I156" s="619"/>
      <c r="J156" s="619">
        <v>1</v>
      </c>
      <c r="K156" s="619">
        <v>1128</v>
      </c>
      <c r="L156" s="619"/>
      <c r="M156" s="619">
        <v>1128</v>
      </c>
      <c r="N156" s="619"/>
      <c r="O156" s="619"/>
      <c r="P156" s="640"/>
      <c r="Q156" s="620"/>
    </row>
    <row r="157" spans="1:17" ht="14.4" customHeight="1" x14ac:dyDescent="0.3">
      <c r="A157" s="615" t="s">
        <v>471</v>
      </c>
      <c r="B157" s="616" t="s">
        <v>3284</v>
      </c>
      <c r="C157" s="616" t="s">
        <v>3011</v>
      </c>
      <c r="D157" s="616" t="s">
        <v>3301</v>
      </c>
      <c r="E157" s="616" t="s">
        <v>3302</v>
      </c>
      <c r="F157" s="619"/>
      <c r="G157" s="619"/>
      <c r="H157" s="619"/>
      <c r="I157" s="619"/>
      <c r="J157" s="619">
        <v>1</v>
      </c>
      <c r="K157" s="619">
        <v>5356</v>
      </c>
      <c r="L157" s="619"/>
      <c r="M157" s="619">
        <v>5356</v>
      </c>
      <c r="N157" s="619"/>
      <c r="O157" s="619"/>
      <c r="P157" s="640"/>
      <c r="Q157" s="620"/>
    </row>
    <row r="158" spans="1:17" ht="14.4" customHeight="1" x14ac:dyDescent="0.3">
      <c r="A158" s="615" t="s">
        <v>471</v>
      </c>
      <c r="B158" s="616" t="s">
        <v>3284</v>
      </c>
      <c r="C158" s="616" t="s">
        <v>3011</v>
      </c>
      <c r="D158" s="616" t="s">
        <v>3303</v>
      </c>
      <c r="E158" s="616" t="s">
        <v>3304</v>
      </c>
      <c r="F158" s="619"/>
      <c r="G158" s="619"/>
      <c r="H158" s="619"/>
      <c r="I158" s="619"/>
      <c r="J158" s="619">
        <v>2</v>
      </c>
      <c r="K158" s="619">
        <v>2518</v>
      </c>
      <c r="L158" s="619"/>
      <c r="M158" s="619">
        <v>1259</v>
      </c>
      <c r="N158" s="619"/>
      <c r="O158" s="619"/>
      <c r="P158" s="640"/>
      <c r="Q158" s="620"/>
    </row>
    <row r="159" spans="1:17" ht="14.4" customHeight="1" x14ac:dyDescent="0.3">
      <c r="A159" s="615" t="s">
        <v>471</v>
      </c>
      <c r="B159" s="616" t="s">
        <v>3284</v>
      </c>
      <c r="C159" s="616" t="s">
        <v>3011</v>
      </c>
      <c r="D159" s="616" t="s">
        <v>3305</v>
      </c>
      <c r="E159" s="616" t="s">
        <v>3306</v>
      </c>
      <c r="F159" s="619"/>
      <c r="G159" s="619"/>
      <c r="H159" s="619"/>
      <c r="I159" s="619"/>
      <c r="J159" s="619">
        <v>2</v>
      </c>
      <c r="K159" s="619">
        <v>902</v>
      </c>
      <c r="L159" s="619"/>
      <c r="M159" s="619">
        <v>451</v>
      </c>
      <c r="N159" s="619"/>
      <c r="O159" s="619"/>
      <c r="P159" s="640"/>
      <c r="Q159" s="620"/>
    </row>
    <row r="160" spans="1:17" ht="14.4" customHeight="1" x14ac:dyDescent="0.3">
      <c r="A160" s="615" t="s">
        <v>471</v>
      </c>
      <c r="B160" s="616" t="s">
        <v>3284</v>
      </c>
      <c r="C160" s="616" t="s">
        <v>3011</v>
      </c>
      <c r="D160" s="616" t="s">
        <v>3307</v>
      </c>
      <c r="E160" s="616" t="s">
        <v>3308</v>
      </c>
      <c r="F160" s="619"/>
      <c r="G160" s="619"/>
      <c r="H160" s="619"/>
      <c r="I160" s="619"/>
      <c r="J160" s="619">
        <v>2</v>
      </c>
      <c r="K160" s="619">
        <v>7934</v>
      </c>
      <c r="L160" s="619"/>
      <c r="M160" s="619">
        <v>3967</v>
      </c>
      <c r="N160" s="619"/>
      <c r="O160" s="619"/>
      <c r="P160" s="640"/>
      <c r="Q160" s="620"/>
    </row>
    <row r="161" spans="1:17" ht="14.4" customHeight="1" x14ac:dyDescent="0.3">
      <c r="A161" s="615" t="s">
        <v>471</v>
      </c>
      <c r="B161" s="616" t="s">
        <v>3284</v>
      </c>
      <c r="C161" s="616" t="s">
        <v>3011</v>
      </c>
      <c r="D161" s="616" t="s">
        <v>3309</v>
      </c>
      <c r="E161" s="616" t="s">
        <v>3310</v>
      </c>
      <c r="F161" s="619"/>
      <c r="G161" s="619"/>
      <c r="H161" s="619"/>
      <c r="I161" s="619"/>
      <c r="J161" s="619">
        <v>2</v>
      </c>
      <c r="K161" s="619">
        <v>25080</v>
      </c>
      <c r="L161" s="619"/>
      <c r="M161" s="619">
        <v>12540</v>
      </c>
      <c r="N161" s="619"/>
      <c r="O161" s="619"/>
      <c r="P161" s="640"/>
      <c r="Q161" s="620"/>
    </row>
    <row r="162" spans="1:17" ht="14.4" customHeight="1" x14ac:dyDescent="0.3">
      <c r="A162" s="615" t="s">
        <v>471</v>
      </c>
      <c r="B162" s="616" t="s">
        <v>3284</v>
      </c>
      <c r="C162" s="616" t="s">
        <v>3011</v>
      </c>
      <c r="D162" s="616" t="s">
        <v>3311</v>
      </c>
      <c r="E162" s="616" t="s">
        <v>3312</v>
      </c>
      <c r="F162" s="619"/>
      <c r="G162" s="619"/>
      <c r="H162" s="619"/>
      <c r="I162" s="619"/>
      <c r="J162" s="619">
        <v>2</v>
      </c>
      <c r="K162" s="619">
        <v>8870</v>
      </c>
      <c r="L162" s="619"/>
      <c r="M162" s="619">
        <v>4435</v>
      </c>
      <c r="N162" s="619"/>
      <c r="O162" s="619"/>
      <c r="P162" s="640"/>
      <c r="Q162" s="620"/>
    </row>
    <row r="163" spans="1:17" ht="14.4" customHeight="1" x14ac:dyDescent="0.3">
      <c r="A163" s="615" t="s">
        <v>471</v>
      </c>
      <c r="B163" s="616" t="s">
        <v>3010</v>
      </c>
      <c r="C163" s="616" t="s">
        <v>3313</v>
      </c>
      <c r="D163" s="616" t="s">
        <v>3314</v>
      </c>
      <c r="E163" s="616" t="s">
        <v>3315</v>
      </c>
      <c r="F163" s="619">
        <v>0.9</v>
      </c>
      <c r="G163" s="619">
        <v>10925.4</v>
      </c>
      <c r="H163" s="619">
        <v>1</v>
      </c>
      <c r="I163" s="619">
        <v>12139.333333333332</v>
      </c>
      <c r="J163" s="619">
        <v>0.2</v>
      </c>
      <c r="K163" s="619">
        <v>2258.7600000000002</v>
      </c>
      <c r="L163" s="619">
        <v>0.206743917842825</v>
      </c>
      <c r="M163" s="619">
        <v>11293.800000000001</v>
      </c>
      <c r="N163" s="619">
        <v>0.2</v>
      </c>
      <c r="O163" s="619">
        <v>2258.7600000000002</v>
      </c>
      <c r="P163" s="640">
        <v>0.206743917842825</v>
      </c>
      <c r="Q163" s="620">
        <v>11293.800000000001</v>
      </c>
    </row>
    <row r="164" spans="1:17" ht="14.4" customHeight="1" x14ac:dyDescent="0.3">
      <c r="A164" s="615" t="s">
        <v>471</v>
      </c>
      <c r="B164" s="616" t="s">
        <v>3010</v>
      </c>
      <c r="C164" s="616" t="s">
        <v>3313</v>
      </c>
      <c r="D164" s="616" t="s">
        <v>3316</v>
      </c>
      <c r="E164" s="616" t="s">
        <v>2319</v>
      </c>
      <c r="F164" s="619">
        <v>4</v>
      </c>
      <c r="G164" s="619">
        <v>333.2</v>
      </c>
      <c r="H164" s="619">
        <v>1</v>
      </c>
      <c r="I164" s="619">
        <v>83.3</v>
      </c>
      <c r="J164" s="619">
        <v>103.5</v>
      </c>
      <c r="K164" s="619">
        <v>9929.7300000000014</v>
      </c>
      <c r="L164" s="619">
        <v>29.801110444177677</v>
      </c>
      <c r="M164" s="619">
        <v>95.939420289855079</v>
      </c>
      <c r="N164" s="619">
        <v>34</v>
      </c>
      <c r="O164" s="619">
        <v>1697.6200000000001</v>
      </c>
      <c r="P164" s="640">
        <v>5.0948979591836743</v>
      </c>
      <c r="Q164" s="620">
        <v>49.930000000000007</v>
      </c>
    </row>
    <row r="165" spans="1:17" ht="14.4" customHeight="1" x14ac:dyDescent="0.3">
      <c r="A165" s="615" t="s">
        <v>471</v>
      </c>
      <c r="B165" s="616" t="s">
        <v>3010</v>
      </c>
      <c r="C165" s="616" t="s">
        <v>3313</v>
      </c>
      <c r="D165" s="616" t="s">
        <v>3317</v>
      </c>
      <c r="E165" s="616" t="s">
        <v>3318</v>
      </c>
      <c r="F165" s="619">
        <v>9</v>
      </c>
      <c r="G165" s="619">
        <v>746.28</v>
      </c>
      <c r="H165" s="619">
        <v>1</v>
      </c>
      <c r="I165" s="619">
        <v>82.92</v>
      </c>
      <c r="J165" s="619"/>
      <c r="K165" s="619"/>
      <c r="L165" s="619"/>
      <c r="M165" s="619"/>
      <c r="N165" s="619"/>
      <c r="O165" s="619"/>
      <c r="P165" s="640"/>
      <c r="Q165" s="620"/>
    </row>
    <row r="166" spans="1:17" ht="14.4" customHeight="1" x14ac:dyDescent="0.3">
      <c r="A166" s="615" t="s">
        <v>471</v>
      </c>
      <c r="B166" s="616" t="s">
        <v>3010</v>
      </c>
      <c r="C166" s="616" t="s">
        <v>3313</v>
      </c>
      <c r="D166" s="616" t="s">
        <v>3319</v>
      </c>
      <c r="E166" s="616" t="s">
        <v>3320</v>
      </c>
      <c r="F166" s="619">
        <v>2</v>
      </c>
      <c r="G166" s="619">
        <v>2128.64</v>
      </c>
      <c r="H166" s="619">
        <v>1</v>
      </c>
      <c r="I166" s="619">
        <v>1064.32</v>
      </c>
      <c r="J166" s="619">
        <v>2</v>
      </c>
      <c r="K166" s="619">
        <v>1739.44</v>
      </c>
      <c r="L166" s="619">
        <v>0.81716025255562241</v>
      </c>
      <c r="M166" s="619">
        <v>869.72</v>
      </c>
      <c r="N166" s="619">
        <v>1</v>
      </c>
      <c r="O166" s="619">
        <v>862.77</v>
      </c>
      <c r="P166" s="640">
        <v>0.40531513078773301</v>
      </c>
      <c r="Q166" s="620">
        <v>862.77</v>
      </c>
    </row>
    <row r="167" spans="1:17" ht="14.4" customHeight="1" x14ac:dyDescent="0.3">
      <c r="A167" s="615" t="s">
        <v>471</v>
      </c>
      <c r="B167" s="616" t="s">
        <v>3010</v>
      </c>
      <c r="C167" s="616" t="s">
        <v>3313</v>
      </c>
      <c r="D167" s="616" t="s">
        <v>3321</v>
      </c>
      <c r="E167" s="616" t="s">
        <v>3322</v>
      </c>
      <c r="F167" s="619">
        <v>9</v>
      </c>
      <c r="G167" s="619">
        <v>46933.38</v>
      </c>
      <c r="H167" s="619">
        <v>1</v>
      </c>
      <c r="I167" s="619">
        <v>5214.82</v>
      </c>
      <c r="J167" s="619">
        <v>25</v>
      </c>
      <c r="K167" s="619">
        <v>124702.25</v>
      </c>
      <c r="L167" s="619">
        <v>2.6570055257047329</v>
      </c>
      <c r="M167" s="619">
        <v>4988.09</v>
      </c>
      <c r="N167" s="619">
        <v>49</v>
      </c>
      <c r="O167" s="619">
        <v>244417.81</v>
      </c>
      <c r="P167" s="640">
        <v>5.2077606598970716</v>
      </c>
      <c r="Q167" s="620">
        <v>4988.1185714285712</v>
      </c>
    </row>
    <row r="168" spans="1:17" ht="14.4" customHeight="1" x14ac:dyDescent="0.3">
      <c r="A168" s="615" t="s">
        <v>471</v>
      </c>
      <c r="B168" s="616" t="s">
        <v>3010</v>
      </c>
      <c r="C168" s="616" t="s">
        <v>3313</v>
      </c>
      <c r="D168" s="616" t="s">
        <v>3323</v>
      </c>
      <c r="E168" s="616" t="s">
        <v>3318</v>
      </c>
      <c r="F168" s="619">
        <v>155</v>
      </c>
      <c r="G168" s="619">
        <v>18283.800000000003</v>
      </c>
      <c r="H168" s="619">
        <v>1</v>
      </c>
      <c r="I168" s="619">
        <v>117.96000000000002</v>
      </c>
      <c r="J168" s="619">
        <v>46</v>
      </c>
      <c r="K168" s="619">
        <v>5190.18</v>
      </c>
      <c r="L168" s="619">
        <v>0.28386768614839364</v>
      </c>
      <c r="M168" s="619">
        <v>112.83000000000001</v>
      </c>
      <c r="N168" s="619"/>
      <c r="O168" s="619"/>
      <c r="P168" s="640"/>
      <c r="Q168" s="620"/>
    </row>
    <row r="169" spans="1:17" ht="14.4" customHeight="1" x14ac:dyDescent="0.3">
      <c r="A169" s="615" t="s">
        <v>471</v>
      </c>
      <c r="B169" s="616" t="s">
        <v>3010</v>
      </c>
      <c r="C169" s="616" t="s">
        <v>3313</v>
      </c>
      <c r="D169" s="616" t="s">
        <v>3324</v>
      </c>
      <c r="E169" s="616" t="s">
        <v>3318</v>
      </c>
      <c r="F169" s="619">
        <v>23</v>
      </c>
      <c r="G169" s="619">
        <v>1830.57</v>
      </c>
      <c r="H169" s="619">
        <v>1</v>
      </c>
      <c r="I169" s="619">
        <v>79.59</v>
      </c>
      <c r="J169" s="619">
        <v>21.1</v>
      </c>
      <c r="K169" s="619">
        <v>1606.3400000000001</v>
      </c>
      <c r="L169" s="619">
        <v>0.8775080985703908</v>
      </c>
      <c r="M169" s="619">
        <v>76.129857819905212</v>
      </c>
      <c r="N169" s="619"/>
      <c r="O169" s="619"/>
      <c r="P169" s="640"/>
      <c r="Q169" s="620"/>
    </row>
    <row r="170" spans="1:17" ht="14.4" customHeight="1" x14ac:dyDescent="0.3">
      <c r="A170" s="615" t="s">
        <v>471</v>
      </c>
      <c r="B170" s="616" t="s">
        <v>3010</v>
      </c>
      <c r="C170" s="616" t="s">
        <v>3313</v>
      </c>
      <c r="D170" s="616" t="s">
        <v>3325</v>
      </c>
      <c r="E170" s="616" t="s">
        <v>3326</v>
      </c>
      <c r="F170" s="619">
        <v>66.25</v>
      </c>
      <c r="G170" s="619">
        <v>41613.97</v>
      </c>
      <c r="H170" s="619">
        <v>1</v>
      </c>
      <c r="I170" s="619">
        <v>628.13539622641508</v>
      </c>
      <c r="J170" s="619">
        <v>41.7</v>
      </c>
      <c r="K170" s="619">
        <v>25722.980000000003</v>
      </c>
      <c r="L170" s="619">
        <v>0.61813328552887414</v>
      </c>
      <c r="M170" s="619">
        <v>616.85803357314148</v>
      </c>
      <c r="N170" s="619"/>
      <c r="O170" s="619"/>
      <c r="P170" s="640"/>
      <c r="Q170" s="620"/>
    </row>
    <row r="171" spans="1:17" ht="14.4" customHeight="1" x14ac:dyDescent="0.3">
      <c r="A171" s="615" t="s">
        <v>471</v>
      </c>
      <c r="B171" s="616" t="s">
        <v>3010</v>
      </c>
      <c r="C171" s="616" t="s">
        <v>3313</v>
      </c>
      <c r="D171" s="616" t="s">
        <v>3327</v>
      </c>
      <c r="E171" s="616" t="s">
        <v>3328</v>
      </c>
      <c r="F171" s="619">
        <v>78.5</v>
      </c>
      <c r="G171" s="619">
        <v>6600.2800000000007</v>
      </c>
      <c r="H171" s="619">
        <v>1</v>
      </c>
      <c r="I171" s="619">
        <v>84.080000000000013</v>
      </c>
      <c r="J171" s="619">
        <v>62</v>
      </c>
      <c r="K171" s="619">
        <v>4986.6099999999997</v>
      </c>
      <c r="L171" s="619">
        <v>0.75551491754895239</v>
      </c>
      <c r="M171" s="619">
        <v>80.42919354838709</v>
      </c>
      <c r="N171" s="619">
        <v>21</v>
      </c>
      <c r="O171" s="619">
        <v>1689.0299999999997</v>
      </c>
      <c r="P171" s="640">
        <v>0.25590277988206556</v>
      </c>
      <c r="Q171" s="620">
        <v>80.429999999999993</v>
      </c>
    </row>
    <row r="172" spans="1:17" ht="14.4" customHeight="1" x14ac:dyDescent="0.3">
      <c r="A172" s="615" t="s">
        <v>471</v>
      </c>
      <c r="B172" s="616" t="s">
        <v>3010</v>
      </c>
      <c r="C172" s="616" t="s">
        <v>3313</v>
      </c>
      <c r="D172" s="616" t="s">
        <v>3329</v>
      </c>
      <c r="E172" s="616" t="s">
        <v>1151</v>
      </c>
      <c r="F172" s="619"/>
      <c r="G172" s="619"/>
      <c r="H172" s="619"/>
      <c r="I172" s="619"/>
      <c r="J172" s="619">
        <v>0.5</v>
      </c>
      <c r="K172" s="619">
        <v>346.45</v>
      </c>
      <c r="L172" s="619"/>
      <c r="M172" s="619">
        <v>692.9</v>
      </c>
      <c r="N172" s="619">
        <v>2</v>
      </c>
      <c r="O172" s="619">
        <v>1380.92</v>
      </c>
      <c r="P172" s="640"/>
      <c r="Q172" s="620">
        <v>690.46</v>
      </c>
    </row>
    <row r="173" spans="1:17" ht="14.4" customHeight="1" x14ac:dyDescent="0.3">
      <c r="A173" s="615" t="s">
        <v>471</v>
      </c>
      <c r="B173" s="616" t="s">
        <v>3010</v>
      </c>
      <c r="C173" s="616" t="s">
        <v>3313</v>
      </c>
      <c r="D173" s="616" t="s">
        <v>3330</v>
      </c>
      <c r="E173" s="616" t="s">
        <v>1900</v>
      </c>
      <c r="F173" s="619">
        <v>403</v>
      </c>
      <c r="G173" s="619">
        <v>24603.149999999998</v>
      </c>
      <c r="H173" s="619">
        <v>1</v>
      </c>
      <c r="I173" s="619">
        <v>61.05</v>
      </c>
      <c r="J173" s="619">
        <v>307</v>
      </c>
      <c r="K173" s="619">
        <v>17928.8</v>
      </c>
      <c r="L173" s="619">
        <v>0.72871969646163193</v>
      </c>
      <c r="M173" s="619">
        <v>58.4</v>
      </c>
      <c r="N173" s="619">
        <v>208</v>
      </c>
      <c r="O173" s="619">
        <v>12147.2</v>
      </c>
      <c r="P173" s="640">
        <v>0.49372539695120349</v>
      </c>
      <c r="Q173" s="620">
        <v>58.400000000000006</v>
      </c>
    </row>
    <row r="174" spans="1:17" ht="14.4" customHeight="1" x14ac:dyDescent="0.3">
      <c r="A174" s="615" t="s">
        <v>471</v>
      </c>
      <c r="B174" s="616" t="s">
        <v>3010</v>
      </c>
      <c r="C174" s="616" t="s">
        <v>3313</v>
      </c>
      <c r="D174" s="616" t="s">
        <v>3331</v>
      </c>
      <c r="E174" s="616" t="s">
        <v>1923</v>
      </c>
      <c r="F174" s="619">
        <v>6</v>
      </c>
      <c r="G174" s="619">
        <v>664.62</v>
      </c>
      <c r="H174" s="619">
        <v>1</v>
      </c>
      <c r="I174" s="619">
        <v>110.77</v>
      </c>
      <c r="J174" s="619"/>
      <c r="K174" s="619"/>
      <c r="L174" s="619"/>
      <c r="M174" s="619"/>
      <c r="N174" s="619">
        <v>6</v>
      </c>
      <c r="O174" s="619">
        <v>635.76</v>
      </c>
      <c r="P174" s="640">
        <v>0.95657669043964966</v>
      </c>
      <c r="Q174" s="620">
        <v>105.96</v>
      </c>
    </row>
    <row r="175" spans="1:17" ht="14.4" customHeight="1" x14ac:dyDescent="0.3">
      <c r="A175" s="615" t="s">
        <v>471</v>
      </c>
      <c r="B175" s="616" t="s">
        <v>3010</v>
      </c>
      <c r="C175" s="616" t="s">
        <v>3313</v>
      </c>
      <c r="D175" s="616" t="s">
        <v>3332</v>
      </c>
      <c r="E175" s="616" t="s">
        <v>2323</v>
      </c>
      <c r="F175" s="619">
        <v>32.020000000000003</v>
      </c>
      <c r="G175" s="619">
        <v>23174.36</v>
      </c>
      <c r="H175" s="619">
        <v>1</v>
      </c>
      <c r="I175" s="619">
        <v>723.74640849469074</v>
      </c>
      <c r="J175" s="619">
        <v>26.6</v>
      </c>
      <c r="K175" s="619">
        <v>18413.850000000002</v>
      </c>
      <c r="L175" s="619">
        <v>0.79457857735877069</v>
      </c>
      <c r="M175" s="619">
        <v>692.25</v>
      </c>
      <c r="N175" s="619">
        <v>23.800000000000004</v>
      </c>
      <c r="O175" s="619">
        <v>16475.37</v>
      </c>
      <c r="P175" s="640">
        <v>0.71093095990568878</v>
      </c>
      <c r="Q175" s="620">
        <v>692.24243697478971</v>
      </c>
    </row>
    <row r="176" spans="1:17" ht="14.4" customHeight="1" x14ac:dyDescent="0.3">
      <c r="A176" s="615" t="s">
        <v>471</v>
      </c>
      <c r="B176" s="616" t="s">
        <v>3010</v>
      </c>
      <c r="C176" s="616" t="s">
        <v>3313</v>
      </c>
      <c r="D176" s="616" t="s">
        <v>3333</v>
      </c>
      <c r="E176" s="616" t="s">
        <v>3334</v>
      </c>
      <c r="F176" s="619">
        <v>3</v>
      </c>
      <c r="G176" s="619">
        <v>3471.33</v>
      </c>
      <c r="H176" s="619">
        <v>1</v>
      </c>
      <c r="I176" s="619">
        <v>1157.1099999999999</v>
      </c>
      <c r="J176" s="619">
        <v>8</v>
      </c>
      <c r="K176" s="619">
        <v>8854.4</v>
      </c>
      <c r="L176" s="619">
        <v>2.5507226336879523</v>
      </c>
      <c r="M176" s="619">
        <v>1106.8</v>
      </c>
      <c r="N176" s="619"/>
      <c r="O176" s="619"/>
      <c r="P176" s="640"/>
      <c r="Q176" s="620"/>
    </row>
    <row r="177" spans="1:17" ht="14.4" customHeight="1" x14ac:dyDescent="0.3">
      <c r="A177" s="615" t="s">
        <v>471</v>
      </c>
      <c r="B177" s="616" t="s">
        <v>3010</v>
      </c>
      <c r="C177" s="616" t="s">
        <v>3313</v>
      </c>
      <c r="D177" s="616" t="s">
        <v>3335</v>
      </c>
      <c r="E177" s="616" t="s">
        <v>3336</v>
      </c>
      <c r="F177" s="619"/>
      <c r="G177" s="619"/>
      <c r="H177" s="619"/>
      <c r="I177" s="619"/>
      <c r="J177" s="619"/>
      <c r="K177" s="619"/>
      <c r="L177" s="619"/>
      <c r="M177" s="619"/>
      <c r="N177" s="619">
        <v>2</v>
      </c>
      <c r="O177" s="619">
        <v>24754.86</v>
      </c>
      <c r="P177" s="640"/>
      <c r="Q177" s="620">
        <v>12377.43</v>
      </c>
    </row>
    <row r="178" spans="1:17" ht="14.4" customHeight="1" x14ac:dyDescent="0.3">
      <c r="A178" s="615" t="s">
        <v>471</v>
      </c>
      <c r="B178" s="616" t="s">
        <v>3010</v>
      </c>
      <c r="C178" s="616" t="s">
        <v>3313</v>
      </c>
      <c r="D178" s="616" t="s">
        <v>3337</v>
      </c>
      <c r="E178" s="616" t="s">
        <v>2032</v>
      </c>
      <c r="F178" s="619">
        <v>11.25</v>
      </c>
      <c r="G178" s="619">
        <v>152986.5</v>
      </c>
      <c r="H178" s="619">
        <v>1</v>
      </c>
      <c r="I178" s="619">
        <v>13598.8</v>
      </c>
      <c r="J178" s="619">
        <v>21.6</v>
      </c>
      <c r="K178" s="619">
        <v>259489.44</v>
      </c>
      <c r="L178" s="619">
        <v>1.6961590728593701</v>
      </c>
      <c r="M178" s="619">
        <v>12013.4</v>
      </c>
      <c r="N178" s="619">
        <v>27</v>
      </c>
      <c r="O178" s="619">
        <v>324361.8</v>
      </c>
      <c r="P178" s="640">
        <v>2.1201988410742123</v>
      </c>
      <c r="Q178" s="620">
        <v>12013.4</v>
      </c>
    </row>
    <row r="179" spans="1:17" ht="14.4" customHeight="1" x14ac:dyDescent="0.3">
      <c r="A179" s="615" t="s">
        <v>471</v>
      </c>
      <c r="B179" s="616" t="s">
        <v>3010</v>
      </c>
      <c r="C179" s="616" t="s">
        <v>3313</v>
      </c>
      <c r="D179" s="616" t="s">
        <v>3338</v>
      </c>
      <c r="E179" s="616" t="s">
        <v>2060</v>
      </c>
      <c r="F179" s="619">
        <v>67</v>
      </c>
      <c r="G179" s="619">
        <v>234661.47</v>
      </c>
      <c r="H179" s="619">
        <v>1</v>
      </c>
      <c r="I179" s="619">
        <v>3502.41</v>
      </c>
      <c r="J179" s="619">
        <v>125</v>
      </c>
      <c r="K179" s="619">
        <v>418766.24</v>
      </c>
      <c r="L179" s="619">
        <v>1.7845547460347879</v>
      </c>
      <c r="M179" s="619">
        <v>3350.1299199999999</v>
      </c>
      <c r="N179" s="619">
        <v>140</v>
      </c>
      <c r="O179" s="619">
        <v>469018.18999999994</v>
      </c>
      <c r="P179" s="640">
        <v>1.9987013206727118</v>
      </c>
      <c r="Q179" s="620">
        <v>3350.1299285714281</v>
      </c>
    </row>
    <row r="180" spans="1:17" ht="14.4" customHeight="1" x14ac:dyDescent="0.3">
      <c r="A180" s="615" t="s">
        <v>471</v>
      </c>
      <c r="B180" s="616" t="s">
        <v>3010</v>
      </c>
      <c r="C180" s="616" t="s">
        <v>3313</v>
      </c>
      <c r="D180" s="616" t="s">
        <v>3339</v>
      </c>
      <c r="E180" s="616" t="s">
        <v>3340</v>
      </c>
      <c r="F180" s="619"/>
      <c r="G180" s="619"/>
      <c r="H180" s="619"/>
      <c r="I180" s="619"/>
      <c r="J180" s="619"/>
      <c r="K180" s="619"/>
      <c r="L180" s="619"/>
      <c r="M180" s="619"/>
      <c r="N180" s="619">
        <v>2</v>
      </c>
      <c r="O180" s="619">
        <v>22841.74</v>
      </c>
      <c r="P180" s="640"/>
      <c r="Q180" s="620">
        <v>11420.87</v>
      </c>
    </row>
    <row r="181" spans="1:17" ht="14.4" customHeight="1" x14ac:dyDescent="0.3">
      <c r="A181" s="615" t="s">
        <v>471</v>
      </c>
      <c r="B181" s="616" t="s">
        <v>3010</v>
      </c>
      <c r="C181" s="616" t="s">
        <v>3313</v>
      </c>
      <c r="D181" s="616" t="s">
        <v>3341</v>
      </c>
      <c r="E181" s="616" t="s">
        <v>3342</v>
      </c>
      <c r="F181" s="619"/>
      <c r="G181" s="619"/>
      <c r="H181" s="619"/>
      <c r="I181" s="619"/>
      <c r="J181" s="619">
        <v>0.30000000000000004</v>
      </c>
      <c r="K181" s="619">
        <v>1483.1799999999998</v>
      </c>
      <c r="L181" s="619"/>
      <c r="M181" s="619">
        <v>4943.9333333333325</v>
      </c>
      <c r="N181" s="619"/>
      <c r="O181" s="619"/>
      <c r="P181" s="640"/>
      <c r="Q181" s="620"/>
    </row>
    <row r="182" spans="1:17" ht="14.4" customHeight="1" x14ac:dyDescent="0.3">
      <c r="A182" s="615" t="s">
        <v>471</v>
      </c>
      <c r="B182" s="616" t="s">
        <v>3010</v>
      </c>
      <c r="C182" s="616" t="s">
        <v>3313</v>
      </c>
      <c r="D182" s="616" t="s">
        <v>3343</v>
      </c>
      <c r="E182" s="616" t="s">
        <v>3344</v>
      </c>
      <c r="F182" s="619">
        <v>321</v>
      </c>
      <c r="G182" s="619">
        <v>12955.56</v>
      </c>
      <c r="H182" s="619">
        <v>1</v>
      </c>
      <c r="I182" s="619">
        <v>40.36</v>
      </c>
      <c r="J182" s="619">
        <v>108</v>
      </c>
      <c r="K182" s="619">
        <v>4169.88</v>
      </c>
      <c r="L182" s="619">
        <v>0.32186026694330466</v>
      </c>
      <c r="M182" s="619">
        <v>38.61</v>
      </c>
      <c r="N182" s="619">
        <v>2</v>
      </c>
      <c r="O182" s="619">
        <v>77.22</v>
      </c>
      <c r="P182" s="640">
        <v>5.9603753137649007E-3</v>
      </c>
      <c r="Q182" s="620">
        <v>38.61</v>
      </c>
    </row>
    <row r="183" spans="1:17" ht="14.4" customHeight="1" x14ac:dyDescent="0.3">
      <c r="A183" s="615" t="s">
        <v>471</v>
      </c>
      <c r="B183" s="616" t="s">
        <v>3010</v>
      </c>
      <c r="C183" s="616" t="s">
        <v>3313</v>
      </c>
      <c r="D183" s="616" t="s">
        <v>3345</v>
      </c>
      <c r="E183" s="616" t="s">
        <v>3346</v>
      </c>
      <c r="F183" s="619">
        <v>20.399999999999999</v>
      </c>
      <c r="G183" s="619">
        <v>8245.68</v>
      </c>
      <c r="H183" s="619">
        <v>1</v>
      </c>
      <c r="I183" s="619">
        <v>404.20000000000005</v>
      </c>
      <c r="J183" s="619">
        <v>15.9</v>
      </c>
      <c r="K183" s="619">
        <v>6146.9500000000007</v>
      </c>
      <c r="L183" s="619">
        <v>0.74547520641111475</v>
      </c>
      <c r="M183" s="619">
        <v>386.60062893081766</v>
      </c>
      <c r="N183" s="619">
        <v>0.1</v>
      </c>
      <c r="O183" s="619">
        <v>38.659999999999997</v>
      </c>
      <c r="P183" s="640">
        <v>4.688515683363894E-3</v>
      </c>
      <c r="Q183" s="620">
        <v>386.59999999999997</v>
      </c>
    </row>
    <row r="184" spans="1:17" ht="14.4" customHeight="1" x14ac:dyDescent="0.3">
      <c r="A184" s="615" t="s">
        <v>471</v>
      </c>
      <c r="B184" s="616" t="s">
        <v>3010</v>
      </c>
      <c r="C184" s="616" t="s">
        <v>3313</v>
      </c>
      <c r="D184" s="616" t="s">
        <v>3347</v>
      </c>
      <c r="E184" s="616" t="s">
        <v>3348</v>
      </c>
      <c r="F184" s="619">
        <v>4</v>
      </c>
      <c r="G184" s="619">
        <v>161.44</v>
      </c>
      <c r="H184" s="619">
        <v>1</v>
      </c>
      <c r="I184" s="619">
        <v>40.36</v>
      </c>
      <c r="J184" s="619"/>
      <c r="K184" s="619"/>
      <c r="L184" s="619"/>
      <c r="M184" s="619"/>
      <c r="N184" s="619"/>
      <c r="O184" s="619"/>
      <c r="P184" s="640"/>
      <c r="Q184" s="620"/>
    </row>
    <row r="185" spans="1:17" ht="14.4" customHeight="1" x14ac:dyDescent="0.3">
      <c r="A185" s="615" t="s">
        <v>471</v>
      </c>
      <c r="B185" s="616" t="s">
        <v>3010</v>
      </c>
      <c r="C185" s="616" t="s">
        <v>3313</v>
      </c>
      <c r="D185" s="616" t="s">
        <v>2080</v>
      </c>
      <c r="E185" s="616" t="s">
        <v>1877</v>
      </c>
      <c r="F185" s="619">
        <v>3</v>
      </c>
      <c r="G185" s="619">
        <v>23560.739999999998</v>
      </c>
      <c r="H185" s="619">
        <v>1</v>
      </c>
      <c r="I185" s="619">
        <v>7853.579999999999</v>
      </c>
      <c r="J185" s="619">
        <v>23</v>
      </c>
      <c r="K185" s="619">
        <v>189408.45</v>
      </c>
      <c r="L185" s="619">
        <v>8.0391553915539173</v>
      </c>
      <c r="M185" s="619">
        <v>8235.15</v>
      </c>
      <c r="N185" s="619">
        <v>80</v>
      </c>
      <c r="O185" s="619">
        <v>687952.56</v>
      </c>
      <c r="P185" s="640">
        <v>29.199106649451593</v>
      </c>
      <c r="Q185" s="620">
        <v>8599.4070000000011</v>
      </c>
    </row>
    <row r="186" spans="1:17" ht="14.4" customHeight="1" x14ac:dyDescent="0.3">
      <c r="A186" s="615" t="s">
        <v>471</v>
      </c>
      <c r="B186" s="616" t="s">
        <v>3010</v>
      </c>
      <c r="C186" s="616" t="s">
        <v>3313</v>
      </c>
      <c r="D186" s="616" t="s">
        <v>3349</v>
      </c>
      <c r="E186" s="616" t="s">
        <v>1877</v>
      </c>
      <c r="F186" s="619"/>
      <c r="G186" s="619"/>
      <c r="H186" s="619"/>
      <c r="I186" s="619"/>
      <c r="J186" s="619">
        <v>1</v>
      </c>
      <c r="K186" s="619">
        <v>16469.2</v>
      </c>
      <c r="L186" s="619"/>
      <c r="M186" s="619">
        <v>16469.2</v>
      </c>
      <c r="N186" s="619"/>
      <c r="O186" s="619"/>
      <c r="P186" s="640"/>
      <c r="Q186" s="620"/>
    </row>
    <row r="187" spans="1:17" ht="14.4" customHeight="1" x14ac:dyDescent="0.3">
      <c r="A187" s="615" t="s">
        <v>471</v>
      </c>
      <c r="B187" s="616" t="s">
        <v>3010</v>
      </c>
      <c r="C187" s="616" t="s">
        <v>3313</v>
      </c>
      <c r="D187" s="616" t="s">
        <v>3350</v>
      </c>
      <c r="E187" s="616" t="s">
        <v>3351</v>
      </c>
      <c r="F187" s="619">
        <v>552</v>
      </c>
      <c r="G187" s="619">
        <v>26220</v>
      </c>
      <c r="H187" s="619">
        <v>1</v>
      </c>
      <c r="I187" s="619">
        <v>47.5</v>
      </c>
      <c r="J187" s="619">
        <v>236.5</v>
      </c>
      <c r="K187" s="619">
        <v>10741.64</v>
      </c>
      <c r="L187" s="619">
        <v>0.40967353165522502</v>
      </c>
      <c r="M187" s="619">
        <v>45.419196617336148</v>
      </c>
      <c r="N187" s="619">
        <v>2</v>
      </c>
      <c r="O187" s="619">
        <v>85.76</v>
      </c>
      <c r="P187" s="640">
        <v>3.2707856598016781E-3</v>
      </c>
      <c r="Q187" s="620">
        <v>42.88</v>
      </c>
    </row>
    <row r="188" spans="1:17" ht="14.4" customHeight="1" x14ac:dyDescent="0.3">
      <c r="A188" s="615" t="s">
        <v>471</v>
      </c>
      <c r="B188" s="616" t="s">
        <v>3010</v>
      </c>
      <c r="C188" s="616" t="s">
        <v>3313</v>
      </c>
      <c r="D188" s="616" t="s">
        <v>3352</v>
      </c>
      <c r="E188" s="616" t="s">
        <v>3353</v>
      </c>
      <c r="F188" s="619">
        <v>12</v>
      </c>
      <c r="G188" s="619">
        <v>968.76</v>
      </c>
      <c r="H188" s="619">
        <v>1</v>
      </c>
      <c r="I188" s="619">
        <v>80.73</v>
      </c>
      <c r="J188" s="619">
        <v>46</v>
      </c>
      <c r="K188" s="619">
        <v>3552.1200000000003</v>
      </c>
      <c r="L188" s="619">
        <v>3.666666666666667</v>
      </c>
      <c r="M188" s="619">
        <v>77.220000000000013</v>
      </c>
      <c r="N188" s="619">
        <v>22</v>
      </c>
      <c r="O188" s="619">
        <v>1698.8400000000001</v>
      </c>
      <c r="P188" s="640">
        <v>1.7536231884057973</v>
      </c>
      <c r="Q188" s="620">
        <v>77.220000000000013</v>
      </c>
    </row>
    <row r="189" spans="1:17" ht="14.4" customHeight="1" x14ac:dyDescent="0.3">
      <c r="A189" s="615" t="s">
        <v>471</v>
      </c>
      <c r="B189" s="616" t="s">
        <v>3010</v>
      </c>
      <c r="C189" s="616" t="s">
        <v>3313</v>
      </c>
      <c r="D189" s="616" t="s">
        <v>3354</v>
      </c>
      <c r="E189" s="616" t="s">
        <v>2296</v>
      </c>
      <c r="F189" s="619">
        <v>264.40000000000003</v>
      </c>
      <c r="G189" s="619">
        <v>100405.90000000001</v>
      </c>
      <c r="H189" s="619">
        <v>1</v>
      </c>
      <c r="I189" s="619">
        <v>379.75</v>
      </c>
      <c r="J189" s="619">
        <v>219.16000000000003</v>
      </c>
      <c r="K189" s="619">
        <v>79609.87000000001</v>
      </c>
      <c r="L189" s="619">
        <v>0.79288039846264013</v>
      </c>
      <c r="M189" s="619">
        <v>363.25</v>
      </c>
      <c r="N189" s="619">
        <v>308.2</v>
      </c>
      <c r="O189" s="619">
        <v>83742.61</v>
      </c>
      <c r="P189" s="640">
        <v>0.83404072868227852</v>
      </c>
      <c r="Q189" s="620">
        <v>271.71515249837768</v>
      </c>
    </row>
    <row r="190" spans="1:17" ht="14.4" customHeight="1" x14ac:dyDescent="0.3">
      <c r="A190" s="615" t="s">
        <v>471</v>
      </c>
      <c r="B190" s="616" t="s">
        <v>3010</v>
      </c>
      <c r="C190" s="616" t="s">
        <v>3313</v>
      </c>
      <c r="D190" s="616" t="s">
        <v>3355</v>
      </c>
      <c r="E190" s="616" t="s">
        <v>1946</v>
      </c>
      <c r="F190" s="619"/>
      <c r="G190" s="619"/>
      <c r="H190" s="619"/>
      <c r="I190" s="619"/>
      <c r="J190" s="619"/>
      <c r="K190" s="619"/>
      <c r="L190" s="619"/>
      <c r="M190" s="619"/>
      <c r="N190" s="619">
        <v>1.8</v>
      </c>
      <c r="O190" s="619">
        <v>244.53</v>
      </c>
      <c r="P190" s="640"/>
      <c r="Q190" s="620">
        <v>135.85</v>
      </c>
    </row>
    <row r="191" spans="1:17" ht="14.4" customHeight="1" x14ac:dyDescent="0.3">
      <c r="A191" s="615" t="s">
        <v>471</v>
      </c>
      <c r="B191" s="616" t="s">
        <v>3010</v>
      </c>
      <c r="C191" s="616" t="s">
        <v>3313</v>
      </c>
      <c r="D191" s="616" t="s">
        <v>3356</v>
      </c>
      <c r="E191" s="616" t="s">
        <v>3357</v>
      </c>
      <c r="F191" s="619"/>
      <c r="G191" s="619"/>
      <c r="H191" s="619"/>
      <c r="I191" s="619"/>
      <c r="J191" s="619">
        <v>6</v>
      </c>
      <c r="K191" s="619">
        <v>35914.300000000003</v>
      </c>
      <c r="L191" s="619"/>
      <c r="M191" s="619">
        <v>5985.7166666666672</v>
      </c>
      <c r="N191" s="619"/>
      <c r="O191" s="619"/>
      <c r="P191" s="640"/>
      <c r="Q191" s="620"/>
    </row>
    <row r="192" spans="1:17" ht="14.4" customHeight="1" x14ac:dyDescent="0.3">
      <c r="A192" s="615" t="s">
        <v>471</v>
      </c>
      <c r="B192" s="616" t="s">
        <v>3010</v>
      </c>
      <c r="C192" s="616" t="s">
        <v>3313</v>
      </c>
      <c r="D192" s="616" t="s">
        <v>3358</v>
      </c>
      <c r="E192" s="616" t="s">
        <v>3359</v>
      </c>
      <c r="F192" s="619">
        <v>4</v>
      </c>
      <c r="G192" s="619">
        <v>549.84</v>
      </c>
      <c r="H192" s="619">
        <v>1</v>
      </c>
      <c r="I192" s="619">
        <v>137.46</v>
      </c>
      <c r="J192" s="619"/>
      <c r="K192" s="619"/>
      <c r="L192" s="619"/>
      <c r="M192" s="619"/>
      <c r="N192" s="619"/>
      <c r="O192" s="619"/>
      <c r="P192" s="640"/>
      <c r="Q192" s="620"/>
    </row>
    <row r="193" spans="1:17" ht="14.4" customHeight="1" x14ac:dyDescent="0.3">
      <c r="A193" s="615" t="s">
        <v>471</v>
      </c>
      <c r="B193" s="616" t="s">
        <v>3010</v>
      </c>
      <c r="C193" s="616" t="s">
        <v>3313</v>
      </c>
      <c r="D193" s="616" t="s">
        <v>3360</v>
      </c>
      <c r="E193" s="616" t="s">
        <v>3361</v>
      </c>
      <c r="F193" s="619">
        <v>85.3</v>
      </c>
      <c r="G193" s="619">
        <v>4410.21</v>
      </c>
      <c r="H193" s="619">
        <v>1</v>
      </c>
      <c r="I193" s="619">
        <v>51.702344665885114</v>
      </c>
      <c r="J193" s="619">
        <v>35</v>
      </c>
      <c r="K193" s="619">
        <v>1458.12</v>
      </c>
      <c r="L193" s="619">
        <v>0.33062371179603689</v>
      </c>
      <c r="M193" s="619">
        <v>41.660571428571423</v>
      </c>
      <c r="N193" s="619"/>
      <c r="O193" s="619"/>
      <c r="P193" s="640"/>
      <c r="Q193" s="620"/>
    </row>
    <row r="194" spans="1:17" ht="14.4" customHeight="1" x14ac:dyDescent="0.3">
      <c r="A194" s="615" t="s">
        <v>471</v>
      </c>
      <c r="B194" s="616" t="s">
        <v>3010</v>
      </c>
      <c r="C194" s="616" t="s">
        <v>3313</v>
      </c>
      <c r="D194" s="616" t="s">
        <v>3362</v>
      </c>
      <c r="E194" s="616" t="s">
        <v>3363</v>
      </c>
      <c r="F194" s="619"/>
      <c r="G194" s="619"/>
      <c r="H194" s="619"/>
      <c r="I194" s="619"/>
      <c r="J194" s="619">
        <v>0.2</v>
      </c>
      <c r="K194" s="619">
        <v>885.4</v>
      </c>
      <c r="L194" s="619"/>
      <c r="M194" s="619">
        <v>4427</v>
      </c>
      <c r="N194" s="619">
        <v>0.30000000000000004</v>
      </c>
      <c r="O194" s="619">
        <v>1340.1599999999999</v>
      </c>
      <c r="P194" s="640"/>
      <c r="Q194" s="620">
        <v>4467.1999999999989</v>
      </c>
    </row>
    <row r="195" spans="1:17" ht="14.4" customHeight="1" x14ac:dyDescent="0.3">
      <c r="A195" s="615" t="s">
        <v>471</v>
      </c>
      <c r="B195" s="616" t="s">
        <v>3010</v>
      </c>
      <c r="C195" s="616" t="s">
        <v>3313</v>
      </c>
      <c r="D195" s="616" t="s">
        <v>3364</v>
      </c>
      <c r="E195" s="616" t="s">
        <v>3365</v>
      </c>
      <c r="F195" s="619">
        <v>1</v>
      </c>
      <c r="G195" s="619">
        <v>35.61</v>
      </c>
      <c r="H195" s="619">
        <v>1</v>
      </c>
      <c r="I195" s="619">
        <v>35.61</v>
      </c>
      <c r="J195" s="619">
        <v>1</v>
      </c>
      <c r="K195" s="619">
        <v>34.06</v>
      </c>
      <c r="L195" s="619">
        <v>0.95647290087054204</v>
      </c>
      <c r="M195" s="619">
        <v>34.06</v>
      </c>
      <c r="N195" s="619"/>
      <c r="O195" s="619"/>
      <c r="P195" s="640"/>
      <c r="Q195" s="620"/>
    </row>
    <row r="196" spans="1:17" ht="14.4" customHeight="1" x14ac:dyDescent="0.3">
      <c r="A196" s="615" t="s">
        <v>471</v>
      </c>
      <c r="B196" s="616" t="s">
        <v>3010</v>
      </c>
      <c r="C196" s="616" t="s">
        <v>3313</v>
      </c>
      <c r="D196" s="616" t="s">
        <v>3366</v>
      </c>
      <c r="E196" s="616"/>
      <c r="F196" s="619">
        <v>48</v>
      </c>
      <c r="G196" s="619">
        <v>3299.52</v>
      </c>
      <c r="H196" s="619">
        <v>1</v>
      </c>
      <c r="I196" s="619">
        <v>68.739999999999995</v>
      </c>
      <c r="J196" s="619"/>
      <c r="K196" s="619"/>
      <c r="L196" s="619"/>
      <c r="M196" s="619"/>
      <c r="N196" s="619"/>
      <c r="O196" s="619"/>
      <c r="P196" s="640"/>
      <c r="Q196" s="620"/>
    </row>
    <row r="197" spans="1:17" ht="14.4" customHeight="1" x14ac:dyDescent="0.3">
      <c r="A197" s="615" t="s">
        <v>471</v>
      </c>
      <c r="B197" s="616" t="s">
        <v>3010</v>
      </c>
      <c r="C197" s="616" t="s">
        <v>3313</v>
      </c>
      <c r="D197" s="616" t="s">
        <v>3367</v>
      </c>
      <c r="E197" s="616" t="s">
        <v>3368</v>
      </c>
      <c r="F197" s="619">
        <v>37.500000000000007</v>
      </c>
      <c r="G197" s="619">
        <v>147221.6</v>
      </c>
      <c r="H197" s="619">
        <v>1</v>
      </c>
      <c r="I197" s="619">
        <v>3925.9093333333326</v>
      </c>
      <c r="J197" s="619">
        <v>22</v>
      </c>
      <c r="K197" s="619">
        <v>82614.73</v>
      </c>
      <c r="L197" s="619">
        <v>0.56115902829476105</v>
      </c>
      <c r="M197" s="619">
        <v>3755.2149999999997</v>
      </c>
      <c r="N197" s="619"/>
      <c r="O197" s="619"/>
      <c r="P197" s="640"/>
      <c r="Q197" s="620"/>
    </row>
    <row r="198" spans="1:17" ht="14.4" customHeight="1" x14ac:dyDescent="0.3">
      <c r="A198" s="615" t="s">
        <v>471</v>
      </c>
      <c r="B198" s="616" t="s">
        <v>3010</v>
      </c>
      <c r="C198" s="616" t="s">
        <v>3313</v>
      </c>
      <c r="D198" s="616" t="s">
        <v>3369</v>
      </c>
      <c r="E198" s="616" t="s">
        <v>3370</v>
      </c>
      <c r="F198" s="619">
        <v>0.6</v>
      </c>
      <c r="G198" s="619">
        <v>1321.86</v>
      </c>
      <c r="H198" s="619">
        <v>1</v>
      </c>
      <c r="I198" s="619">
        <v>2203.1</v>
      </c>
      <c r="J198" s="619"/>
      <c r="K198" s="619"/>
      <c r="L198" s="619"/>
      <c r="M198" s="619"/>
      <c r="N198" s="619"/>
      <c r="O198" s="619"/>
      <c r="P198" s="640"/>
      <c r="Q198" s="620"/>
    </row>
    <row r="199" spans="1:17" ht="14.4" customHeight="1" x14ac:dyDescent="0.3">
      <c r="A199" s="615" t="s">
        <v>471</v>
      </c>
      <c r="B199" s="616" t="s">
        <v>3010</v>
      </c>
      <c r="C199" s="616" t="s">
        <v>3313</v>
      </c>
      <c r="D199" s="616" t="s">
        <v>3371</v>
      </c>
      <c r="E199" s="616" t="s">
        <v>3372</v>
      </c>
      <c r="F199" s="619"/>
      <c r="G199" s="619"/>
      <c r="H199" s="619"/>
      <c r="I199" s="619"/>
      <c r="J199" s="619">
        <v>64</v>
      </c>
      <c r="K199" s="619">
        <v>276154.23999999999</v>
      </c>
      <c r="L199" s="619"/>
      <c r="M199" s="619">
        <v>4314.91</v>
      </c>
      <c r="N199" s="619">
        <v>1</v>
      </c>
      <c r="O199" s="619">
        <v>4314.91</v>
      </c>
      <c r="P199" s="640"/>
      <c r="Q199" s="620">
        <v>4314.91</v>
      </c>
    </row>
    <row r="200" spans="1:17" ht="14.4" customHeight="1" x14ac:dyDescent="0.3">
      <c r="A200" s="615" t="s">
        <v>471</v>
      </c>
      <c r="B200" s="616" t="s">
        <v>3010</v>
      </c>
      <c r="C200" s="616" t="s">
        <v>3313</v>
      </c>
      <c r="D200" s="616" t="s">
        <v>3373</v>
      </c>
      <c r="E200" s="616" t="s">
        <v>3374</v>
      </c>
      <c r="F200" s="619"/>
      <c r="G200" s="619"/>
      <c r="H200" s="619"/>
      <c r="I200" s="619"/>
      <c r="J200" s="619"/>
      <c r="K200" s="619"/>
      <c r="L200" s="619"/>
      <c r="M200" s="619"/>
      <c r="N200" s="619">
        <v>2</v>
      </c>
      <c r="O200" s="619">
        <v>17259.66</v>
      </c>
      <c r="P200" s="640"/>
      <c r="Q200" s="620">
        <v>8629.83</v>
      </c>
    </row>
    <row r="201" spans="1:17" ht="14.4" customHeight="1" x14ac:dyDescent="0.3">
      <c r="A201" s="615" t="s">
        <v>471</v>
      </c>
      <c r="B201" s="616" t="s">
        <v>3010</v>
      </c>
      <c r="C201" s="616" t="s">
        <v>3313</v>
      </c>
      <c r="D201" s="616" t="s">
        <v>3375</v>
      </c>
      <c r="E201" s="616" t="s">
        <v>3376</v>
      </c>
      <c r="F201" s="619"/>
      <c r="G201" s="619"/>
      <c r="H201" s="619"/>
      <c r="I201" s="619"/>
      <c r="J201" s="619">
        <v>8</v>
      </c>
      <c r="K201" s="619">
        <v>34519.279999999999</v>
      </c>
      <c r="L201" s="619"/>
      <c r="M201" s="619">
        <v>4314.91</v>
      </c>
      <c r="N201" s="619"/>
      <c r="O201" s="619"/>
      <c r="P201" s="640"/>
      <c r="Q201" s="620"/>
    </row>
    <row r="202" spans="1:17" ht="14.4" customHeight="1" x14ac:dyDescent="0.3">
      <c r="A202" s="615" t="s">
        <v>471</v>
      </c>
      <c r="B202" s="616" t="s">
        <v>3010</v>
      </c>
      <c r="C202" s="616" t="s">
        <v>3313</v>
      </c>
      <c r="D202" s="616" t="s">
        <v>3377</v>
      </c>
      <c r="E202" s="616" t="s">
        <v>3378</v>
      </c>
      <c r="F202" s="619">
        <v>2</v>
      </c>
      <c r="G202" s="619">
        <v>14243.44</v>
      </c>
      <c r="H202" s="619">
        <v>1</v>
      </c>
      <c r="I202" s="619">
        <v>7121.72</v>
      </c>
      <c r="J202" s="619"/>
      <c r="K202" s="619"/>
      <c r="L202" s="619"/>
      <c r="M202" s="619"/>
      <c r="N202" s="619"/>
      <c r="O202" s="619"/>
      <c r="P202" s="640"/>
      <c r="Q202" s="620"/>
    </row>
    <row r="203" spans="1:17" ht="14.4" customHeight="1" x14ac:dyDescent="0.3">
      <c r="A203" s="615" t="s">
        <v>471</v>
      </c>
      <c r="B203" s="616" t="s">
        <v>3010</v>
      </c>
      <c r="C203" s="616" t="s">
        <v>3313</v>
      </c>
      <c r="D203" s="616" t="s">
        <v>3379</v>
      </c>
      <c r="E203" s="616" t="s">
        <v>2008</v>
      </c>
      <c r="F203" s="619"/>
      <c r="G203" s="619"/>
      <c r="H203" s="619"/>
      <c r="I203" s="619"/>
      <c r="J203" s="619"/>
      <c r="K203" s="619"/>
      <c r="L203" s="619"/>
      <c r="M203" s="619"/>
      <c r="N203" s="619">
        <v>1</v>
      </c>
      <c r="O203" s="619">
        <v>386.6</v>
      </c>
      <c r="P203" s="640"/>
      <c r="Q203" s="620">
        <v>386.6</v>
      </c>
    </row>
    <row r="204" spans="1:17" ht="14.4" customHeight="1" x14ac:dyDescent="0.3">
      <c r="A204" s="615" t="s">
        <v>471</v>
      </c>
      <c r="B204" s="616" t="s">
        <v>3010</v>
      </c>
      <c r="C204" s="616" t="s">
        <v>3313</v>
      </c>
      <c r="D204" s="616" t="s">
        <v>3380</v>
      </c>
      <c r="E204" s="616" t="s">
        <v>960</v>
      </c>
      <c r="F204" s="619"/>
      <c r="G204" s="619"/>
      <c r="H204" s="619"/>
      <c r="I204" s="619"/>
      <c r="J204" s="619"/>
      <c r="K204" s="619"/>
      <c r="L204" s="619"/>
      <c r="M204" s="619"/>
      <c r="N204" s="619">
        <v>1.2</v>
      </c>
      <c r="O204" s="619">
        <v>1501.92</v>
      </c>
      <c r="P204" s="640"/>
      <c r="Q204" s="620">
        <v>1251.6000000000001</v>
      </c>
    </row>
    <row r="205" spans="1:17" ht="14.4" customHeight="1" x14ac:dyDescent="0.3">
      <c r="A205" s="615" t="s">
        <v>471</v>
      </c>
      <c r="B205" s="616" t="s">
        <v>3010</v>
      </c>
      <c r="C205" s="616" t="s">
        <v>3313</v>
      </c>
      <c r="D205" s="616" t="s">
        <v>3381</v>
      </c>
      <c r="E205" s="616" t="s">
        <v>3382</v>
      </c>
      <c r="F205" s="619">
        <v>51</v>
      </c>
      <c r="G205" s="619">
        <v>5843.58</v>
      </c>
      <c r="H205" s="619">
        <v>1</v>
      </c>
      <c r="I205" s="619">
        <v>114.58</v>
      </c>
      <c r="J205" s="619">
        <v>25</v>
      </c>
      <c r="K205" s="619">
        <v>2740</v>
      </c>
      <c r="L205" s="619">
        <v>0.4688906458027442</v>
      </c>
      <c r="M205" s="619">
        <v>109.6</v>
      </c>
      <c r="N205" s="619"/>
      <c r="O205" s="619"/>
      <c r="P205" s="640"/>
      <c r="Q205" s="620"/>
    </row>
    <row r="206" spans="1:17" ht="14.4" customHeight="1" x14ac:dyDescent="0.3">
      <c r="A206" s="615" t="s">
        <v>471</v>
      </c>
      <c r="B206" s="616" t="s">
        <v>3010</v>
      </c>
      <c r="C206" s="616" t="s">
        <v>3313</v>
      </c>
      <c r="D206" s="616" t="s">
        <v>3383</v>
      </c>
      <c r="E206" s="616" t="s">
        <v>3384</v>
      </c>
      <c r="F206" s="619">
        <v>76</v>
      </c>
      <c r="G206" s="619">
        <v>17416.16</v>
      </c>
      <c r="H206" s="619">
        <v>1</v>
      </c>
      <c r="I206" s="619">
        <v>229.16</v>
      </c>
      <c r="J206" s="619">
        <v>67</v>
      </c>
      <c r="K206" s="619">
        <v>14686.4</v>
      </c>
      <c r="L206" s="619">
        <v>0.8432628087936721</v>
      </c>
      <c r="M206" s="619">
        <v>219.2</v>
      </c>
      <c r="N206" s="619"/>
      <c r="O206" s="619"/>
      <c r="P206" s="640"/>
      <c r="Q206" s="620"/>
    </row>
    <row r="207" spans="1:17" ht="14.4" customHeight="1" x14ac:dyDescent="0.3">
      <c r="A207" s="615" t="s">
        <v>471</v>
      </c>
      <c r="B207" s="616" t="s">
        <v>3010</v>
      </c>
      <c r="C207" s="616" t="s">
        <v>3313</v>
      </c>
      <c r="D207" s="616" t="s">
        <v>3385</v>
      </c>
      <c r="E207" s="616" t="s">
        <v>3386</v>
      </c>
      <c r="F207" s="619">
        <v>2.2000000000000002</v>
      </c>
      <c r="G207" s="619">
        <v>477.4</v>
      </c>
      <c r="H207" s="619">
        <v>1</v>
      </c>
      <c r="I207" s="619">
        <v>216.99999999999997</v>
      </c>
      <c r="J207" s="619">
        <v>4.9000000000000004</v>
      </c>
      <c r="K207" s="619">
        <v>1016.9100000000001</v>
      </c>
      <c r="L207" s="619">
        <v>2.1301005446166741</v>
      </c>
      <c r="M207" s="619">
        <v>207.53265306122449</v>
      </c>
      <c r="N207" s="619"/>
      <c r="O207" s="619"/>
      <c r="P207" s="640"/>
      <c r="Q207" s="620"/>
    </row>
    <row r="208" spans="1:17" ht="14.4" customHeight="1" x14ac:dyDescent="0.3">
      <c r="A208" s="615" t="s">
        <v>471</v>
      </c>
      <c r="B208" s="616" t="s">
        <v>3010</v>
      </c>
      <c r="C208" s="616" t="s">
        <v>3313</v>
      </c>
      <c r="D208" s="616" t="s">
        <v>3387</v>
      </c>
      <c r="E208" s="616" t="s">
        <v>1975</v>
      </c>
      <c r="F208" s="619">
        <v>8</v>
      </c>
      <c r="G208" s="619">
        <v>549.91999999999996</v>
      </c>
      <c r="H208" s="619">
        <v>1</v>
      </c>
      <c r="I208" s="619">
        <v>68.739999999999995</v>
      </c>
      <c r="J208" s="619">
        <v>87</v>
      </c>
      <c r="K208" s="619">
        <v>5720.25</v>
      </c>
      <c r="L208" s="619">
        <v>10.401967558917661</v>
      </c>
      <c r="M208" s="619">
        <v>65.75</v>
      </c>
      <c r="N208" s="619">
        <v>87</v>
      </c>
      <c r="O208" s="619">
        <v>5720.25</v>
      </c>
      <c r="P208" s="640">
        <v>10.401967558917661</v>
      </c>
      <c r="Q208" s="620">
        <v>65.75</v>
      </c>
    </row>
    <row r="209" spans="1:17" ht="14.4" customHeight="1" x14ac:dyDescent="0.3">
      <c r="A209" s="615" t="s">
        <v>471</v>
      </c>
      <c r="B209" s="616" t="s">
        <v>3010</v>
      </c>
      <c r="C209" s="616" t="s">
        <v>3313</v>
      </c>
      <c r="D209" s="616" t="s">
        <v>3388</v>
      </c>
      <c r="E209" s="616" t="s">
        <v>1881</v>
      </c>
      <c r="F209" s="619">
        <v>14.1</v>
      </c>
      <c r="G209" s="619">
        <v>1366.99</v>
      </c>
      <c r="H209" s="619">
        <v>1</v>
      </c>
      <c r="I209" s="619">
        <v>96.949645390070927</v>
      </c>
      <c r="J209" s="619">
        <v>8.7999999999999989</v>
      </c>
      <c r="K209" s="619">
        <v>816.17</v>
      </c>
      <c r="L209" s="619">
        <v>0.59705630619097427</v>
      </c>
      <c r="M209" s="619">
        <v>92.746590909090912</v>
      </c>
      <c r="N209" s="619">
        <v>15</v>
      </c>
      <c r="O209" s="619">
        <v>1182</v>
      </c>
      <c r="P209" s="640">
        <v>0.86467347968895159</v>
      </c>
      <c r="Q209" s="620">
        <v>78.8</v>
      </c>
    </row>
    <row r="210" spans="1:17" ht="14.4" customHeight="1" x14ac:dyDescent="0.3">
      <c r="A210" s="615" t="s">
        <v>471</v>
      </c>
      <c r="B210" s="616" t="s">
        <v>3010</v>
      </c>
      <c r="C210" s="616" t="s">
        <v>3313</v>
      </c>
      <c r="D210" s="616" t="s">
        <v>3389</v>
      </c>
      <c r="E210" s="616" t="s">
        <v>3390</v>
      </c>
      <c r="F210" s="619"/>
      <c r="G210" s="619"/>
      <c r="H210" s="619"/>
      <c r="I210" s="619"/>
      <c r="J210" s="619">
        <v>130.79999999999998</v>
      </c>
      <c r="K210" s="619">
        <v>9175.4700000000012</v>
      </c>
      <c r="L210" s="619"/>
      <c r="M210" s="619">
        <v>70.148853211009197</v>
      </c>
      <c r="N210" s="619">
        <v>753</v>
      </c>
      <c r="O210" s="619">
        <v>52822.95</v>
      </c>
      <c r="P210" s="640"/>
      <c r="Q210" s="620">
        <v>70.149999999999991</v>
      </c>
    </row>
    <row r="211" spans="1:17" ht="14.4" customHeight="1" x14ac:dyDescent="0.3">
      <c r="A211" s="615" t="s">
        <v>471</v>
      </c>
      <c r="B211" s="616" t="s">
        <v>3010</v>
      </c>
      <c r="C211" s="616" t="s">
        <v>3313</v>
      </c>
      <c r="D211" s="616" t="s">
        <v>3391</v>
      </c>
      <c r="E211" s="616" t="s">
        <v>3392</v>
      </c>
      <c r="F211" s="619">
        <v>57</v>
      </c>
      <c r="G211" s="619">
        <v>76715.16</v>
      </c>
      <c r="H211" s="619">
        <v>1</v>
      </c>
      <c r="I211" s="619">
        <v>1345.88</v>
      </c>
      <c r="J211" s="619">
        <v>1</v>
      </c>
      <c r="K211" s="619">
        <v>1287.3599999999999</v>
      </c>
      <c r="L211" s="619">
        <v>1.6781037802697664E-2</v>
      </c>
      <c r="M211" s="619">
        <v>1287.3599999999999</v>
      </c>
      <c r="N211" s="619">
        <v>3</v>
      </c>
      <c r="O211" s="619">
        <v>3862.08</v>
      </c>
      <c r="P211" s="640">
        <v>5.0343113408092999E-2</v>
      </c>
      <c r="Q211" s="620">
        <v>1287.3599999999999</v>
      </c>
    </row>
    <row r="212" spans="1:17" ht="14.4" customHeight="1" x14ac:dyDescent="0.3">
      <c r="A212" s="615" t="s">
        <v>471</v>
      </c>
      <c r="B212" s="616" t="s">
        <v>3010</v>
      </c>
      <c r="C212" s="616" t="s">
        <v>3313</v>
      </c>
      <c r="D212" s="616" t="s">
        <v>3393</v>
      </c>
      <c r="E212" s="616" t="s">
        <v>2314</v>
      </c>
      <c r="F212" s="619">
        <v>9.5500000000000007</v>
      </c>
      <c r="G212" s="619">
        <v>7640</v>
      </c>
      <c r="H212" s="619">
        <v>1</v>
      </c>
      <c r="I212" s="619">
        <v>799.99999999999989</v>
      </c>
      <c r="J212" s="619">
        <v>7.6</v>
      </c>
      <c r="K212" s="619">
        <v>5815.52</v>
      </c>
      <c r="L212" s="619">
        <v>0.76119371727748697</v>
      </c>
      <c r="M212" s="619">
        <v>765.2</v>
      </c>
      <c r="N212" s="619">
        <v>11.93</v>
      </c>
      <c r="O212" s="619">
        <v>9109.7099999999991</v>
      </c>
      <c r="P212" s="640">
        <v>1.1923704188481674</v>
      </c>
      <c r="Q212" s="620">
        <v>763.59681475272419</v>
      </c>
    </row>
    <row r="213" spans="1:17" ht="14.4" customHeight="1" x14ac:dyDescent="0.3">
      <c r="A213" s="615" t="s">
        <v>471</v>
      </c>
      <c r="B213" s="616" t="s">
        <v>3010</v>
      </c>
      <c r="C213" s="616" t="s">
        <v>3313</v>
      </c>
      <c r="D213" s="616" t="s">
        <v>3394</v>
      </c>
      <c r="E213" s="616" t="s">
        <v>3395</v>
      </c>
      <c r="F213" s="619">
        <v>13.900000000000002</v>
      </c>
      <c r="G213" s="619">
        <v>30004.77</v>
      </c>
      <c r="H213" s="619">
        <v>1</v>
      </c>
      <c r="I213" s="619">
        <v>2158.6165467625897</v>
      </c>
      <c r="J213" s="619"/>
      <c r="K213" s="619"/>
      <c r="L213" s="619"/>
      <c r="M213" s="619"/>
      <c r="N213" s="619"/>
      <c r="O213" s="619"/>
      <c r="P213" s="640"/>
      <c r="Q213" s="620"/>
    </row>
    <row r="214" spans="1:17" ht="14.4" customHeight="1" x14ac:dyDescent="0.3">
      <c r="A214" s="615" t="s">
        <v>471</v>
      </c>
      <c r="B214" s="616" t="s">
        <v>3010</v>
      </c>
      <c r="C214" s="616" t="s">
        <v>3313</v>
      </c>
      <c r="D214" s="616" t="s">
        <v>3396</v>
      </c>
      <c r="E214" s="616" t="s">
        <v>2305</v>
      </c>
      <c r="F214" s="619">
        <v>3.2</v>
      </c>
      <c r="G214" s="619">
        <v>2006.72</v>
      </c>
      <c r="H214" s="619">
        <v>1</v>
      </c>
      <c r="I214" s="619">
        <v>627.1</v>
      </c>
      <c r="J214" s="619">
        <v>1.5</v>
      </c>
      <c r="K214" s="619">
        <v>899.7</v>
      </c>
      <c r="L214" s="619">
        <v>0.44834356561951844</v>
      </c>
      <c r="M214" s="619">
        <v>599.80000000000007</v>
      </c>
      <c r="N214" s="619"/>
      <c r="O214" s="619"/>
      <c r="P214" s="640"/>
      <c r="Q214" s="620"/>
    </row>
    <row r="215" spans="1:17" ht="14.4" customHeight="1" x14ac:dyDescent="0.3">
      <c r="A215" s="615" t="s">
        <v>471</v>
      </c>
      <c r="B215" s="616" t="s">
        <v>3010</v>
      </c>
      <c r="C215" s="616" t="s">
        <v>3313</v>
      </c>
      <c r="D215" s="616" t="s">
        <v>3397</v>
      </c>
      <c r="E215" s="616" t="s">
        <v>2306</v>
      </c>
      <c r="F215" s="619">
        <v>9.3000000000000007</v>
      </c>
      <c r="G215" s="619">
        <v>7512.03</v>
      </c>
      <c r="H215" s="619">
        <v>1</v>
      </c>
      <c r="I215" s="619">
        <v>807.74516129032247</v>
      </c>
      <c r="J215" s="619">
        <v>11.3</v>
      </c>
      <c r="K215" s="619">
        <v>9037.16</v>
      </c>
      <c r="L215" s="619">
        <v>1.2030250145433392</v>
      </c>
      <c r="M215" s="619">
        <v>799.74867256637162</v>
      </c>
      <c r="N215" s="619">
        <v>3.2</v>
      </c>
      <c r="O215" s="619">
        <v>2559.21</v>
      </c>
      <c r="P215" s="640">
        <v>0.34068154679893453</v>
      </c>
      <c r="Q215" s="620">
        <v>799.75312499999995</v>
      </c>
    </row>
    <row r="216" spans="1:17" ht="14.4" customHeight="1" x14ac:dyDescent="0.3">
      <c r="A216" s="615" t="s">
        <v>471</v>
      </c>
      <c r="B216" s="616" t="s">
        <v>3010</v>
      </c>
      <c r="C216" s="616" t="s">
        <v>3313</v>
      </c>
      <c r="D216" s="616" t="s">
        <v>3398</v>
      </c>
      <c r="E216" s="616" t="s">
        <v>3399</v>
      </c>
      <c r="F216" s="619"/>
      <c r="G216" s="619"/>
      <c r="H216" s="619"/>
      <c r="I216" s="619"/>
      <c r="J216" s="619">
        <v>4</v>
      </c>
      <c r="K216" s="619">
        <v>13528.44</v>
      </c>
      <c r="L216" s="619"/>
      <c r="M216" s="619">
        <v>3382.11</v>
      </c>
      <c r="N216" s="619"/>
      <c r="O216" s="619"/>
      <c r="P216" s="640"/>
      <c r="Q216" s="620"/>
    </row>
    <row r="217" spans="1:17" ht="14.4" customHeight="1" x14ac:dyDescent="0.3">
      <c r="A217" s="615" t="s">
        <v>471</v>
      </c>
      <c r="B217" s="616" t="s">
        <v>3010</v>
      </c>
      <c r="C217" s="616" t="s">
        <v>3313</v>
      </c>
      <c r="D217" s="616" t="s">
        <v>2082</v>
      </c>
      <c r="E217" s="616" t="s">
        <v>2083</v>
      </c>
      <c r="F217" s="619"/>
      <c r="G217" s="619"/>
      <c r="H217" s="619"/>
      <c r="I217" s="619"/>
      <c r="J217" s="619">
        <v>48</v>
      </c>
      <c r="K217" s="619">
        <v>61793.279999999999</v>
      </c>
      <c r="L217" s="619"/>
      <c r="M217" s="619">
        <v>1287.3599999999999</v>
      </c>
      <c r="N217" s="619">
        <v>36</v>
      </c>
      <c r="O217" s="619">
        <v>46344.960000000006</v>
      </c>
      <c r="P217" s="640"/>
      <c r="Q217" s="620">
        <v>1287.3600000000001</v>
      </c>
    </row>
    <row r="218" spans="1:17" ht="14.4" customHeight="1" x14ac:dyDescent="0.3">
      <c r="A218" s="615" t="s">
        <v>471</v>
      </c>
      <c r="B218" s="616" t="s">
        <v>3010</v>
      </c>
      <c r="C218" s="616" t="s">
        <v>3313</v>
      </c>
      <c r="D218" s="616" t="s">
        <v>3400</v>
      </c>
      <c r="E218" s="616" t="s">
        <v>1969</v>
      </c>
      <c r="F218" s="619"/>
      <c r="G218" s="619"/>
      <c r="H218" s="619"/>
      <c r="I218" s="619"/>
      <c r="J218" s="619">
        <v>42.7</v>
      </c>
      <c r="K218" s="619">
        <v>88165.549999999988</v>
      </c>
      <c r="L218" s="619"/>
      <c r="M218" s="619">
        <v>2064.7669789227161</v>
      </c>
      <c r="N218" s="619">
        <v>2.4</v>
      </c>
      <c r="O218" s="619">
        <v>3916.48</v>
      </c>
      <c r="P218" s="640"/>
      <c r="Q218" s="620">
        <v>1631.8666666666668</v>
      </c>
    </row>
    <row r="219" spans="1:17" ht="14.4" customHeight="1" x14ac:dyDescent="0.3">
      <c r="A219" s="615" t="s">
        <v>471</v>
      </c>
      <c r="B219" s="616" t="s">
        <v>3010</v>
      </c>
      <c r="C219" s="616" t="s">
        <v>3313</v>
      </c>
      <c r="D219" s="616" t="s">
        <v>3401</v>
      </c>
      <c r="E219" s="616" t="s">
        <v>3402</v>
      </c>
      <c r="F219" s="619">
        <v>1</v>
      </c>
      <c r="G219" s="619">
        <v>2454.84</v>
      </c>
      <c r="H219" s="619">
        <v>1</v>
      </c>
      <c r="I219" s="619">
        <v>2454.84</v>
      </c>
      <c r="J219" s="619"/>
      <c r="K219" s="619"/>
      <c r="L219" s="619"/>
      <c r="M219" s="619"/>
      <c r="N219" s="619"/>
      <c r="O219" s="619"/>
      <c r="P219" s="640"/>
      <c r="Q219" s="620"/>
    </row>
    <row r="220" spans="1:17" ht="14.4" customHeight="1" x14ac:dyDescent="0.3">
      <c r="A220" s="615" t="s">
        <v>471</v>
      </c>
      <c r="B220" s="616" t="s">
        <v>3010</v>
      </c>
      <c r="C220" s="616" t="s">
        <v>3313</v>
      </c>
      <c r="D220" s="616" t="s">
        <v>3403</v>
      </c>
      <c r="E220" s="616" t="s">
        <v>1989</v>
      </c>
      <c r="F220" s="619"/>
      <c r="G220" s="619"/>
      <c r="H220" s="619"/>
      <c r="I220" s="619"/>
      <c r="J220" s="619">
        <v>2.4000000000000004</v>
      </c>
      <c r="K220" s="619">
        <v>940.32</v>
      </c>
      <c r="L220" s="619"/>
      <c r="M220" s="619">
        <v>391.79999999999995</v>
      </c>
      <c r="N220" s="619">
        <v>5.7</v>
      </c>
      <c r="O220" s="619">
        <v>2233.2600000000002</v>
      </c>
      <c r="P220" s="640"/>
      <c r="Q220" s="620">
        <v>391.8</v>
      </c>
    </row>
    <row r="221" spans="1:17" ht="14.4" customHeight="1" x14ac:dyDescent="0.3">
      <c r="A221" s="615" t="s">
        <v>471</v>
      </c>
      <c r="B221" s="616" t="s">
        <v>3010</v>
      </c>
      <c r="C221" s="616" t="s">
        <v>3313</v>
      </c>
      <c r="D221" s="616" t="s">
        <v>3404</v>
      </c>
      <c r="E221" s="616" t="s">
        <v>1347</v>
      </c>
      <c r="F221" s="619"/>
      <c r="G221" s="619"/>
      <c r="H221" s="619"/>
      <c r="I221" s="619"/>
      <c r="J221" s="619">
        <v>0.2</v>
      </c>
      <c r="K221" s="619">
        <v>198.04</v>
      </c>
      <c r="L221" s="619"/>
      <c r="M221" s="619">
        <v>990.19999999999993</v>
      </c>
      <c r="N221" s="619">
        <v>1.1000000000000001</v>
      </c>
      <c r="O221" s="619">
        <v>842.16000000000008</v>
      </c>
      <c r="P221" s="640"/>
      <c r="Q221" s="620">
        <v>765.6</v>
      </c>
    </row>
    <row r="222" spans="1:17" ht="14.4" customHeight="1" x14ac:dyDescent="0.3">
      <c r="A222" s="615" t="s">
        <v>471</v>
      </c>
      <c r="B222" s="616" t="s">
        <v>3010</v>
      </c>
      <c r="C222" s="616" t="s">
        <v>3313</v>
      </c>
      <c r="D222" s="616" t="s">
        <v>3405</v>
      </c>
      <c r="E222" s="616" t="s">
        <v>1992</v>
      </c>
      <c r="F222" s="619"/>
      <c r="G222" s="619"/>
      <c r="H222" s="619"/>
      <c r="I222" s="619"/>
      <c r="J222" s="619">
        <v>1.9</v>
      </c>
      <c r="K222" s="619">
        <v>733.48</v>
      </c>
      <c r="L222" s="619"/>
      <c r="M222" s="619">
        <v>386.04210526315791</v>
      </c>
      <c r="N222" s="619">
        <v>1.32</v>
      </c>
      <c r="O222" s="619">
        <v>509.58000000000004</v>
      </c>
      <c r="P222" s="640"/>
      <c r="Q222" s="620">
        <v>386.04545454545456</v>
      </c>
    </row>
    <row r="223" spans="1:17" ht="14.4" customHeight="1" x14ac:dyDescent="0.3">
      <c r="A223" s="615" t="s">
        <v>471</v>
      </c>
      <c r="B223" s="616" t="s">
        <v>3010</v>
      </c>
      <c r="C223" s="616" t="s">
        <v>3313</v>
      </c>
      <c r="D223" s="616" t="s">
        <v>3406</v>
      </c>
      <c r="E223" s="616" t="s">
        <v>1995</v>
      </c>
      <c r="F223" s="619">
        <v>0.89999999999999991</v>
      </c>
      <c r="G223" s="619">
        <v>726.51</v>
      </c>
      <c r="H223" s="619">
        <v>1</v>
      </c>
      <c r="I223" s="619">
        <v>807.23333333333335</v>
      </c>
      <c r="J223" s="619">
        <v>11.399999999999999</v>
      </c>
      <c r="K223" s="619">
        <v>8802.380000000001</v>
      </c>
      <c r="L223" s="619">
        <v>12.115979133115857</v>
      </c>
      <c r="M223" s="619">
        <v>772.13859649122821</v>
      </c>
      <c r="N223" s="619">
        <v>13.4</v>
      </c>
      <c r="O223" s="619">
        <v>10346.6</v>
      </c>
      <c r="P223" s="640">
        <v>14.241510784435176</v>
      </c>
      <c r="Q223" s="620">
        <v>772.13432835820902</v>
      </c>
    </row>
    <row r="224" spans="1:17" ht="14.4" customHeight="1" x14ac:dyDescent="0.3">
      <c r="A224" s="615" t="s">
        <v>471</v>
      </c>
      <c r="B224" s="616" t="s">
        <v>3010</v>
      </c>
      <c r="C224" s="616" t="s">
        <v>3313</v>
      </c>
      <c r="D224" s="616" t="s">
        <v>3407</v>
      </c>
      <c r="E224" s="616" t="s">
        <v>3408</v>
      </c>
      <c r="F224" s="619">
        <v>4</v>
      </c>
      <c r="G224" s="619">
        <v>3609.6</v>
      </c>
      <c r="H224" s="619">
        <v>1</v>
      </c>
      <c r="I224" s="619">
        <v>902.4</v>
      </c>
      <c r="J224" s="619"/>
      <c r="K224" s="619"/>
      <c r="L224" s="619"/>
      <c r="M224" s="619"/>
      <c r="N224" s="619">
        <v>1</v>
      </c>
      <c r="O224" s="619">
        <v>863.17</v>
      </c>
      <c r="P224" s="640">
        <v>0.23913175975177303</v>
      </c>
      <c r="Q224" s="620">
        <v>863.17</v>
      </c>
    </row>
    <row r="225" spans="1:17" ht="14.4" customHeight="1" x14ac:dyDescent="0.3">
      <c r="A225" s="615" t="s">
        <v>471</v>
      </c>
      <c r="B225" s="616" t="s">
        <v>3010</v>
      </c>
      <c r="C225" s="616" t="s">
        <v>3313</v>
      </c>
      <c r="D225" s="616" t="s">
        <v>3409</v>
      </c>
      <c r="E225" s="616" t="s">
        <v>3410</v>
      </c>
      <c r="F225" s="619">
        <v>56.499999999999993</v>
      </c>
      <c r="G225" s="619">
        <v>204921.98</v>
      </c>
      <c r="H225" s="619">
        <v>1</v>
      </c>
      <c r="I225" s="619">
        <v>3626.9376991150448</v>
      </c>
      <c r="J225" s="619">
        <v>16.16</v>
      </c>
      <c r="K225" s="619">
        <v>52645.57</v>
      </c>
      <c r="L225" s="619">
        <v>0.25690543298478768</v>
      </c>
      <c r="M225" s="619">
        <v>3257.7704207920792</v>
      </c>
      <c r="N225" s="619"/>
      <c r="O225" s="619"/>
      <c r="P225" s="640"/>
      <c r="Q225" s="620"/>
    </row>
    <row r="226" spans="1:17" ht="14.4" customHeight="1" x14ac:dyDescent="0.3">
      <c r="A226" s="615" t="s">
        <v>471</v>
      </c>
      <c r="B226" s="616" t="s">
        <v>3010</v>
      </c>
      <c r="C226" s="616" t="s">
        <v>3313</v>
      </c>
      <c r="D226" s="616" t="s">
        <v>3411</v>
      </c>
      <c r="E226" s="616" t="s">
        <v>2066</v>
      </c>
      <c r="F226" s="619"/>
      <c r="G226" s="619"/>
      <c r="H226" s="619"/>
      <c r="I226" s="619"/>
      <c r="J226" s="619">
        <v>50.7</v>
      </c>
      <c r="K226" s="619">
        <v>21737.87</v>
      </c>
      <c r="L226" s="619"/>
      <c r="M226" s="619">
        <v>428.75483234714</v>
      </c>
      <c r="N226" s="619">
        <v>66.7</v>
      </c>
      <c r="O226" s="619">
        <v>27799.47</v>
      </c>
      <c r="P226" s="640"/>
      <c r="Q226" s="620">
        <v>416.78365817091452</v>
      </c>
    </row>
    <row r="227" spans="1:17" ht="14.4" customHeight="1" x14ac:dyDescent="0.3">
      <c r="A227" s="615" t="s">
        <v>471</v>
      </c>
      <c r="B227" s="616" t="s">
        <v>3010</v>
      </c>
      <c r="C227" s="616" t="s">
        <v>3313</v>
      </c>
      <c r="D227" s="616" t="s">
        <v>3412</v>
      </c>
      <c r="E227" s="616" t="s">
        <v>2037</v>
      </c>
      <c r="F227" s="619"/>
      <c r="G227" s="619"/>
      <c r="H227" s="619"/>
      <c r="I227" s="619"/>
      <c r="J227" s="619">
        <v>164.5</v>
      </c>
      <c r="K227" s="619">
        <v>36058.400000000001</v>
      </c>
      <c r="L227" s="619"/>
      <c r="M227" s="619">
        <v>219.20000000000002</v>
      </c>
      <c r="N227" s="619">
        <v>153.1</v>
      </c>
      <c r="O227" s="619">
        <v>33559.520000000004</v>
      </c>
      <c r="P227" s="640"/>
      <c r="Q227" s="620">
        <v>219.20000000000005</v>
      </c>
    </row>
    <row r="228" spans="1:17" ht="14.4" customHeight="1" x14ac:dyDescent="0.3">
      <c r="A228" s="615" t="s">
        <v>471</v>
      </c>
      <c r="B228" s="616" t="s">
        <v>3010</v>
      </c>
      <c r="C228" s="616" t="s">
        <v>3313</v>
      </c>
      <c r="D228" s="616" t="s">
        <v>3413</v>
      </c>
      <c r="E228" s="616" t="s">
        <v>2056</v>
      </c>
      <c r="F228" s="619">
        <v>20</v>
      </c>
      <c r="G228" s="619">
        <v>215980.2</v>
      </c>
      <c r="H228" s="619">
        <v>1</v>
      </c>
      <c r="I228" s="619">
        <v>10799.01</v>
      </c>
      <c r="J228" s="619"/>
      <c r="K228" s="619"/>
      <c r="L228" s="619"/>
      <c r="M228" s="619"/>
      <c r="N228" s="619">
        <v>23</v>
      </c>
      <c r="O228" s="619">
        <v>237578.27000000002</v>
      </c>
      <c r="P228" s="640">
        <v>1.1000002315027027</v>
      </c>
      <c r="Q228" s="620">
        <v>10329.490000000002</v>
      </c>
    </row>
    <row r="229" spans="1:17" ht="14.4" customHeight="1" x14ac:dyDescent="0.3">
      <c r="A229" s="615" t="s">
        <v>471</v>
      </c>
      <c r="B229" s="616" t="s">
        <v>3010</v>
      </c>
      <c r="C229" s="616" t="s">
        <v>3313</v>
      </c>
      <c r="D229" s="616" t="s">
        <v>2087</v>
      </c>
      <c r="E229" s="616" t="s">
        <v>3414</v>
      </c>
      <c r="F229" s="619">
        <v>6</v>
      </c>
      <c r="G229" s="619">
        <v>21020.34</v>
      </c>
      <c r="H229" s="619">
        <v>1</v>
      </c>
      <c r="I229" s="619">
        <v>3503.39</v>
      </c>
      <c r="J229" s="619"/>
      <c r="K229" s="619"/>
      <c r="L229" s="619"/>
      <c r="M229" s="619"/>
      <c r="N229" s="619">
        <v>13</v>
      </c>
      <c r="O229" s="619">
        <v>41246.14</v>
      </c>
      <c r="P229" s="640">
        <v>1.9622013725753247</v>
      </c>
      <c r="Q229" s="620">
        <v>3172.7799999999997</v>
      </c>
    </row>
    <row r="230" spans="1:17" ht="14.4" customHeight="1" x14ac:dyDescent="0.3">
      <c r="A230" s="615" t="s">
        <v>471</v>
      </c>
      <c r="B230" s="616" t="s">
        <v>3010</v>
      </c>
      <c r="C230" s="616" t="s">
        <v>3313</v>
      </c>
      <c r="D230" s="616" t="s">
        <v>3415</v>
      </c>
      <c r="E230" s="616" t="s">
        <v>2066</v>
      </c>
      <c r="F230" s="619"/>
      <c r="G230" s="619"/>
      <c r="H230" s="619"/>
      <c r="I230" s="619"/>
      <c r="J230" s="619">
        <v>1.5</v>
      </c>
      <c r="K230" s="619">
        <v>1286.32</v>
      </c>
      <c r="L230" s="619"/>
      <c r="M230" s="619">
        <v>857.54666666666662</v>
      </c>
      <c r="N230" s="619"/>
      <c r="O230" s="619"/>
      <c r="P230" s="640"/>
      <c r="Q230" s="620"/>
    </row>
    <row r="231" spans="1:17" ht="14.4" customHeight="1" x14ac:dyDescent="0.3">
      <c r="A231" s="615" t="s">
        <v>471</v>
      </c>
      <c r="B231" s="616" t="s">
        <v>3010</v>
      </c>
      <c r="C231" s="616" t="s">
        <v>3313</v>
      </c>
      <c r="D231" s="616" t="s">
        <v>3416</v>
      </c>
      <c r="E231" s="616" t="s">
        <v>3417</v>
      </c>
      <c r="F231" s="619"/>
      <c r="G231" s="619"/>
      <c r="H231" s="619"/>
      <c r="I231" s="619"/>
      <c r="J231" s="619"/>
      <c r="K231" s="619"/>
      <c r="L231" s="619"/>
      <c r="M231" s="619"/>
      <c r="N231" s="619">
        <v>82</v>
      </c>
      <c r="O231" s="619">
        <v>5391.5</v>
      </c>
      <c r="P231" s="640"/>
      <c r="Q231" s="620">
        <v>65.75</v>
      </c>
    </row>
    <row r="232" spans="1:17" ht="14.4" customHeight="1" x14ac:dyDescent="0.3">
      <c r="A232" s="615" t="s">
        <v>471</v>
      </c>
      <c r="B232" s="616" t="s">
        <v>3010</v>
      </c>
      <c r="C232" s="616" t="s">
        <v>3313</v>
      </c>
      <c r="D232" s="616" t="s">
        <v>3418</v>
      </c>
      <c r="E232" s="616" t="s">
        <v>3414</v>
      </c>
      <c r="F232" s="619">
        <v>1</v>
      </c>
      <c r="G232" s="619">
        <v>7006.78</v>
      </c>
      <c r="H232" s="619">
        <v>1</v>
      </c>
      <c r="I232" s="619">
        <v>7006.78</v>
      </c>
      <c r="J232" s="619"/>
      <c r="K232" s="619"/>
      <c r="L232" s="619"/>
      <c r="M232" s="619"/>
      <c r="N232" s="619"/>
      <c r="O232" s="619"/>
      <c r="P232" s="640"/>
      <c r="Q232" s="620"/>
    </row>
    <row r="233" spans="1:17" ht="14.4" customHeight="1" x14ac:dyDescent="0.3">
      <c r="A233" s="615" t="s">
        <v>471</v>
      </c>
      <c r="B233" s="616" t="s">
        <v>3010</v>
      </c>
      <c r="C233" s="616" t="s">
        <v>3313</v>
      </c>
      <c r="D233" s="616" t="s">
        <v>3419</v>
      </c>
      <c r="E233" s="616" t="s">
        <v>1986</v>
      </c>
      <c r="F233" s="619"/>
      <c r="G233" s="619"/>
      <c r="H233" s="619"/>
      <c r="I233" s="619"/>
      <c r="J233" s="619"/>
      <c r="K233" s="619"/>
      <c r="L233" s="619"/>
      <c r="M233" s="619"/>
      <c r="N233" s="619">
        <v>7.3</v>
      </c>
      <c r="O233" s="619">
        <v>4262.71</v>
      </c>
      <c r="P233" s="640"/>
      <c r="Q233" s="620">
        <v>583.93287671232883</v>
      </c>
    </row>
    <row r="234" spans="1:17" ht="14.4" customHeight="1" x14ac:dyDescent="0.3">
      <c r="A234" s="615" t="s">
        <v>471</v>
      </c>
      <c r="B234" s="616" t="s">
        <v>3010</v>
      </c>
      <c r="C234" s="616" t="s">
        <v>3313</v>
      </c>
      <c r="D234" s="616" t="s">
        <v>3420</v>
      </c>
      <c r="E234" s="616" t="s">
        <v>3399</v>
      </c>
      <c r="F234" s="619"/>
      <c r="G234" s="619"/>
      <c r="H234" s="619"/>
      <c r="I234" s="619"/>
      <c r="J234" s="619">
        <v>7</v>
      </c>
      <c r="K234" s="619">
        <v>48164.34</v>
      </c>
      <c r="L234" s="619"/>
      <c r="M234" s="619">
        <v>6880.62</v>
      </c>
      <c r="N234" s="619"/>
      <c r="O234" s="619"/>
      <c r="P234" s="640"/>
      <c r="Q234" s="620"/>
    </row>
    <row r="235" spans="1:17" ht="14.4" customHeight="1" x14ac:dyDescent="0.3">
      <c r="A235" s="615" t="s">
        <v>471</v>
      </c>
      <c r="B235" s="616" t="s">
        <v>3010</v>
      </c>
      <c r="C235" s="616" t="s">
        <v>3313</v>
      </c>
      <c r="D235" s="616" t="s">
        <v>3421</v>
      </c>
      <c r="E235" s="616" t="s">
        <v>3422</v>
      </c>
      <c r="F235" s="619">
        <v>12</v>
      </c>
      <c r="G235" s="619">
        <v>35247.599999999999</v>
      </c>
      <c r="H235" s="619">
        <v>1</v>
      </c>
      <c r="I235" s="619">
        <v>2937.2999999999997</v>
      </c>
      <c r="J235" s="619">
        <v>2</v>
      </c>
      <c r="K235" s="619">
        <v>5414</v>
      </c>
      <c r="L235" s="619">
        <v>0.1535991102940342</v>
      </c>
      <c r="M235" s="619">
        <v>2707</v>
      </c>
      <c r="N235" s="619"/>
      <c r="O235" s="619"/>
      <c r="P235" s="640"/>
      <c r="Q235" s="620"/>
    </row>
    <row r="236" spans="1:17" ht="14.4" customHeight="1" x14ac:dyDescent="0.3">
      <c r="A236" s="615" t="s">
        <v>471</v>
      </c>
      <c r="B236" s="616" t="s">
        <v>3010</v>
      </c>
      <c r="C236" s="616" t="s">
        <v>3313</v>
      </c>
      <c r="D236" s="616" t="s">
        <v>3423</v>
      </c>
      <c r="E236" s="616" t="s">
        <v>3424</v>
      </c>
      <c r="F236" s="619">
        <v>12</v>
      </c>
      <c r="G236" s="619">
        <v>182108.04</v>
      </c>
      <c r="H236" s="619">
        <v>1</v>
      </c>
      <c r="I236" s="619">
        <v>15175.67</v>
      </c>
      <c r="J236" s="619"/>
      <c r="K236" s="619"/>
      <c r="L236" s="619"/>
      <c r="M236" s="619"/>
      <c r="N236" s="619"/>
      <c r="O236" s="619"/>
      <c r="P236" s="640"/>
      <c r="Q236" s="620"/>
    </row>
    <row r="237" spans="1:17" ht="14.4" customHeight="1" x14ac:dyDescent="0.3">
      <c r="A237" s="615" t="s">
        <v>471</v>
      </c>
      <c r="B237" s="616" t="s">
        <v>3010</v>
      </c>
      <c r="C237" s="616" t="s">
        <v>3313</v>
      </c>
      <c r="D237" s="616" t="s">
        <v>3425</v>
      </c>
      <c r="E237" s="616" t="s">
        <v>3426</v>
      </c>
      <c r="F237" s="619">
        <v>0.5</v>
      </c>
      <c r="G237" s="619">
        <v>260.21000000000004</v>
      </c>
      <c r="H237" s="619">
        <v>1</v>
      </c>
      <c r="I237" s="619">
        <v>520.42000000000007</v>
      </c>
      <c r="J237" s="619">
        <v>5.0999999999999996</v>
      </c>
      <c r="K237" s="619">
        <v>2497.96</v>
      </c>
      <c r="L237" s="619">
        <v>9.599784789208714</v>
      </c>
      <c r="M237" s="619">
        <v>489.79607843137256</v>
      </c>
      <c r="N237" s="619"/>
      <c r="O237" s="619"/>
      <c r="P237" s="640"/>
      <c r="Q237" s="620"/>
    </row>
    <row r="238" spans="1:17" ht="14.4" customHeight="1" x14ac:dyDescent="0.3">
      <c r="A238" s="615" t="s">
        <v>471</v>
      </c>
      <c r="B238" s="616" t="s">
        <v>3010</v>
      </c>
      <c r="C238" s="616" t="s">
        <v>3313</v>
      </c>
      <c r="D238" s="616" t="s">
        <v>3427</v>
      </c>
      <c r="E238" s="616" t="s">
        <v>1972</v>
      </c>
      <c r="F238" s="619">
        <v>1.6</v>
      </c>
      <c r="G238" s="619">
        <v>4667.68</v>
      </c>
      <c r="H238" s="619">
        <v>1</v>
      </c>
      <c r="I238" s="619">
        <v>2917.3</v>
      </c>
      <c r="J238" s="619">
        <v>77.900000000000006</v>
      </c>
      <c r="K238" s="619">
        <v>165584.24</v>
      </c>
      <c r="L238" s="619">
        <v>35.474634079457026</v>
      </c>
      <c r="M238" s="619">
        <v>2125.6</v>
      </c>
      <c r="N238" s="619">
        <v>123.13</v>
      </c>
      <c r="O238" s="619">
        <v>261725.12</v>
      </c>
      <c r="P238" s="640">
        <v>56.071778699482394</v>
      </c>
      <c r="Q238" s="620">
        <v>2125.599935028019</v>
      </c>
    </row>
    <row r="239" spans="1:17" ht="14.4" customHeight="1" x14ac:dyDescent="0.3">
      <c r="A239" s="615" t="s">
        <v>471</v>
      </c>
      <c r="B239" s="616" t="s">
        <v>3010</v>
      </c>
      <c r="C239" s="616" t="s">
        <v>3313</v>
      </c>
      <c r="D239" s="616" t="s">
        <v>3428</v>
      </c>
      <c r="E239" s="616" t="s">
        <v>2052</v>
      </c>
      <c r="F239" s="619">
        <v>0.4</v>
      </c>
      <c r="G239" s="619">
        <v>4345.88</v>
      </c>
      <c r="H239" s="619">
        <v>1</v>
      </c>
      <c r="I239" s="619">
        <v>10864.699999999999</v>
      </c>
      <c r="J239" s="619">
        <v>4</v>
      </c>
      <c r="K239" s="619">
        <v>41569.4</v>
      </c>
      <c r="L239" s="619">
        <v>9.5652434029471589</v>
      </c>
      <c r="M239" s="619">
        <v>10392.35</v>
      </c>
      <c r="N239" s="619">
        <v>16</v>
      </c>
      <c r="O239" s="619">
        <v>166277.6</v>
      </c>
      <c r="P239" s="640">
        <v>38.260973611788636</v>
      </c>
      <c r="Q239" s="620">
        <v>10392.35</v>
      </c>
    </row>
    <row r="240" spans="1:17" ht="14.4" customHeight="1" x14ac:dyDescent="0.3">
      <c r="A240" s="615" t="s">
        <v>471</v>
      </c>
      <c r="B240" s="616" t="s">
        <v>3010</v>
      </c>
      <c r="C240" s="616" t="s">
        <v>3313</v>
      </c>
      <c r="D240" s="616" t="s">
        <v>3429</v>
      </c>
      <c r="E240" s="616" t="s">
        <v>3430</v>
      </c>
      <c r="F240" s="619"/>
      <c r="G240" s="619"/>
      <c r="H240" s="619"/>
      <c r="I240" s="619"/>
      <c r="J240" s="619">
        <v>30.400000000000002</v>
      </c>
      <c r="K240" s="619">
        <v>114158.47</v>
      </c>
      <c r="L240" s="619"/>
      <c r="M240" s="619">
        <v>3755.2128289473681</v>
      </c>
      <c r="N240" s="619"/>
      <c r="O240" s="619"/>
      <c r="P240" s="640"/>
      <c r="Q240" s="620"/>
    </row>
    <row r="241" spans="1:17" ht="14.4" customHeight="1" x14ac:dyDescent="0.3">
      <c r="A241" s="615" t="s">
        <v>471</v>
      </c>
      <c r="B241" s="616" t="s">
        <v>3010</v>
      </c>
      <c r="C241" s="616" t="s">
        <v>3313</v>
      </c>
      <c r="D241" s="616" t="s">
        <v>3431</v>
      </c>
      <c r="E241" s="616" t="s">
        <v>3432</v>
      </c>
      <c r="F241" s="619"/>
      <c r="G241" s="619"/>
      <c r="H241" s="619"/>
      <c r="I241" s="619"/>
      <c r="J241" s="619">
        <v>0.1</v>
      </c>
      <c r="K241" s="619">
        <v>19.59</v>
      </c>
      <c r="L241" s="619"/>
      <c r="M241" s="619">
        <v>195.89999999999998</v>
      </c>
      <c r="N241" s="619">
        <v>0.3</v>
      </c>
      <c r="O241" s="619">
        <v>58.77</v>
      </c>
      <c r="P241" s="640"/>
      <c r="Q241" s="620">
        <v>195.9</v>
      </c>
    </row>
    <row r="242" spans="1:17" ht="14.4" customHeight="1" x14ac:dyDescent="0.3">
      <c r="A242" s="615" t="s">
        <v>471</v>
      </c>
      <c r="B242" s="616" t="s">
        <v>3010</v>
      </c>
      <c r="C242" s="616" t="s">
        <v>3313</v>
      </c>
      <c r="D242" s="616" t="s">
        <v>3433</v>
      </c>
      <c r="E242" s="616" t="s">
        <v>2310</v>
      </c>
      <c r="F242" s="619"/>
      <c r="G242" s="619"/>
      <c r="H242" s="619"/>
      <c r="I242" s="619"/>
      <c r="J242" s="619"/>
      <c r="K242" s="619"/>
      <c r="L242" s="619"/>
      <c r="M242" s="619"/>
      <c r="N242" s="619">
        <v>1.3</v>
      </c>
      <c r="O242" s="619">
        <v>651.54</v>
      </c>
      <c r="P242" s="640"/>
      <c r="Q242" s="620">
        <v>501.18461538461531</v>
      </c>
    </row>
    <row r="243" spans="1:17" ht="14.4" customHeight="1" x14ac:dyDescent="0.3">
      <c r="A243" s="615" t="s">
        <v>471</v>
      </c>
      <c r="B243" s="616" t="s">
        <v>3010</v>
      </c>
      <c r="C243" s="616" t="s">
        <v>3313</v>
      </c>
      <c r="D243" s="616" t="s">
        <v>3434</v>
      </c>
      <c r="E243" s="616" t="s">
        <v>2310</v>
      </c>
      <c r="F243" s="619"/>
      <c r="G243" s="619"/>
      <c r="H243" s="619"/>
      <c r="I243" s="619"/>
      <c r="J243" s="619">
        <v>3.1</v>
      </c>
      <c r="K243" s="619">
        <v>3549.6099999999997</v>
      </c>
      <c r="L243" s="619"/>
      <c r="M243" s="619">
        <v>1145.0354838709677</v>
      </c>
      <c r="N243" s="619">
        <v>13</v>
      </c>
      <c r="O243" s="619">
        <v>13090.87</v>
      </c>
      <c r="P243" s="640"/>
      <c r="Q243" s="620">
        <v>1006.99</v>
      </c>
    </row>
    <row r="244" spans="1:17" ht="14.4" customHeight="1" x14ac:dyDescent="0.3">
      <c r="A244" s="615" t="s">
        <v>471</v>
      </c>
      <c r="B244" s="616" t="s">
        <v>3010</v>
      </c>
      <c r="C244" s="616" t="s">
        <v>3313</v>
      </c>
      <c r="D244" s="616" t="s">
        <v>3435</v>
      </c>
      <c r="E244" s="616" t="s">
        <v>3436</v>
      </c>
      <c r="F244" s="619"/>
      <c r="G244" s="619"/>
      <c r="H244" s="619"/>
      <c r="I244" s="619"/>
      <c r="J244" s="619">
        <v>26.6</v>
      </c>
      <c r="K244" s="619">
        <v>99888.700000000012</v>
      </c>
      <c r="L244" s="619"/>
      <c r="M244" s="619">
        <v>3755.2142857142858</v>
      </c>
      <c r="N244" s="619"/>
      <c r="O244" s="619"/>
      <c r="P244" s="640"/>
      <c r="Q244" s="620"/>
    </row>
    <row r="245" spans="1:17" ht="14.4" customHeight="1" x14ac:dyDescent="0.3">
      <c r="A245" s="615" t="s">
        <v>471</v>
      </c>
      <c r="B245" s="616" t="s">
        <v>3010</v>
      </c>
      <c r="C245" s="616" t="s">
        <v>3313</v>
      </c>
      <c r="D245" s="616" t="s">
        <v>3437</v>
      </c>
      <c r="E245" s="616" t="s">
        <v>3438</v>
      </c>
      <c r="F245" s="619"/>
      <c r="G245" s="619"/>
      <c r="H245" s="619"/>
      <c r="I245" s="619"/>
      <c r="J245" s="619">
        <v>24</v>
      </c>
      <c r="K245" s="619">
        <v>30896.639999999999</v>
      </c>
      <c r="L245" s="619"/>
      <c r="M245" s="619">
        <v>1287.3599999999999</v>
      </c>
      <c r="N245" s="619"/>
      <c r="O245" s="619"/>
      <c r="P245" s="640"/>
      <c r="Q245" s="620"/>
    </row>
    <row r="246" spans="1:17" ht="14.4" customHeight="1" x14ac:dyDescent="0.3">
      <c r="A246" s="615" t="s">
        <v>471</v>
      </c>
      <c r="B246" s="616" t="s">
        <v>3010</v>
      </c>
      <c r="C246" s="616" t="s">
        <v>3313</v>
      </c>
      <c r="D246" s="616" t="s">
        <v>3439</v>
      </c>
      <c r="E246" s="616" t="s">
        <v>2035</v>
      </c>
      <c r="F246" s="619"/>
      <c r="G246" s="619"/>
      <c r="H246" s="619"/>
      <c r="I246" s="619"/>
      <c r="J246" s="619">
        <v>12</v>
      </c>
      <c r="K246" s="619">
        <v>1315.2</v>
      </c>
      <c r="L246" s="619"/>
      <c r="M246" s="619">
        <v>109.60000000000001</v>
      </c>
      <c r="N246" s="619">
        <v>9</v>
      </c>
      <c r="O246" s="619">
        <v>986.4</v>
      </c>
      <c r="P246" s="640"/>
      <c r="Q246" s="620">
        <v>109.6</v>
      </c>
    </row>
    <row r="247" spans="1:17" ht="14.4" customHeight="1" x14ac:dyDescent="0.3">
      <c r="A247" s="615" t="s">
        <v>471</v>
      </c>
      <c r="B247" s="616" t="s">
        <v>3010</v>
      </c>
      <c r="C247" s="616" t="s">
        <v>3313</v>
      </c>
      <c r="D247" s="616" t="s">
        <v>3440</v>
      </c>
      <c r="E247" s="616" t="s">
        <v>3374</v>
      </c>
      <c r="F247" s="619"/>
      <c r="G247" s="619"/>
      <c r="H247" s="619"/>
      <c r="I247" s="619"/>
      <c r="J247" s="619">
        <v>5</v>
      </c>
      <c r="K247" s="619">
        <v>64723.7</v>
      </c>
      <c r="L247" s="619"/>
      <c r="M247" s="619">
        <v>12944.74</v>
      </c>
      <c r="N247" s="619"/>
      <c r="O247" s="619"/>
      <c r="P247" s="640"/>
      <c r="Q247" s="620"/>
    </row>
    <row r="248" spans="1:17" ht="14.4" customHeight="1" x14ac:dyDescent="0.3">
      <c r="A248" s="615" t="s">
        <v>471</v>
      </c>
      <c r="B248" s="616" t="s">
        <v>3010</v>
      </c>
      <c r="C248" s="616" t="s">
        <v>3313</v>
      </c>
      <c r="D248" s="616" t="s">
        <v>3441</v>
      </c>
      <c r="E248" s="616" t="s">
        <v>1977</v>
      </c>
      <c r="F248" s="619"/>
      <c r="G248" s="619"/>
      <c r="H248" s="619"/>
      <c r="I248" s="619"/>
      <c r="J248" s="619">
        <v>1.8</v>
      </c>
      <c r="K248" s="619">
        <v>596.52</v>
      </c>
      <c r="L248" s="619"/>
      <c r="M248" s="619">
        <v>331.4</v>
      </c>
      <c r="N248" s="619">
        <v>19.899999999999999</v>
      </c>
      <c r="O248" s="619">
        <v>6594.86</v>
      </c>
      <c r="P248" s="640"/>
      <c r="Q248" s="620">
        <v>331.40000000000003</v>
      </c>
    </row>
    <row r="249" spans="1:17" ht="14.4" customHeight="1" x14ac:dyDescent="0.3">
      <c r="A249" s="615" t="s">
        <v>471</v>
      </c>
      <c r="B249" s="616" t="s">
        <v>3010</v>
      </c>
      <c r="C249" s="616" t="s">
        <v>3313</v>
      </c>
      <c r="D249" s="616" t="s">
        <v>3442</v>
      </c>
      <c r="E249" s="616" t="s">
        <v>1980</v>
      </c>
      <c r="F249" s="619"/>
      <c r="G249" s="619"/>
      <c r="H249" s="619"/>
      <c r="I249" s="619"/>
      <c r="J249" s="619">
        <v>0.5</v>
      </c>
      <c r="K249" s="619">
        <v>5646.91</v>
      </c>
      <c r="L249" s="619"/>
      <c r="M249" s="619">
        <v>11293.82</v>
      </c>
      <c r="N249" s="619">
        <v>3.9</v>
      </c>
      <c r="O249" s="619">
        <v>44045.98</v>
      </c>
      <c r="P249" s="640"/>
      <c r="Q249" s="620">
        <v>11293.841025641026</v>
      </c>
    </row>
    <row r="250" spans="1:17" ht="14.4" customHeight="1" x14ac:dyDescent="0.3">
      <c r="A250" s="615" t="s">
        <v>471</v>
      </c>
      <c r="B250" s="616" t="s">
        <v>3010</v>
      </c>
      <c r="C250" s="616" t="s">
        <v>3313</v>
      </c>
      <c r="D250" s="616" t="s">
        <v>3443</v>
      </c>
      <c r="E250" s="616" t="s">
        <v>3444</v>
      </c>
      <c r="F250" s="619"/>
      <c r="G250" s="619"/>
      <c r="H250" s="619"/>
      <c r="I250" s="619"/>
      <c r="J250" s="619">
        <v>0.8</v>
      </c>
      <c r="K250" s="619">
        <v>1157.44</v>
      </c>
      <c r="L250" s="619"/>
      <c r="M250" s="619">
        <v>1446.8</v>
      </c>
      <c r="N250" s="619"/>
      <c r="O250" s="619"/>
      <c r="P250" s="640"/>
      <c r="Q250" s="620"/>
    </row>
    <row r="251" spans="1:17" ht="14.4" customHeight="1" x14ac:dyDescent="0.3">
      <c r="A251" s="615" t="s">
        <v>471</v>
      </c>
      <c r="B251" s="616" t="s">
        <v>3010</v>
      </c>
      <c r="C251" s="616" t="s">
        <v>3313</v>
      </c>
      <c r="D251" s="616" t="s">
        <v>3445</v>
      </c>
      <c r="E251" s="616" t="s">
        <v>2016</v>
      </c>
      <c r="F251" s="619"/>
      <c r="G251" s="619"/>
      <c r="H251" s="619"/>
      <c r="I251" s="619"/>
      <c r="J251" s="619"/>
      <c r="K251" s="619"/>
      <c r="L251" s="619"/>
      <c r="M251" s="619"/>
      <c r="N251" s="619">
        <v>11.5</v>
      </c>
      <c r="O251" s="619">
        <v>9083.25</v>
      </c>
      <c r="P251" s="640"/>
      <c r="Q251" s="620">
        <v>789.8478260869565</v>
      </c>
    </row>
    <row r="252" spans="1:17" ht="14.4" customHeight="1" x14ac:dyDescent="0.3">
      <c r="A252" s="615" t="s">
        <v>471</v>
      </c>
      <c r="B252" s="616" t="s">
        <v>3010</v>
      </c>
      <c r="C252" s="616" t="s">
        <v>3313</v>
      </c>
      <c r="D252" s="616" t="s">
        <v>3446</v>
      </c>
      <c r="E252" s="616" t="s">
        <v>2040</v>
      </c>
      <c r="F252" s="619"/>
      <c r="G252" s="619"/>
      <c r="H252" s="619"/>
      <c r="I252" s="619"/>
      <c r="J252" s="619"/>
      <c r="K252" s="619"/>
      <c r="L252" s="619"/>
      <c r="M252" s="619"/>
      <c r="N252" s="619">
        <v>51.999999999999993</v>
      </c>
      <c r="O252" s="619">
        <v>169714.33</v>
      </c>
      <c r="P252" s="640"/>
      <c r="Q252" s="620">
        <v>3263.7371153846157</v>
      </c>
    </row>
    <row r="253" spans="1:17" ht="14.4" customHeight="1" x14ac:dyDescent="0.3">
      <c r="A253" s="615" t="s">
        <v>471</v>
      </c>
      <c r="B253" s="616" t="s">
        <v>3010</v>
      </c>
      <c r="C253" s="616" t="s">
        <v>3313</v>
      </c>
      <c r="D253" s="616" t="s">
        <v>3447</v>
      </c>
      <c r="E253" s="616" t="s">
        <v>2008</v>
      </c>
      <c r="F253" s="619"/>
      <c r="G253" s="619"/>
      <c r="H253" s="619"/>
      <c r="I253" s="619"/>
      <c r="J253" s="619"/>
      <c r="K253" s="619"/>
      <c r="L253" s="619"/>
      <c r="M253" s="619"/>
      <c r="N253" s="619">
        <v>0.2</v>
      </c>
      <c r="O253" s="619">
        <v>77.319999999999993</v>
      </c>
      <c r="P253" s="640"/>
      <c r="Q253" s="620">
        <v>386.59999999999997</v>
      </c>
    </row>
    <row r="254" spans="1:17" ht="14.4" customHeight="1" x14ac:dyDescent="0.3">
      <c r="A254" s="615" t="s">
        <v>471</v>
      </c>
      <c r="B254" s="616" t="s">
        <v>3010</v>
      </c>
      <c r="C254" s="616" t="s">
        <v>3313</v>
      </c>
      <c r="D254" s="616" t="s">
        <v>3448</v>
      </c>
      <c r="E254" s="616"/>
      <c r="F254" s="619"/>
      <c r="G254" s="619"/>
      <c r="H254" s="619"/>
      <c r="I254" s="619"/>
      <c r="J254" s="619">
        <v>0.2</v>
      </c>
      <c r="K254" s="619">
        <v>116.79</v>
      </c>
      <c r="L254" s="619"/>
      <c r="M254" s="619">
        <v>583.95000000000005</v>
      </c>
      <c r="N254" s="619"/>
      <c r="O254" s="619"/>
      <c r="P254" s="640"/>
      <c r="Q254" s="620"/>
    </row>
    <row r="255" spans="1:17" ht="14.4" customHeight="1" x14ac:dyDescent="0.3">
      <c r="A255" s="615" t="s">
        <v>471</v>
      </c>
      <c r="B255" s="616" t="s">
        <v>3010</v>
      </c>
      <c r="C255" s="616" t="s">
        <v>3449</v>
      </c>
      <c r="D255" s="616" t="s">
        <v>3450</v>
      </c>
      <c r="E255" s="616"/>
      <c r="F255" s="619">
        <v>6</v>
      </c>
      <c r="G255" s="619">
        <v>7295.1</v>
      </c>
      <c r="H255" s="619">
        <v>1</v>
      </c>
      <c r="I255" s="619">
        <v>1215.8500000000001</v>
      </c>
      <c r="J255" s="619">
        <v>1</v>
      </c>
      <c r="K255" s="619">
        <v>1215.8499999999999</v>
      </c>
      <c r="L255" s="619">
        <v>0.16666666666666666</v>
      </c>
      <c r="M255" s="619">
        <v>1215.8499999999999</v>
      </c>
      <c r="N255" s="619">
        <v>10</v>
      </c>
      <c r="O255" s="619">
        <v>13069.2</v>
      </c>
      <c r="P255" s="640">
        <v>1.7915038861701691</v>
      </c>
      <c r="Q255" s="620">
        <v>1306.92</v>
      </c>
    </row>
    <row r="256" spans="1:17" ht="14.4" customHeight="1" x14ac:dyDescent="0.3">
      <c r="A256" s="615" t="s">
        <v>471</v>
      </c>
      <c r="B256" s="616" t="s">
        <v>3010</v>
      </c>
      <c r="C256" s="616" t="s">
        <v>3449</v>
      </c>
      <c r="D256" s="616" t="s">
        <v>3451</v>
      </c>
      <c r="E256" s="616"/>
      <c r="F256" s="619">
        <v>579</v>
      </c>
      <c r="G256" s="619">
        <v>1080170.82</v>
      </c>
      <c r="H256" s="619">
        <v>1</v>
      </c>
      <c r="I256" s="619">
        <v>1865.5800000000002</v>
      </c>
      <c r="J256" s="619">
        <v>673</v>
      </c>
      <c r="K256" s="619">
        <v>1255535.3399999999</v>
      </c>
      <c r="L256" s="619">
        <v>1.1623488773747839</v>
      </c>
      <c r="M256" s="619">
        <v>1865.5799999999997</v>
      </c>
      <c r="N256" s="619">
        <v>763</v>
      </c>
      <c r="O256" s="619">
        <v>1530572.19</v>
      </c>
      <c r="P256" s="640">
        <v>1.4169723544281634</v>
      </c>
      <c r="Q256" s="620">
        <v>2005.9923853211008</v>
      </c>
    </row>
    <row r="257" spans="1:17" ht="14.4" customHeight="1" x14ac:dyDescent="0.3">
      <c r="A257" s="615" t="s">
        <v>471</v>
      </c>
      <c r="B257" s="616" t="s">
        <v>3010</v>
      </c>
      <c r="C257" s="616" t="s">
        <v>3449</v>
      </c>
      <c r="D257" s="616" t="s">
        <v>3452</v>
      </c>
      <c r="E257" s="616"/>
      <c r="F257" s="619">
        <v>15</v>
      </c>
      <c r="G257" s="619">
        <v>40930.649999999994</v>
      </c>
      <c r="H257" s="619">
        <v>1</v>
      </c>
      <c r="I257" s="619">
        <v>2728.7099999999996</v>
      </c>
      <c r="J257" s="619">
        <v>13</v>
      </c>
      <c r="K257" s="619">
        <v>35205.410000000003</v>
      </c>
      <c r="L257" s="619">
        <v>0.86012340385505748</v>
      </c>
      <c r="M257" s="619">
        <v>2708.1084615384616</v>
      </c>
      <c r="N257" s="619">
        <v>50</v>
      </c>
      <c r="O257" s="619">
        <v>123205.32</v>
      </c>
      <c r="P257" s="640">
        <v>3.0100992776806628</v>
      </c>
      <c r="Q257" s="620">
        <v>2464.1064000000001</v>
      </c>
    </row>
    <row r="258" spans="1:17" ht="14.4" customHeight="1" x14ac:dyDescent="0.3">
      <c r="A258" s="615" t="s">
        <v>471</v>
      </c>
      <c r="B258" s="616" t="s">
        <v>3010</v>
      </c>
      <c r="C258" s="616" t="s">
        <v>3449</v>
      </c>
      <c r="D258" s="616" t="s">
        <v>3453</v>
      </c>
      <c r="E258" s="616"/>
      <c r="F258" s="619"/>
      <c r="G258" s="619"/>
      <c r="H258" s="619"/>
      <c r="I258" s="619"/>
      <c r="J258" s="619"/>
      <c r="K258" s="619"/>
      <c r="L258" s="619"/>
      <c r="M258" s="619"/>
      <c r="N258" s="619">
        <v>1</v>
      </c>
      <c r="O258" s="619">
        <v>1471.63</v>
      </c>
      <c r="P258" s="640"/>
      <c r="Q258" s="620">
        <v>1471.63</v>
      </c>
    </row>
    <row r="259" spans="1:17" ht="14.4" customHeight="1" x14ac:dyDescent="0.3">
      <c r="A259" s="615" t="s">
        <v>471</v>
      </c>
      <c r="B259" s="616" t="s">
        <v>3010</v>
      </c>
      <c r="C259" s="616" t="s">
        <v>3449</v>
      </c>
      <c r="D259" s="616" t="s">
        <v>3454</v>
      </c>
      <c r="E259" s="616"/>
      <c r="F259" s="619">
        <v>5</v>
      </c>
      <c r="G259" s="619">
        <v>9327.9</v>
      </c>
      <c r="H259" s="619">
        <v>1</v>
      </c>
      <c r="I259" s="619">
        <v>1865.58</v>
      </c>
      <c r="J259" s="619">
        <v>6</v>
      </c>
      <c r="K259" s="619">
        <v>11193.48</v>
      </c>
      <c r="L259" s="619">
        <v>1.2</v>
      </c>
      <c r="M259" s="619">
        <v>1865.58</v>
      </c>
      <c r="N259" s="619">
        <v>2</v>
      </c>
      <c r="O259" s="619">
        <v>4013.02</v>
      </c>
      <c r="P259" s="640">
        <v>0.43021687625296157</v>
      </c>
      <c r="Q259" s="620">
        <v>2006.51</v>
      </c>
    </row>
    <row r="260" spans="1:17" ht="14.4" customHeight="1" x14ac:dyDescent="0.3">
      <c r="A260" s="615" t="s">
        <v>471</v>
      </c>
      <c r="B260" s="616" t="s">
        <v>3010</v>
      </c>
      <c r="C260" s="616" t="s">
        <v>3449</v>
      </c>
      <c r="D260" s="616" t="s">
        <v>3455</v>
      </c>
      <c r="E260" s="616"/>
      <c r="F260" s="619">
        <v>1</v>
      </c>
      <c r="G260" s="619">
        <v>8191.63</v>
      </c>
      <c r="H260" s="619">
        <v>1</v>
      </c>
      <c r="I260" s="619">
        <v>8191.63</v>
      </c>
      <c r="J260" s="619"/>
      <c r="K260" s="619"/>
      <c r="L260" s="619"/>
      <c r="M260" s="619"/>
      <c r="N260" s="619"/>
      <c r="O260" s="619"/>
      <c r="P260" s="640"/>
      <c r="Q260" s="620"/>
    </row>
    <row r="261" spans="1:17" ht="14.4" customHeight="1" x14ac:dyDescent="0.3">
      <c r="A261" s="615" t="s">
        <v>471</v>
      </c>
      <c r="B261" s="616" t="s">
        <v>3010</v>
      </c>
      <c r="C261" s="616" t="s">
        <v>3449</v>
      </c>
      <c r="D261" s="616" t="s">
        <v>3456</v>
      </c>
      <c r="E261" s="616"/>
      <c r="F261" s="619">
        <v>4</v>
      </c>
      <c r="G261" s="619">
        <v>32297.439999999999</v>
      </c>
      <c r="H261" s="619">
        <v>1</v>
      </c>
      <c r="I261" s="619">
        <v>8074.36</v>
      </c>
      <c r="J261" s="619">
        <v>24</v>
      </c>
      <c r="K261" s="619">
        <v>193784.63999999998</v>
      </c>
      <c r="L261" s="619">
        <v>6</v>
      </c>
      <c r="M261" s="619">
        <v>8074.36</v>
      </c>
      <c r="N261" s="619">
        <v>30</v>
      </c>
      <c r="O261" s="619">
        <v>248738.22</v>
      </c>
      <c r="P261" s="640">
        <v>7.7014840804720128</v>
      </c>
      <c r="Q261" s="620">
        <v>8291.2739999999994</v>
      </c>
    </row>
    <row r="262" spans="1:17" ht="14.4" customHeight="1" x14ac:dyDescent="0.3">
      <c r="A262" s="615" t="s">
        <v>471</v>
      </c>
      <c r="B262" s="616" t="s">
        <v>3010</v>
      </c>
      <c r="C262" s="616" t="s">
        <v>3449</v>
      </c>
      <c r="D262" s="616" t="s">
        <v>3457</v>
      </c>
      <c r="E262" s="616"/>
      <c r="F262" s="619">
        <v>31</v>
      </c>
      <c r="G262" s="619">
        <v>300269.09999999998</v>
      </c>
      <c r="H262" s="619">
        <v>1</v>
      </c>
      <c r="I262" s="619">
        <v>9686.0999999999985</v>
      </c>
      <c r="J262" s="619">
        <v>31</v>
      </c>
      <c r="K262" s="619">
        <v>300269.09999999998</v>
      </c>
      <c r="L262" s="619">
        <v>1</v>
      </c>
      <c r="M262" s="619">
        <v>9686.0999999999985</v>
      </c>
      <c r="N262" s="619">
        <v>74</v>
      </c>
      <c r="O262" s="619">
        <v>733418.86</v>
      </c>
      <c r="P262" s="640">
        <v>2.4425385762304548</v>
      </c>
      <c r="Q262" s="620">
        <v>9911.0656756756762</v>
      </c>
    </row>
    <row r="263" spans="1:17" ht="14.4" customHeight="1" x14ac:dyDescent="0.3">
      <c r="A263" s="615" t="s">
        <v>471</v>
      </c>
      <c r="B263" s="616" t="s">
        <v>3010</v>
      </c>
      <c r="C263" s="616" t="s">
        <v>3449</v>
      </c>
      <c r="D263" s="616" t="s">
        <v>3458</v>
      </c>
      <c r="E263" s="616"/>
      <c r="F263" s="619">
        <v>276</v>
      </c>
      <c r="G263" s="619">
        <v>255457.32</v>
      </c>
      <c r="H263" s="619">
        <v>1</v>
      </c>
      <c r="I263" s="619">
        <v>925.57</v>
      </c>
      <c r="J263" s="619">
        <v>316</v>
      </c>
      <c r="K263" s="619">
        <v>292480.12</v>
      </c>
      <c r="L263" s="619">
        <v>1.144927536231884</v>
      </c>
      <c r="M263" s="619">
        <v>925.56999999999994</v>
      </c>
      <c r="N263" s="619">
        <v>400</v>
      </c>
      <c r="O263" s="619">
        <v>425160.85000000003</v>
      </c>
      <c r="P263" s="640">
        <v>1.6643126530881951</v>
      </c>
      <c r="Q263" s="620">
        <v>1062.9021250000001</v>
      </c>
    </row>
    <row r="264" spans="1:17" ht="14.4" customHeight="1" x14ac:dyDescent="0.3">
      <c r="A264" s="615" t="s">
        <v>471</v>
      </c>
      <c r="B264" s="616" t="s">
        <v>3010</v>
      </c>
      <c r="C264" s="616" t="s">
        <v>3449</v>
      </c>
      <c r="D264" s="616" t="s">
        <v>3459</v>
      </c>
      <c r="E264" s="616"/>
      <c r="F264" s="619">
        <v>9</v>
      </c>
      <c r="G264" s="619">
        <v>2148.12</v>
      </c>
      <c r="H264" s="619">
        <v>1</v>
      </c>
      <c r="I264" s="619">
        <v>238.67999999999998</v>
      </c>
      <c r="J264" s="619">
        <v>24</v>
      </c>
      <c r="K264" s="619">
        <v>5728.32</v>
      </c>
      <c r="L264" s="619">
        <v>2.6666666666666665</v>
      </c>
      <c r="M264" s="619">
        <v>238.67999999999998</v>
      </c>
      <c r="N264" s="619">
        <v>78</v>
      </c>
      <c r="O264" s="619">
        <v>18858.54</v>
      </c>
      <c r="P264" s="640">
        <v>8.7790905536003585</v>
      </c>
      <c r="Q264" s="620">
        <v>241.77615384615385</v>
      </c>
    </row>
    <row r="265" spans="1:17" ht="14.4" customHeight="1" x14ac:dyDescent="0.3">
      <c r="A265" s="615" t="s">
        <v>471</v>
      </c>
      <c r="B265" s="616" t="s">
        <v>3010</v>
      </c>
      <c r="C265" s="616" t="s">
        <v>3460</v>
      </c>
      <c r="D265" s="616" t="s">
        <v>3461</v>
      </c>
      <c r="E265" s="616" t="s">
        <v>3462</v>
      </c>
      <c r="F265" s="619">
        <v>2</v>
      </c>
      <c r="G265" s="619">
        <v>659.96</v>
      </c>
      <c r="H265" s="619">
        <v>1</v>
      </c>
      <c r="I265" s="619">
        <v>329.98</v>
      </c>
      <c r="J265" s="619">
        <v>5</v>
      </c>
      <c r="K265" s="619">
        <v>1649.9</v>
      </c>
      <c r="L265" s="619">
        <v>2.5</v>
      </c>
      <c r="M265" s="619">
        <v>329.98</v>
      </c>
      <c r="N265" s="619">
        <v>27</v>
      </c>
      <c r="O265" s="619">
        <v>8909.4599999999991</v>
      </c>
      <c r="P265" s="640">
        <v>13.499999999999998</v>
      </c>
      <c r="Q265" s="620">
        <v>329.97999999999996</v>
      </c>
    </row>
    <row r="266" spans="1:17" ht="14.4" customHeight="1" x14ac:dyDescent="0.3">
      <c r="A266" s="615" t="s">
        <v>471</v>
      </c>
      <c r="B266" s="616" t="s">
        <v>3010</v>
      </c>
      <c r="C266" s="616" t="s">
        <v>3460</v>
      </c>
      <c r="D266" s="616" t="s">
        <v>3463</v>
      </c>
      <c r="E266" s="616" t="s">
        <v>3462</v>
      </c>
      <c r="F266" s="619">
        <v>6</v>
      </c>
      <c r="G266" s="619">
        <v>2600.46</v>
      </c>
      <c r="H266" s="619">
        <v>1</v>
      </c>
      <c r="I266" s="619">
        <v>433.41</v>
      </c>
      <c r="J266" s="619"/>
      <c r="K266" s="619"/>
      <c r="L266" s="619"/>
      <c r="M266" s="619"/>
      <c r="N266" s="619">
        <v>13</v>
      </c>
      <c r="O266" s="619">
        <v>5634.33</v>
      </c>
      <c r="P266" s="640">
        <v>2.1666666666666665</v>
      </c>
      <c r="Q266" s="620">
        <v>433.40999999999997</v>
      </c>
    </row>
    <row r="267" spans="1:17" ht="14.4" customHeight="1" x14ac:dyDescent="0.3">
      <c r="A267" s="615" t="s">
        <v>471</v>
      </c>
      <c r="B267" s="616" t="s">
        <v>3010</v>
      </c>
      <c r="C267" s="616" t="s">
        <v>3460</v>
      </c>
      <c r="D267" s="616" t="s">
        <v>3464</v>
      </c>
      <c r="E267" s="616" t="s">
        <v>3465</v>
      </c>
      <c r="F267" s="619"/>
      <c r="G267" s="619"/>
      <c r="H267" s="619"/>
      <c r="I267" s="619"/>
      <c r="J267" s="619"/>
      <c r="K267" s="619"/>
      <c r="L267" s="619"/>
      <c r="M267" s="619"/>
      <c r="N267" s="619">
        <v>3</v>
      </c>
      <c r="O267" s="619">
        <v>4306.08</v>
      </c>
      <c r="P267" s="640"/>
      <c r="Q267" s="620">
        <v>1435.36</v>
      </c>
    </row>
    <row r="268" spans="1:17" ht="14.4" customHeight="1" x14ac:dyDescent="0.3">
      <c r="A268" s="615" t="s">
        <v>471</v>
      </c>
      <c r="B268" s="616" t="s">
        <v>3010</v>
      </c>
      <c r="C268" s="616" t="s">
        <v>3460</v>
      </c>
      <c r="D268" s="616" t="s">
        <v>3466</v>
      </c>
      <c r="E268" s="616" t="s">
        <v>3465</v>
      </c>
      <c r="F268" s="619"/>
      <c r="G268" s="619"/>
      <c r="H268" s="619"/>
      <c r="I268" s="619"/>
      <c r="J268" s="619"/>
      <c r="K268" s="619"/>
      <c r="L268" s="619"/>
      <c r="M268" s="619"/>
      <c r="N268" s="619">
        <v>1</v>
      </c>
      <c r="O268" s="619">
        <v>1697.77</v>
      </c>
      <c r="P268" s="640"/>
      <c r="Q268" s="620">
        <v>1697.77</v>
      </c>
    </row>
    <row r="269" spans="1:17" ht="14.4" customHeight="1" x14ac:dyDescent="0.3">
      <c r="A269" s="615" t="s">
        <v>471</v>
      </c>
      <c r="B269" s="616" t="s">
        <v>3010</v>
      </c>
      <c r="C269" s="616" t="s">
        <v>3460</v>
      </c>
      <c r="D269" s="616" t="s">
        <v>3467</v>
      </c>
      <c r="E269" s="616" t="s">
        <v>3468</v>
      </c>
      <c r="F269" s="619"/>
      <c r="G269" s="619"/>
      <c r="H269" s="619"/>
      <c r="I269" s="619"/>
      <c r="J269" s="619"/>
      <c r="K269" s="619"/>
      <c r="L269" s="619"/>
      <c r="M269" s="619"/>
      <c r="N269" s="619">
        <v>0.1</v>
      </c>
      <c r="O269" s="619">
        <v>18.34</v>
      </c>
      <c r="P269" s="640"/>
      <c r="Q269" s="620">
        <v>183.39999999999998</v>
      </c>
    </row>
    <row r="270" spans="1:17" ht="14.4" customHeight="1" x14ac:dyDescent="0.3">
      <c r="A270" s="615" t="s">
        <v>471</v>
      </c>
      <c r="B270" s="616" t="s">
        <v>3010</v>
      </c>
      <c r="C270" s="616" t="s">
        <v>3460</v>
      </c>
      <c r="D270" s="616" t="s">
        <v>3469</v>
      </c>
      <c r="E270" s="616" t="s">
        <v>3470</v>
      </c>
      <c r="F270" s="619"/>
      <c r="G270" s="619"/>
      <c r="H270" s="619"/>
      <c r="I270" s="619"/>
      <c r="J270" s="619"/>
      <c r="K270" s="619"/>
      <c r="L270" s="619"/>
      <c r="M270" s="619"/>
      <c r="N270" s="619">
        <v>12</v>
      </c>
      <c r="O270" s="619">
        <v>1044.5999999999999</v>
      </c>
      <c r="P270" s="640"/>
      <c r="Q270" s="620">
        <v>87.05</v>
      </c>
    </row>
    <row r="271" spans="1:17" ht="14.4" customHeight="1" x14ac:dyDescent="0.3">
      <c r="A271" s="615" t="s">
        <v>471</v>
      </c>
      <c r="B271" s="616" t="s">
        <v>3010</v>
      </c>
      <c r="C271" s="616" t="s">
        <v>3460</v>
      </c>
      <c r="D271" s="616" t="s">
        <v>3471</v>
      </c>
      <c r="E271" s="616" t="s">
        <v>3470</v>
      </c>
      <c r="F271" s="619"/>
      <c r="G271" s="619"/>
      <c r="H271" s="619"/>
      <c r="I271" s="619"/>
      <c r="J271" s="619"/>
      <c r="K271" s="619"/>
      <c r="L271" s="619"/>
      <c r="M271" s="619"/>
      <c r="N271" s="619">
        <v>6</v>
      </c>
      <c r="O271" s="619">
        <v>774.18</v>
      </c>
      <c r="P271" s="640"/>
      <c r="Q271" s="620">
        <v>129.03</v>
      </c>
    </row>
    <row r="272" spans="1:17" ht="14.4" customHeight="1" x14ac:dyDescent="0.3">
      <c r="A272" s="615" t="s">
        <v>471</v>
      </c>
      <c r="B272" s="616" t="s">
        <v>3010</v>
      </c>
      <c r="C272" s="616" t="s">
        <v>3460</v>
      </c>
      <c r="D272" s="616" t="s">
        <v>3472</v>
      </c>
      <c r="E272" s="616"/>
      <c r="F272" s="619">
        <v>0.3</v>
      </c>
      <c r="G272" s="619">
        <v>288.82</v>
      </c>
      <c r="H272" s="619">
        <v>1</v>
      </c>
      <c r="I272" s="619">
        <v>962.73333333333335</v>
      </c>
      <c r="J272" s="619">
        <v>0.8</v>
      </c>
      <c r="K272" s="619">
        <v>770.22</v>
      </c>
      <c r="L272" s="619">
        <v>2.6667820788034073</v>
      </c>
      <c r="M272" s="619">
        <v>962.77499999999998</v>
      </c>
      <c r="N272" s="619"/>
      <c r="O272" s="619"/>
      <c r="P272" s="640"/>
      <c r="Q272" s="620"/>
    </row>
    <row r="273" spans="1:17" ht="14.4" customHeight="1" x14ac:dyDescent="0.3">
      <c r="A273" s="615" t="s">
        <v>471</v>
      </c>
      <c r="B273" s="616" t="s">
        <v>3010</v>
      </c>
      <c r="C273" s="616" t="s">
        <v>3460</v>
      </c>
      <c r="D273" s="616" t="s">
        <v>3473</v>
      </c>
      <c r="E273" s="616" t="s">
        <v>3474</v>
      </c>
      <c r="F273" s="619">
        <v>0.4</v>
      </c>
      <c r="G273" s="619">
        <v>45.84</v>
      </c>
      <c r="H273" s="619">
        <v>1</v>
      </c>
      <c r="I273" s="619">
        <v>114.60000000000001</v>
      </c>
      <c r="J273" s="619"/>
      <c r="K273" s="619"/>
      <c r="L273" s="619"/>
      <c r="M273" s="619"/>
      <c r="N273" s="619"/>
      <c r="O273" s="619"/>
      <c r="P273" s="640"/>
      <c r="Q273" s="620"/>
    </row>
    <row r="274" spans="1:17" ht="14.4" customHeight="1" x14ac:dyDescent="0.3">
      <c r="A274" s="615" t="s">
        <v>471</v>
      </c>
      <c r="B274" s="616" t="s">
        <v>3010</v>
      </c>
      <c r="C274" s="616" t="s">
        <v>3460</v>
      </c>
      <c r="D274" s="616" t="s">
        <v>3475</v>
      </c>
      <c r="E274" s="616" t="s">
        <v>3474</v>
      </c>
      <c r="F274" s="619">
        <v>2.1</v>
      </c>
      <c r="G274" s="619">
        <v>1322.12</v>
      </c>
      <c r="H274" s="619">
        <v>1</v>
      </c>
      <c r="I274" s="619">
        <v>629.58095238095234</v>
      </c>
      <c r="J274" s="619">
        <v>1.1000000000000001</v>
      </c>
      <c r="K274" s="619">
        <v>692.54</v>
      </c>
      <c r="L274" s="619">
        <v>0.52381024415332955</v>
      </c>
      <c r="M274" s="619">
        <v>629.58181818181811</v>
      </c>
      <c r="N274" s="619">
        <v>6.5</v>
      </c>
      <c r="O274" s="619">
        <v>4092.3100000000004</v>
      </c>
      <c r="P274" s="640">
        <v>3.0952636674431977</v>
      </c>
      <c r="Q274" s="620">
        <v>629.58615384615393</v>
      </c>
    </row>
    <row r="275" spans="1:17" ht="14.4" customHeight="1" x14ac:dyDescent="0.3">
      <c r="A275" s="615" t="s">
        <v>471</v>
      </c>
      <c r="B275" s="616" t="s">
        <v>3010</v>
      </c>
      <c r="C275" s="616" t="s">
        <v>3460</v>
      </c>
      <c r="D275" s="616" t="s">
        <v>3476</v>
      </c>
      <c r="E275" s="616" t="s">
        <v>3477</v>
      </c>
      <c r="F275" s="619"/>
      <c r="G275" s="619"/>
      <c r="H275" s="619"/>
      <c r="I275" s="619"/>
      <c r="J275" s="619"/>
      <c r="K275" s="619"/>
      <c r="L275" s="619"/>
      <c r="M275" s="619"/>
      <c r="N275" s="619">
        <v>1</v>
      </c>
      <c r="O275" s="619">
        <v>2111.8000000000002</v>
      </c>
      <c r="P275" s="640"/>
      <c r="Q275" s="620">
        <v>2111.8000000000002</v>
      </c>
    </row>
    <row r="276" spans="1:17" ht="14.4" customHeight="1" x14ac:dyDescent="0.3">
      <c r="A276" s="615" t="s">
        <v>471</v>
      </c>
      <c r="B276" s="616" t="s">
        <v>3010</v>
      </c>
      <c r="C276" s="616" t="s">
        <v>3460</v>
      </c>
      <c r="D276" s="616" t="s">
        <v>3478</v>
      </c>
      <c r="E276" s="616" t="s">
        <v>3479</v>
      </c>
      <c r="F276" s="619"/>
      <c r="G276" s="619"/>
      <c r="H276" s="619"/>
      <c r="I276" s="619"/>
      <c r="J276" s="619"/>
      <c r="K276" s="619"/>
      <c r="L276" s="619"/>
      <c r="M276" s="619"/>
      <c r="N276" s="619">
        <v>1</v>
      </c>
      <c r="O276" s="619">
        <v>1034.29</v>
      </c>
      <c r="P276" s="640"/>
      <c r="Q276" s="620">
        <v>1034.29</v>
      </c>
    </row>
    <row r="277" spans="1:17" ht="14.4" customHeight="1" x14ac:dyDescent="0.3">
      <c r="A277" s="615" t="s">
        <v>471</v>
      </c>
      <c r="B277" s="616" t="s">
        <v>3010</v>
      </c>
      <c r="C277" s="616" t="s">
        <v>3460</v>
      </c>
      <c r="D277" s="616" t="s">
        <v>3480</v>
      </c>
      <c r="E277" s="616" t="s">
        <v>3479</v>
      </c>
      <c r="F277" s="619"/>
      <c r="G277" s="619"/>
      <c r="H277" s="619"/>
      <c r="I277" s="619"/>
      <c r="J277" s="619"/>
      <c r="K277" s="619"/>
      <c r="L277" s="619"/>
      <c r="M277" s="619"/>
      <c r="N277" s="619">
        <v>1</v>
      </c>
      <c r="O277" s="619">
        <v>1099.58</v>
      </c>
      <c r="P277" s="640"/>
      <c r="Q277" s="620">
        <v>1099.58</v>
      </c>
    </row>
    <row r="278" spans="1:17" ht="14.4" customHeight="1" x14ac:dyDescent="0.3">
      <c r="A278" s="615" t="s">
        <v>471</v>
      </c>
      <c r="B278" s="616" t="s">
        <v>3010</v>
      </c>
      <c r="C278" s="616" t="s">
        <v>3460</v>
      </c>
      <c r="D278" s="616" t="s">
        <v>3481</v>
      </c>
      <c r="E278" s="616" t="s">
        <v>3479</v>
      </c>
      <c r="F278" s="619"/>
      <c r="G278" s="619"/>
      <c r="H278" s="619"/>
      <c r="I278" s="619"/>
      <c r="J278" s="619"/>
      <c r="K278" s="619"/>
      <c r="L278" s="619"/>
      <c r="M278" s="619"/>
      <c r="N278" s="619">
        <v>8</v>
      </c>
      <c r="O278" s="619">
        <v>9443.36</v>
      </c>
      <c r="P278" s="640"/>
      <c r="Q278" s="620">
        <v>1180.42</v>
      </c>
    </row>
    <row r="279" spans="1:17" ht="14.4" customHeight="1" x14ac:dyDescent="0.3">
      <c r="A279" s="615" t="s">
        <v>471</v>
      </c>
      <c r="B279" s="616" t="s">
        <v>3010</v>
      </c>
      <c r="C279" s="616" t="s">
        <v>3460</v>
      </c>
      <c r="D279" s="616" t="s">
        <v>3482</v>
      </c>
      <c r="E279" s="616" t="s">
        <v>3479</v>
      </c>
      <c r="F279" s="619"/>
      <c r="G279" s="619"/>
      <c r="H279" s="619"/>
      <c r="I279" s="619"/>
      <c r="J279" s="619"/>
      <c r="K279" s="619"/>
      <c r="L279" s="619"/>
      <c r="M279" s="619"/>
      <c r="N279" s="619">
        <v>3</v>
      </c>
      <c r="O279" s="619">
        <v>4128.87</v>
      </c>
      <c r="P279" s="640"/>
      <c r="Q279" s="620">
        <v>1376.29</v>
      </c>
    </row>
    <row r="280" spans="1:17" ht="14.4" customHeight="1" x14ac:dyDescent="0.3">
      <c r="A280" s="615" t="s">
        <v>471</v>
      </c>
      <c r="B280" s="616" t="s">
        <v>3010</v>
      </c>
      <c r="C280" s="616" t="s">
        <v>3460</v>
      </c>
      <c r="D280" s="616" t="s">
        <v>3483</v>
      </c>
      <c r="E280" s="616" t="s">
        <v>3484</v>
      </c>
      <c r="F280" s="619"/>
      <c r="G280" s="619"/>
      <c r="H280" s="619"/>
      <c r="I280" s="619"/>
      <c r="J280" s="619">
        <v>4</v>
      </c>
      <c r="K280" s="619">
        <v>2748</v>
      </c>
      <c r="L280" s="619"/>
      <c r="M280" s="619">
        <v>687</v>
      </c>
      <c r="N280" s="619"/>
      <c r="O280" s="619"/>
      <c r="P280" s="640"/>
      <c r="Q280" s="620"/>
    </row>
    <row r="281" spans="1:17" ht="14.4" customHeight="1" x14ac:dyDescent="0.3">
      <c r="A281" s="615" t="s">
        <v>471</v>
      </c>
      <c r="B281" s="616" t="s">
        <v>3010</v>
      </c>
      <c r="C281" s="616" t="s">
        <v>3460</v>
      </c>
      <c r="D281" s="616" t="s">
        <v>3485</v>
      </c>
      <c r="E281" s="616" t="s">
        <v>3486</v>
      </c>
      <c r="F281" s="619">
        <v>6</v>
      </c>
      <c r="G281" s="619">
        <v>15387</v>
      </c>
      <c r="H281" s="619">
        <v>1</v>
      </c>
      <c r="I281" s="619">
        <v>2564.5</v>
      </c>
      <c r="J281" s="619"/>
      <c r="K281" s="619"/>
      <c r="L281" s="619"/>
      <c r="M281" s="619"/>
      <c r="N281" s="619"/>
      <c r="O281" s="619"/>
      <c r="P281" s="640"/>
      <c r="Q281" s="620"/>
    </row>
    <row r="282" spans="1:17" ht="14.4" customHeight="1" x14ac:dyDescent="0.3">
      <c r="A282" s="615" t="s">
        <v>471</v>
      </c>
      <c r="B282" s="616" t="s">
        <v>3010</v>
      </c>
      <c r="C282" s="616" t="s">
        <v>3460</v>
      </c>
      <c r="D282" s="616" t="s">
        <v>3487</v>
      </c>
      <c r="E282" s="616" t="s">
        <v>3488</v>
      </c>
      <c r="F282" s="619">
        <v>2</v>
      </c>
      <c r="G282" s="619">
        <v>3887.8</v>
      </c>
      <c r="H282" s="619">
        <v>1</v>
      </c>
      <c r="I282" s="619">
        <v>1943.9</v>
      </c>
      <c r="J282" s="619"/>
      <c r="K282" s="619"/>
      <c r="L282" s="619"/>
      <c r="M282" s="619"/>
      <c r="N282" s="619"/>
      <c r="O282" s="619"/>
      <c r="P282" s="640"/>
      <c r="Q282" s="620"/>
    </row>
    <row r="283" spans="1:17" ht="14.4" customHeight="1" x14ac:dyDescent="0.3">
      <c r="A283" s="615" t="s">
        <v>471</v>
      </c>
      <c r="B283" s="616" t="s">
        <v>3010</v>
      </c>
      <c r="C283" s="616" t="s">
        <v>3460</v>
      </c>
      <c r="D283" s="616" t="s">
        <v>3489</v>
      </c>
      <c r="E283" s="616" t="s">
        <v>3490</v>
      </c>
      <c r="F283" s="619">
        <v>2</v>
      </c>
      <c r="G283" s="619">
        <v>3887.8</v>
      </c>
      <c r="H283" s="619">
        <v>1</v>
      </c>
      <c r="I283" s="619">
        <v>1943.9</v>
      </c>
      <c r="J283" s="619"/>
      <c r="K283" s="619"/>
      <c r="L283" s="619"/>
      <c r="M283" s="619"/>
      <c r="N283" s="619"/>
      <c r="O283" s="619"/>
      <c r="P283" s="640"/>
      <c r="Q283" s="620"/>
    </row>
    <row r="284" spans="1:17" ht="14.4" customHeight="1" x14ac:dyDescent="0.3">
      <c r="A284" s="615" t="s">
        <v>471</v>
      </c>
      <c r="B284" s="616" t="s">
        <v>3010</v>
      </c>
      <c r="C284" s="616" t="s">
        <v>3460</v>
      </c>
      <c r="D284" s="616" t="s">
        <v>3491</v>
      </c>
      <c r="E284" s="616" t="s">
        <v>3492</v>
      </c>
      <c r="F284" s="619"/>
      <c r="G284" s="619"/>
      <c r="H284" s="619"/>
      <c r="I284" s="619"/>
      <c r="J284" s="619"/>
      <c r="K284" s="619"/>
      <c r="L284" s="619"/>
      <c r="M284" s="619"/>
      <c r="N284" s="619">
        <v>7</v>
      </c>
      <c r="O284" s="619">
        <v>3496.71</v>
      </c>
      <c r="P284" s="640"/>
      <c r="Q284" s="620">
        <v>499.53000000000003</v>
      </c>
    </row>
    <row r="285" spans="1:17" ht="14.4" customHeight="1" x14ac:dyDescent="0.3">
      <c r="A285" s="615" t="s">
        <v>471</v>
      </c>
      <c r="B285" s="616" t="s">
        <v>3010</v>
      </c>
      <c r="C285" s="616" t="s">
        <v>3460</v>
      </c>
      <c r="D285" s="616" t="s">
        <v>3493</v>
      </c>
      <c r="E285" s="616" t="s">
        <v>3492</v>
      </c>
      <c r="F285" s="619"/>
      <c r="G285" s="619"/>
      <c r="H285" s="619"/>
      <c r="I285" s="619"/>
      <c r="J285" s="619"/>
      <c r="K285" s="619"/>
      <c r="L285" s="619"/>
      <c r="M285" s="619"/>
      <c r="N285" s="619">
        <v>1</v>
      </c>
      <c r="O285" s="619">
        <v>426.98</v>
      </c>
      <c r="P285" s="640"/>
      <c r="Q285" s="620">
        <v>426.98</v>
      </c>
    </row>
    <row r="286" spans="1:17" ht="14.4" customHeight="1" x14ac:dyDescent="0.3">
      <c r="A286" s="615" t="s">
        <v>471</v>
      </c>
      <c r="B286" s="616" t="s">
        <v>3010</v>
      </c>
      <c r="C286" s="616" t="s">
        <v>3460</v>
      </c>
      <c r="D286" s="616" t="s">
        <v>3494</v>
      </c>
      <c r="E286" s="616" t="s">
        <v>3495</v>
      </c>
      <c r="F286" s="619"/>
      <c r="G286" s="619"/>
      <c r="H286" s="619"/>
      <c r="I286" s="619"/>
      <c r="J286" s="619"/>
      <c r="K286" s="619"/>
      <c r="L286" s="619"/>
      <c r="M286" s="619"/>
      <c r="N286" s="619">
        <v>2</v>
      </c>
      <c r="O286" s="619">
        <v>19315.740000000002</v>
      </c>
      <c r="P286" s="640"/>
      <c r="Q286" s="620">
        <v>9657.8700000000008</v>
      </c>
    </row>
    <row r="287" spans="1:17" ht="14.4" customHeight="1" x14ac:dyDescent="0.3">
      <c r="A287" s="615" t="s">
        <v>471</v>
      </c>
      <c r="B287" s="616" t="s">
        <v>3010</v>
      </c>
      <c r="C287" s="616" t="s">
        <v>3460</v>
      </c>
      <c r="D287" s="616" t="s">
        <v>3496</v>
      </c>
      <c r="E287" s="616" t="s">
        <v>3470</v>
      </c>
      <c r="F287" s="619">
        <v>6</v>
      </c>
      <c r="G287" s="619">
        <v>414.12</v>
      </c>
      <c r="H287" s="619">
        <v>1</v>
      </c>
      <c r="I287" s="619">
        <v>69.02</v>
      </c>
      <c r="J287" s="619"/>
      <c r="K287" s="619"/>
      <c r="L287" s="619"/>
      <c r="M287" s="619"/>
      <c r="N287" s="619">
        <v>5</v>
      </c>
      <c r="O287" s="619">
        <v>345.1</v>
      </c>
      <c r="P287" s="640">
        <v>0.83333333333333337</v>
      </c>
      <c r="Q287" s="620">
        <v>69.02000000000001</v>
      </c>
    </row>
    <row r="288" spans="1:17" ht="14.4" customHeight="1" x14ac:dyDescent="0.3">
      <c r="A288" s="615" t="s">
        <v>471</v>
      </c>
      <c r="B288" s="616" t="s">
        <v>3010</v>
      </c>
      <c r="C288" s="616" t="s">
        <v>3460</v>
      </c>
      <c r="D288" s="616" t="s">
        <v>3497</v>
      </c>
      <c r="E288" s="616" t="s">
        <v>3470</v>
      </c>
      <c r="F288" s="619"/>
      <c r="G288" s="619"/>
      <c r="H288" s="619"/>
      <c r="I288" s="619"/>
      <c r="J288" s="619"/>
      <c r="K288" s="619"/>
      <c r="L288" s="619"/>
      <c r="M288" s="619"/>
      <c r="N288" s="619">
        <v>1</v>
      </c>
      <c r="O288" s="619">
        <v>84.98</v>
      </c>
      <c r="P288" s="640"/>
      <c r="Q288" s="620">
        <v>84.98</v>
      </c>
    </row>
    <row r="289" spans="1:17" ht="14.4" customHeight="1" x14ac:dyDescent="0.3">
      <c r="A289" s="615" t="s">
        <v>471</v>
      </c>
      <c r="B289" s="616" t="s">
        <v>3010</v>
      </c>
      <c r="C289" s="616" t="s">
        <v>3460</v>
      </c>
      <c r="D289" s="616" t="s">
        <v>3498</v>
      </c>
      <c r="E289" s="616" t="s">
        <v>3499</v>
      </c>
      <c r="F289" s="619"/>
      <c r="G289" s="619"/>
      <c r="H289" s="619"/>
      <c r="I289" s="619"/>
      <c r="J289" s="619">
        <v>24</v>
      </c>
      <c r="K289" s="619">
        <v>5760</v>
      </c>
      <c r="L289" s="619"/>
      <c r="M289" s="619">
        <v>240</v>
      </c>
      <c r="N289" s="619"/>
      <c r="O289" s="619"/>
      <c r="P289" s="640"/>
      <c r="Q289" s="620"/>
    </row>
    <row r="290" spans="1:17" ht="14.4" customHeight="1" x14ac:dyDescent="0.3">
      <c r="A290" s="615" t="s">
        <v>471</v>
      </c>
      <c r="B290" s="616" t="s">
        <v>3010</v>
      </c>
      <c r="C290" s="616" t="s">
        <v>3460</v>
      </c>
      <c r="D290" s="616" t="s">
        <v>3500</v>
      </c>
      <c r="E290" s="616" t="s">
        <v>3499</v>
      </c>
      <c r="F290" s="619"/>
      <c r="G290" s="619"/>
      <c r="H290" s="619"/>
      <c r="I290" s="619"/>
      <c r="J290" s="619">
        <v>1.31</v>
      </c>
      <c r="K290" s="619">
        <v>1592.96</v>
      </c>
      <c r="L290" s="619"/>
      <c r="M290" s="619">
        <v>1216</v>
      </c>
      <c r="N290" s="619"/>
      <c r="O290" s="619"/>
      <c r="P290" s="640"/>
      <c r="Q290" s="620"/>
    </row>
    <row r="291" spans="1:17" ht="14.4" customHeight="1" x14ac:dyDescent="0.3">
      <c r="A291" s="615" t="s">
        <v>471</v>
      </c>
      <c r="B291" s="616" t="s">
        <v>3010</v>
      </c>
      <c r="C291" s="616" t="s">
        <v>3460</v>
      </c>
      <c r="D291" s="616" t="s">
        <v>3501</v>
      </c>
      <c r="E291" s="616" t="s">
        <v>3502</v>
      </c>
      <c r="F291" s="619"/>
      <c r="G291" s="619"/>
      <c r="H291" s="619"/>
      <c r="I291" s="619"/>
      <c r="J291" s="619"/>
      <c r="K291" s="619"/>
      <c r="L291" s="619"/>
      <c r="M291" s="619"/>
      <c r="N291" s="619">
        <v>1</v>
      </c>
      <c r="O291" s="619">
        <v>14345.35</v>
      </c>
      <c r="P291" s="640"/>
      <c r="Q291" s="620">
        <v>14345.35</v>
      </c>
    </row>
    <row r="292" spans="1:17" ht="14.4" customHeight="1" x14ac:dyDescent="0.3">
      <c r="A292" s="615" t="s">
        <v>471</v>
      </c>
      <c r="B292" s="616" t="s">
        <v>3010</v>
      </c>
      <c r="C292" s="616" t="s">
        <v>3460</v>
      </c>
      <c r="D292" s="616" t="s">
        <v>3503</v>
      </c>
      <c r="E292" s="616" t="s">
        <v>3504</v>
      </c>
      <c r="F292" s="619">
        <v>1</v>
      </c>
      <c r="G292" s="619">
        <v>5440.91</v>
      </c>
      <c r="H292" s="619">
        <v>1</v>
      </c>
      <c r="I292" s="619">
        <v>5440.91</v>
      </c>
      <c r="J292" s="619"/>
      <c r="K292" s="619"/>
      <c r="L292" s="619"/>
      <c r="M292" s="619"/>
      <c r="N292" s="619">
        <v>2</v>
      </c>
      <c r="O292" s="619">
        <v>10881.82</v>
      </c>
      <c r="P292" s="640">
        <v>2</v>
      </c>
      <c r="Q292" s="620">
        <v>5440.91</v>
      </c>
    </row>
    <row r="293" spans="1:17" ht="14.4" customHeight="1" x14ac:dyDescent="0.3">
      <c r="A293" s="615" t="s">
        <v>471</v>
      </c>
      <c r="B293" s="616" t="s">
        <v>3010</v>
      </c>
      <c r="C293" s="616" t="s">
        <v>3460</v>
      </c>
      <c r="D293" s="616" t="s">
        <v>3505</v>
      </c>
      <c r="E293" s="616" t="s">
        <v>3506</v>
      </c>
      <c r="F293" s="619"/>
      <c r="G293" s="619"/>
      <c r="H293" s="619"/>
      <c r="I293" s="619"/>
      <c r="J293" s="619"/>
      <c r="K293" s="619"/>
      <c r="L293" s="619"/>
      <c r="M293" s="619"/>
      <c r="N293" s="619">
        <v>1</v>
      </c>
      <c r="O293" s="619">
        <v>6847</v>
      </c>
      <c r="P293" s="640"/>
      <c r="Q293" s="620">
        <v>6847</v>
      </c>
    </row>
    <row r="294" spans="1:17" ht="14.4" customHeight="1" x14ac:dyDescent="0.3">
      <c r="A294" s="615" t="s">
        <v>471</v>
      </c>
      <c r="B294" s="616" t="s">
        <v>3010</v>
      </c>
      <c r="C294" s="616" t="s">
        <v>3460</v>
      </c>
      <c r="D294" s="616" t="s">
        <v>3507</v>
      </c>
      <c r="E294" s="616" t="s">
        <v>3508</v>
      </c>
      <c r="F294" s="619">
        <v>3</v>
      </c>
      <c r="G294" s="619">
        <v>20498.25</v>
      </c>
      <c r="H294" s="619">
        <v>1</v>
      </c>
      <c r="I294" s="619">
        <v>6832.75</v>
      </c>
      <c r="J294" s="619">
        <v>1</v>
      </c>
      <c r="K294" s="619">
        <v>6832.75</v>
      </c>
      <c r="L294" s="619">
        <v>0.33333333333333331</v>
      </c>
      <c r="M294" s="619">
        <v>6832.75</v>
      </c>
      <c r="N294" s="619">
        <v>2</v>
      </c>
      <c r="O294" s="619">
        <v>13665.5</v>
      </c>
      <c r="P294" s="640">
        <v>0.66666666666666663</v>
      </c>
      <c r="Q294" s="620">
        <v>6832.75</v>
      </c>
    </row>
    <row r="295" spans="1:17" ht="14.4" customHeight="1" x14ac:dyDescent="0.3">
      <c r="A295" s="615" t="s">
        <v>471</v>
      </c>
      <c r="B295" s="616" t="s">
        <v>3010</v>
      </c>
      <c r="C295" s="616" t="s">
        <v>3460</v>
      </c>
      <c r="D295" s="616" t="s">
        <v>3509</v>
      </c>
      <c r="E295" s="616" t="s">
        <v>3510</v>
      </c>
      <c r="F295" s="619">
        <v>1</v>
      </c>
      <c r="G295" s="619">
        <v>5083.3599999999997</v>
      </c>
      <c r="H295" s="619">
        <v>1</v>
      </c>
      <c r="I295" s="619">
        <v>5083.3599999999997</v>
      </c>
      <c r="J295" s="619">
        <v>1</v>
      </c>
      <c r="K295" s="619">
        <v>5083.3599999999997</v>
      </c>
      <c r="L295" s="619">
        <v>1</v>
      </c>
      <c r="M295" s="619">
        <v>5083.3599999999997</v>
      </c>
      <c r="N295" s="619">
        <v>2</v>
      </c>
      <c r="O295" s="619">
        <v>10166.719999999999</v>
      </c>
      <c r="P295" s="640">
        <v>2</v>
      </c>
      <c r="Q295" s="620">
        <v>5083.3599999999997</v>
      </c>
    </row>
    <row r="296" spans="1:17" ht="14.4" customHeight="1" x14ac:dyDescent="0.3">
      <c r="A296" s="615" t="s">
        <v>471</v>
      </c>
      <c r="B296" s="616" t="s">
        <v>3010</v>
      </c>
      <c r="C296" s="616" t="s">
        <v>3460</v>
      </c>
      <c r="D296" s="616" t="s">
        <v>3511</v>
      </c>
      <c r="E296" s="616" t="s">
        <v>3512</v>
      </c>
      <c r="F296" s="619">
        <v>3</v>
      </c>
      <c r="G296" s="619">
        <v>19711.650000000001</v>
      </c>
      <c r="H296" s="619">
        <v>1</v>
      </c>
      <c r="I296" s="619">
        <v>6570.55</v>
      </c>
      <c r="J296" s="619">
        <v>3</v>
      </c>
      <c r="K296" s="619">
        <v>19711.650000000001</v>
      </c>
      <c r="L296" s="619">
        <v>1</v>
      </c>
      <c r="M296" s="619">
        <v>6570.55</v>
      </c>
      <c r="N296" s="619">
        <v>3</v>
      </c>
      <c r="O296" s="619">
        <v>19711.650000000001</v>
      </c>
      <c r="P296" s="640">
        <v>1</v>
      </c>
      <c r="Q296" s="620">
        <v>6570.55</v>
      </c>
    </row>
    <row r="297" spans="1:17" ht="14.4" customHeight="1" x14ac:dyDescent="0.3">
      <c r="A297" s="615" t="s">
        <v>471</v>
      </c>
      <c r="B297" s="616" t="s">
        <v>3010</v>
      </c>
      <c r="C297" s="616" t="s">
        <v>3460</v>
      </c>
      <c r="D297" s="616" t="s">
        <v>3513</v>
      </c>
      <c r="E297" s="616" t="s">
        <v>3514</v>
      </c>
      <c r="F297" s="619"/>
      <c r="G297" s="619"/>
      <c r="H297" s="619"/>
      <c r="I297" s="619"/>
      <c r="J297" s="619">
        <v>1</v>
      </c>
      <c r="K297" s="619">
        <v>713.02</v>
      </c>
      <c r="L297" s="619"/>
      <c r="M297" s="619">
        <v>713.02</v>
      </c>
      <c r="N297" s="619"/>
      <c r="O297" s="619"/>
      <c r="P297" s="640"/>
      <c r="Q297" s="620"/>
    </row>
    <row r="298" spans="1:17" ht="14.4" customHeight="1" x14ac:dyDescent="0.3">
      <c r="A298" s="615" t="s">
        <v>471</v>
      </c>
      <c r="B298" s="616" t="s">
        <v>3010</v>
      </c>
      <c r="C298" s="616" t="s">
        <v>3460</v>
      </c>
      <c r="D298" s="616" t="s">
        <v>3515</v>
      </c>
      <c r="E298" s="616" t="s">
        <v>3516</v>
      </c>
      <c r="F298" s="619"/>
      <c r="G298" s="619"/>
      <c r="H298" s="619"/>
      <c r="I298" s="619"/>
      <c r="J298" s="619">
        <v>1</v>
      </c>
      <c r="K298" s="619">
        <v>230.07</v>
      </c>
      <c r="L298" s="619"/>
      <c r="M298" s="619">
        <v>230.07</v>
      </c>
      <c r="N298" s="619"/>
      <c r="O298" s="619"/>
      <c r="P298" s="640"/>
      <c r="Q298" s="620"/>
    </row>
    <row r="299" spans="1:17" ht="14.4" customHeight="1" x14ac:dyDescent="0.3">
      <c r="A299" s="615" t="s">
        <v>471</v>
      </c>
      <c r="B299" s="616" t="s">
        <v>3010</v>
      </c>
      <c r="C299" s="616" t="s">
        <v>3460</v>
      </c>
      <c r="D299" s="616" t="s">
        <v>3517</v>
      </c>
      <c r="E299" s="616" t="s">
        <v>3518</v>
      </c>
      <c r="F299" s="619"/>
      <c r="G299" s="619"/>
      <c r="H299" s="619"/>
      <c r="I299" s="619"/>
      <c r="J299" s="619"/>
      <c r="K299" s="619"/>
      <c r="L299" s="619"/>
      <c r="M299" s="619"/>
      <c r="N299" s="619">
        <v>7</v>
      </c>
      <c r="O299" s="619">
        <v>1523.48</v>
      </c>
      <c r="P299" s="640"/>
      <c r="Q299" s="620">
        <v>217.64000000000001</v>
      </c>
    </row>
    <row r="300" spans="1:17" ht="14.4" customHeight="1" x14ac:dyDescent="0.3">
      <c r="A300" s="615" t="s">
        <v>471</v>
      </c>
      <c r="B300" s="616" t="s">
        <v>3010</v>
      </c>
      <c r="C300" s="616" t="s">
        <v>3460</v>
      </c>
      <c r="D300" s="616" t="s">
        <v>3519</v>
      </c>
      <c r="E300" s="616" t="s">
        <v>3518</v>
      </c>
      <c r="F300" s="619">
        <v>1</v>
      </c>
      <c r="G300" s="619">
        <v>265.31</v>
      </c>
      <c r="H300" s="619">
        <v>1</v>
      </c>
      <c r="I300" s="619">
        <v>265.31</v>
      </c>
      <c r="J300" s="619"/>
      <c r="K300" s="619"/>
      <c r="L300" s="619"/>
      <c r="M300" s="619"/>
      <c r="N300" s="619"/>
      <c r="O300" s="619"/>
      <c r="P300" s="640"/>
      <c r="Q300" s="620"/>
    </row>
    <row r="301" spans="1:17" ht="14.4" customHeight="1" x14ac:dyDescent="0.3">
      <c r="A301" s="615" t="s">
        <v>471</v>
      </c>
      <c r="B301" s="616" t="s">
        <v>3010</v>
      </c>
      <c r="C301" s="616" t="s">
        <v>3460</v>
      </c>
      <c r="D301" s="616" t="s">
        <v>3520</v>
      </c>
      <c r="E301" s="616" t="s">
        <v>3470</v>
      </c>
      <c r="F301" s="619">
        <v>3</v>
      </c>
      <c r="G301" s="619">
        <v>363.75</v>
      </c>
      <c r="H301" s="619">
        <v>1</v>
      </c>
      <c r="I301" s="619">
        <v>121.25</v>
      </c>
      <c r="J301" s="619"/>
      <c r="K301" s="619"/>
      <c r="L301" s="619"/>
      <c r="M301" s="619"/>
      <c r="N301" s="619">
        <v>6</v>
      </c>
      <c r="O301" s="619">
        <v>727.5</v>
      </c>
      <c r="P301" s="640">
        <v>2</v>
      </c>
      <c r="Q301" s="620">
        <v>121.25</v>
      </c>
    </row>
    <row r="302" spans="1:17" ht="14.4" customHeight="1" x14ac:dyDescent="0.3">
      <c r="A302" s="615" t="s">
        <v>471</v>
      </c>
      <c r="B302" s="616" t="s">
        <v>3010</v>
      </c>
      <c r="C302" s="616" t="s">
        <v>3460</v>
      </c>
      <c r="D302" s="616" t="s">
        <v>3521</v>
      </c>
      <c r="E302" s="616" t="s">
        <v>3470</v>
      </c>
      <c r="F302" s="619"/>
      <c r="G302" s="619"/>
      <c r="H302" s="619"/>
      <c r="I302" s="619"/>
      <c r="J302" s="619">
        <v>10</v>
      </c>
      <c r="K302" s="619">
        <v>901.6</v>
      </c>
      <c r="L302" s="619"/>
      <c r="M302" s="619">
        <v>90.16</v>
      </c>
      <c r="N302" s="619"/>
      <c r="O302" s="619"/>
      <c r="P302" s="640"/>
      <c r="Q302" s="620"/>
    </row>
    <row r="303" spans="1:17" ht="14.4" customHeight="1" x14ac:dyDescent="0.3">
      <c r="A303" s="615" t="s">
        <v>471</v>
      </c>
      <c r="B303" s="616" t="s">
        <v>3010</v>
      </c>
      <c r="C303" s="616" t="s">
        <v>3460</v>
      </c>
      <c r="D303" s="616" t="s">
        <v>3522</v>
      </c>
      <c r="E303" s="616" t="s">
        <v>3523</v>
      </c>
      <c r="F303" s="619"/>
      <c r="G303" s="619"/>
      <c r="H303" s="619"/>
      <c r="I303" s="619"/>
      <c r="J303" s="619"/>
      <c r="K303" s="619"/>
      <c r="L303" s="619"/>
      <c r="M303" s="619"/>
      <c r="N303" s="619">
        <v>1</v>
      </c>
      <c r="O303" s="619">
        <v>1831.25</v>
      </c>
      <c r="P303" s="640"/>
      <c r="Q303" s="620">
        <v>1831.25</v>
      </c>
    </row>
    <row r="304" spans="1:17" ht="14.4" customHeight="1" x14ac:dyDescent="0.3">
      <c r="A304" s="615" t="s">
        <v>471</v>
      </c>
      <c r="B304" s="616" t="s">
        <v>3010</v>
      </c>
      <c r="C304" s="616" t="s">
        <v>3460</v>
      </c>
      <c r="D304" s="616" t="s">
        <v>3524</v>
      </c>
      <c r="E304" s="616" t="s">
        <v>3525</v>
      </c>
      <c r="F304" s="619"/>
      <c r="G304" s="619"/>
      <c r="H304" s="619"/>
      <c r="I304" s="619"/>
      <c r="J304" s="619"/>
      <c r="K304" s="619"/>
      <c r="L304" s="619"/>
      <c r="M304" s="619"/>
      <c r="N304" s="619">
        <v>1</v>
      </c>
      <c r="O304" s="619">
        <v>12681.98</v>
      </c>
      <c r="P304" s="640"/>
      <c r="Q304" s="620">
        <v>12681.98</v>
      </c>
    </row>
    <row r="305" spans="1:17" ht="14.4" customHeight="1" x14ac:dyDescent="0.3">
      <c r="A305" s="615" t="s">
        <v>471</v>
      </c>
      <c r="B305" s="616" t="s">
        <v>3010</v>
      </c>
      <c r="C305" s="616" t="s">
        <v>3460</v>
      </c>
      <c r="D305" s="616" t="s">
        <v>3526</v>
      </c>
      <c r="E305" s="616" t="s">
        <v>3527</v>
      </c>
      <c r="F305" s="619"/>
      <c r="G305" s="619"/>
      <c r="H305" s="619"/>
      <c r="I305" s="619"/>
      <c r="J305" s="619"/>
      <c r="K305" s="619"/>
      <c r="L305" s="619"/>
      <c r="M305" s="619"/>
      <c r="N305" s="619">
        <v>3</v>
      </c>
      <c r="O305" s="619">
        <v>7875.33</v>
      </c>
      <c r="P305" s="640"/>
      <c r="Q305" s="620">
        <v>2625.11</v>
      </c>
    </row>
    <row r="306" spans="1:17" ht="14.4" customHeight="1" x14ac:dyDescent="0.3">
      <c r="A306" s="615" t="s">
        <v>471</v>
      </c>
      <c r="B306" s="616" t="s">
        <v>3010</v>
      </c>
      <c r="C306" s="616" t="s">
        <v>3460</v>
      </c>
      <c r="D306" s="616" t="s">
        <v>3528</v>
      </c>
      <c r="E306" s="616" t="s">
        <v>3529</v>
      </c>
      <c r="F306" s="619"/>
      <c r="G306" s="619"/>
      <c r="H306" s="619"/>
      <c r="I306" s="619"/>
      <c r="J306" s="619"/>
      <c r="K306" s="619"/>
      <c r="L306" s="619"/>
      <c r="M306" s="619"/>
      <c r="N306" s="619">
        <v>2</v>
      </c>
      <c r="O306" s="619">
        <v>1448.84</v>
      </c>
      <c r="P306" s="640"/>
      <c r="Q306" s="620">
        <v>724.42</v>
      </c>
    </row>
    <row r="307" spans="1:17" ht="14.4" customHeight="1" x14ac:dyDescent="0.3">
      <c r="A307" s="615" t="s">
        <v>471</v>
      </c>
      <c r="B307" s="616" t="s">
        <v>3010</v>
      </c>
      <c r="C307" s="616" t="s">
        <v>3460</v>
      </c>
      <c r="D307" s="616" t="s">
        <v>3530</v>
      </c>
      <c r="E307" s="616" t="s">
        <v>3531</v>
      </c>
      <c r="F307" s="619"/>
      <c r="G307" s="619"/>
      <c r="H307" s="619"/>
      <c r="I307" s="619"/>
      <c r="J307" s="619"/>
      <c r="K307" s="619"/>
      <c r="L307" s="619"/>
      <c r="M307" s="619"/>
      <c r="N307" s="619">
        <v>1</v>
      </c>
      <c r="O307" s="619">
        <v>239.4</v>
      </c>
      <c r="P307" s="640"/>
      <c r="Q307" s="620">
        <v>239.4</v>
      </c>
    </row>
    <row r="308" spans="1:17" ht="14.4" customHeight="1" x14ac:dyDescent="0.3">
      <c r="A308" s="615" t="s">
        <v>471</v>
      </c>
      <c r="B308" s="616" t="s">
        <v>3010</v>
      </c>
      <c r="C308" s="616" t="s">
        <v>3460</v>
      </c>
      <c r="D308" s="616" t="s">
        <v>3532</v>
      </c>
      <c r="E308" s="616" t="s">
        <v>3533</v>
      </c>
      <c r="F308" s="619"/>
      <c r="G308" s="619"/>
      <c r="H308" s="619"/>
      <c r="I308" s="619"/>
      <c r="J308" s="619">
        <v>2</v>
      </c>
      <c r="K308" s="619">
        <v>2495.56</v>
      </c>
      <c r="L308" s="619"/>
      <c r="M308" s="619">
        <v>1247.78</v>
      </c>
      <c r="N308" s="619">
        <v>3</v>
      </c>
      <c r="O308" s="619">
        <v>3743.34</v>
      </c>
      <c r="P308" s="640"/>
      <c r="Q308" s="620">
        <v>1247.78</v>
      </c>
    </row>
    <row r="309" spans="1:17" ht="14.4" customHeight="1" x14ac:dyDescent="0.3">
      <c r="A309" s="615" t="s">
        <v>471</v>
      </c>
      <c r="B309" s="616" t="s">
        <v>3010</v>
      </c>
      <c r="C309" s="616" t="s">
        <v>3460</v>
      </c>
      <c r="D309" s="616" t="s">
        <v>3534</v>
      </c>
      <c r="E309" s="616" t="s">
        <v>3533</v>
      </c>
      <c r="F309" s="619"/>
      <c r="G309" s="619"/>
      <c r="H309" s="619"/>
      <c r="I309" s="619"/>
      <c r="J309" s="619">
        <v>2</v>
      </c>
      <c r="K309" s="619">
        <v>2843.78</v>
      </c>
      <c r="L309" s="619"/>
      <c r="M309" s="619">
        <v>1421.89</v>
      </c>
      <c r="N309" s="619">
        <v>8</v>
      </c>
      <c r="O309" s="619">
        <v>11375.12</v>
      </c>
      <c r="P309" s="640"/>
      <c r="Q309" s="620">
        <v>1421.89</v>
      </c>
    </row>
    <row r="310" spans="1:17" ht="14.4" customHeight="1" x14ac:dyDescent="0.3">
      <c r="A310" s="615" t="s">
        <v>471</v>
      </c>
      <c r="B310" s="616" t="s">
        <v>3010</v>
      </c>
      <c r="C310" s="616" t="s">
        <v>3460</v>
      </c>
      <c r="D310" s="616" t="s">
        <v>3535</v>
      </c>
      <c r="E310" s="616" t="s">
        <v>3533</v>
      </c>
      <c r="F310" s="619"/>
      <c r="G310" s="619"/>
      <c r="H310" s="619"/>
      <c r="I310" s="619"/>
      <c r="J310" s="619">
        <v>1</v>
      </c>
      <c r="K310" s="619">
        <v>1656.11</v>
      </c>
      <c r="L310" s="619"/>
      <c r="M310" s="619">
        <v>1656.11</v>
      </c>
      <c r="N310" s="619">
        <v>13</v>
      </c>
      <c r="O310" s="619">
        <v>21529.43</v>
      </c>
      <c r="P310" s="640"/>
      <c r="Q310" s="620">
        <v>1656.1100000000001</v>
      </c>
    </row>
    <row r="311" spans="1:17" ht="14.4" customHeight="1" x14ac:dyDescent="0.3">
      <c r="A311" s="615" t="s">
        <v>471</v>
      </c>
      <c r="B311" s="616" t="s">
        <v>3010</v>
      </c>
      <c r="C311" s="616" t="s">
        <v>3460</v>
      </c>
      <c r="D311" s="616" t="s">
        <v>3536</v>
      </c>
      <c r="E311" s="616" t="s">
        <v>3537</v>
      </c>
      <c r="F311" s="619"/>
      <c r="G311" s="619"/>
      <c r="H311" s="619"/>
      <c r="I311" s="619"/>
      <c r="J311" s="619"/>
      <c r="K311" s="619"/>
      <c r="L311" s="619"/>
      <c r="M311" s="619"/>
      <c r="N311" s="619">
        <v>3</v>
      </c>
      <c r="O311" s="619">
        <v>4259.46</v>
      </c>
      <c r="P311" s="640"/>
      <c r="Q311" s="620">
        <v>1419.82</v>
      </c>
    </row>
    <row r="312" spans="1:17" ht="14.4" customHeight="1" x14ac:dyDescent="0.3">
      <c r="A312" s="615" t="s">
        <v>471</v>
      </c>
      <c r="B312" s="616" t="s">
        <v>3010</v>
      </c>
      <c r="C312" s="616" t="s">
        <v>3460</v>
      </c>
      <c r="D312" s="616" t="s">
        <v>3538</v>
      </c>
      <c r="E312" s="616" t="s">
        <v>3537</v>
      </c>
      <c r="F312" s="619"/>
      <c r="G312" s="619"/>
      <c r="H312" s="619"/>
      <c r="I312" s="619"/>
      <c r="J312" s="619"/>
      <c r="K312" s="619"/>
      <c r="L312" s="619"/>
      <c r="M312" s="619"/>
      <c r="N312" s="619">
        <v>1</v>
      </c>
      <c r="O312" s="619">
        <v>1547.29</v>
      </c>
      <c r="P312" s="640"/>
      <c r="Q312" s="620">
        <v>1547.29</v>
      </c>
    </row>
    <row r="313" spans="1:17" ht="14.4" customHeight="1" x14ac:dyDescent="0.3">
      <c r="A313" s="615" t="s">
        <v>471</v>
      </c>
      <c r="B313" s="616" t="s">
        <v>3010</v>
      </c>
      <c r="C313" s="616" t="s">
        <v>3460</v>
      </c>
      <c r="D313" s="616" t="s">
        <v>3539</v>
      </c>
      <c r="E313" s="616" t="s">
        <v>3540</v>
      </c>
      <c r="F313" s="619"/>
      <c r="G313" s="619"/>
      <c r="H313" s="619"/>
      <c r="I313" s="619"/>
      <c r="J313" s="619">
        <v>7</v>
      </c>
      <c r="K313" s="619">
        <v>13203.26</v>
      </c>
      <c r="L313" s="619"/>
      <c r="M313" s="619">
        <v>1886.18</v>
      </c>
      <c r="N313" s="619"/>
      <c r="O313" s="619"/>
      <c r="P313" s="640"/>
      <c r="Q313" s="620"/>
    </row>
    <row r="314" spans="1:17" ht="14.4" customHeight="1" x14ac:dyDescent="0.3">
      <c r="A314" s="615" t="s">
        <v>471</v>
      </c>
      <c r="B314" s="616" t="s">
        <v>3010</v>
      </c>
      <c r="C314" s="616" t="s">
        <v>3460</v>
      </c>
      <c r="D314" s="616" t="s">
        <v>3541</v>
      </c>
      <c r="E314" s="616" t="s">
        <v>3540</v>
      </c>
      <c r="F314" s="619"/>
      <c r="G314" s="619"/>
      <c r="H314" s="619"/>
      <c r="I314" s="619"/>
      <c r="J314" s="619">
        <v>2</v>
      </c>
      <c r="K314" s="619">
        <v>4068.76</v>
      </c>
      <c r="L314" s="619"/>
      <c r="M314" s="619">
        <v>2034.38</v>
      </c>
      <c r="N314" s="619"/>
      <c r="O314" s="619"/>
      <c r="P314" s="640"/>
      <c r="Q314" s="620"/>
    </row>
    <row r="315" spans="1:17" ht="14.4" customHeight="1" x14ac:dyDescent="0.3">
      <c r="A315" s="615" t="s">
        <v>471</v>
      </c>
      <c r="B315" s="616" t="s">
        <v>3010</v>
      </c>
      <c r="C315" s="616" t="s">
        <v>3460</v>
      </c>
      <c r="D315" s="616" t="s">
        <v>3542</v>
      </c>
      <c r="E315" s="616" t="s">
        <v>3540</v>
      </c>
      <c r="F315" s="619"/>
      <c r="G315" s="619"/>
      <c r="H315" s="619"/>
      <c r="I315" s="619"/>
      <c r="J315" s="619">
        <v>2</v>
      </c>
      <c r="K315" s="619">
        <v>4456.3599999999997</v>
      </c>
      <c r="L315" s="619"/>
      <c r="M315" s="619">
        <v>2228.1799999999998</v>
      </c>
      <c r="N315" s="619"/>
      <c r="O315" s="619"/>
      <c r="P315" s="640"/>
      <c r="Q315" s="620"/>
    </row>
    <row r="316" spans="1:17" ht="14.4" customHeight="1" x14ac:dyDescent="0.3">
      <c r="A316" s="615" t="s">
        <v>471</v>
      </c>
      <c r="B316" s="616" t="s">
        <v>3010</v>
      </c>
      <c r="C316" s="616" t="s">
        <v>3460</v>
      </c>
      <c r="D316" s="616" t="s">
        <v>3543</v>
      </c>
      <c r="E316" s="616" t="s">
        <v>3544</v>
      </c>
      <c r="F316" s="619"/>
      <c r="G316" s="619"/>
      <c r="H316" s="619"/>
      <c r="I316" s="619"/>
      <c r="J316" s="619"/>
      <c r="K316" s="619"/>
      <c r="L316" s="619"/>
      <c r="M316" s="619"/>
      <c r="N316" s="619">
        <v>3</v>
      </c>
      <c r="O316" s="619">
        <v>14503.920000000002</v>
      </c>
      <c r="P316" s="640"/>
      <c r="Q316" s="620">
        <v>4834.6400000000003</v>
      </c>
    </row>
    <row r="317" spans="1:17" ht="14.4" customHeight="1" x14ac:dyDescent="0.3">
      <c r="A317" s="615" t="s">
        <v>471</v>
      </c>
      <c r="B317" s="616" t="s">
        <v>3010</v>
      </c>
      <c r="C317" s="616" t="s">
        <v>3460</v>
      </c>
      <c r="D317" s="616" t="s">
        <v>3545</v>
      </c>
      <c r="E317" s="616" t="s">
        <v>3546</v>
      </c>
      <c r="F317" s="619">
        <v>1</v>
      </c>
      <c r="G317" s="619">
        <v>5082.22</v>
      </c>
      <c r="H317" s="619">
        <v>1</v>
      </c>
      <c r="I317" s="619">
        <v>5082.22</v>
      </c>
      <c r="J317" s="619"/>
      <c r="K317" s="619"/>
      <c r="L317" s="619"/>
      <c r="M317" s="619"/>
      <c r="N317" s="619"/>
      <c r="O317" s="619"/>
      <c r="P317" s="640"/>
      <c r="Q317" s="620"/>
    </row>
    <row r="318" spans="1:17" ht="14.4" customHeight="1" x14ac:dyDescent="0.3">
      <c r="A318" s="615" t="s">
        <v>471</v>
      </c>
      <c r="B318" s="616" t="s">
        <v>3010</v>
      </c>
      <c r="C318" s="616" t="s">
        <v>3460</v>
      </c>
      <c r="D318" s="616" t="s">
        <v>3547</v>
      </c>
      <c r="E318" s="616" t="s">
        <v>3548</v>
      </c>
      <c r="F318" s="619">
        <v>4</v>
      </c>
      <c r="G318" s="619">
        <v>3157.16</v>
      </c>
      <c r="H318" s="619">
        <v>1</v>
      </c>
      <c r="I318" s="619">
        <v>789.29</v>
      </c>
      <c r="J318" s="619">
        <v>4</v>
      </c>
      <c r="K318" s="619">
        <v>3157.16</v>
      </c>
      <c r="L318" s="619">
        <v>1</v>
      </c>
      <c r="M318" s="619">
        <v>789.29</v>
      </c>
      <c r="N318" s="619">
        <v>20</v>
      </c>
      <c r="O318" s="619">
        <v>15785.8</v>
      </c>
      <c r="P318" s="640">
        <v>5</v>
      </c>
      <c r="Q318" s="620">
        <v>789.29</v>
      </c>
    </row>
    <row r="319" spans="1:17" ht="14.4" customHeight="1" x14ac:dyDescent="0.3">
      <c r="A319" s="615" t="s">
        <v>471</v>
      </c>
      <c r="B319" s="616" t="s">
        <v>3010</v>
      </c>
      <c r="C319" s="616" t="s">
        <v>3460</v>
      </c>
      <c r="D319" s="616" t="s">
        <v>3549</v>
      </c>
      <c r="E319" s="616" t="s">
        <v>3540</v>
      </c>
      <c r="F319" s="619"/>
      <c r="G319" s="619"/>
      <c r="H319" s="619"/>
      <c r="I319" s="619"/>
      <c r="J319" s="619">
        <v>8</v>
      </c>
      <c r="K319" s="619">
        <v>19831.84</v>
      </c>
      <c r="L319" s="619"/>
      <c r="M319" s="619">
        <v>2478.98</v>
      </c>
      <c r="N319" s="619"/>
      <c r="O319" s="619"/>
      <c r="P319" s="640"/>
      <c r="Q319" s="620"/>
    </row>
    <row r="320" spans="1:17" ht="14.4" customHeight="1" x14ac:dyDescent="0.3">
      <c r="A320" s="615" t="s">
        <v>471</v>
      </c>
      <c r="B320" s="616" t="s">
        <v>3010</v>
      </c>
      <c r="C320" s="616" t="s">
        <v>3460</v>
      </c>
      <c r="D320" s="616" t="s">
        <v>3550</v>
      </c>
      <c r="E320" s="616" t="s">
        <v>3551</v>
      </c>
      <c r="F320" s="619"/>
      <c r="G320" s="619"/>
      <c r="H320" s="619"/>
      <c r="I320" s="619"/>
      <c r="J320" s="619"/>
      <c r="K320" s="619"/>
      <c r="L320" s="619"/>
      <c r="M320" s="619"/>
      <c r="N320" s="619">
        <v>1</v>
      </c>
      <c r="O320" s="619">
        <v>8222.51</v>
      </c>
      <c r="P320" s="640"/>
      <c r="Q320" s="620">
        <v>8222.51</v>
      </c>
    </row>
    <row r="321" spans="1:17" ht="14.4" customHeight="1" x14ac:dyDescent="0.3">
      <c r="A321" s="615" t="s">
        <v>471</v>
      </c>
      <c r="B321" s="616" t="s">
        <v>3010</v>
      </c>
      <c r="C321" s="616" t="s">
        <v>3460</v>
      </c>
      <c r="D321" s="616" t="s">
        <v>3552</v>
      </c>
      <c r="E321" s="616" t="s">
        <v>3553</v>
      </c>
      <c r="F321" s="619"/>
      <c r="G321" s="619"/>
      <c r="H321" s="619"/>
      <c r="I321" s="619"/>
      <c r="J321" s="619"/>
      <c r="K321" s="619"/>
      <c r="L321" s="619"/>
      <c r="M321" s="619"/>
      <c r="N321" s="619">
        <v>1</v>
      </c>
      <c r="O321" s="619">
        <v>13282.04</v>
      </c>
      <c r="P321" s="640"/>
      <c r="Q321" s="620">
        <v>13282.04</v>
      </c>
    </row>
    <row r="322" spans="1:17" ht="14.4" customHeight="1" x14ac:dyDescent="0.3">
      <c r="A322" s="615" t="s">
        <v>471</v>
      </c>
      <c r="B322" s="616" t="s">
        <v>3010</v>
      </c>
      <c r="C322" s="616" t="s">
        <v>3460</v>
      </c>
      <c r="D322" s="616" t="s">
        <v>3554</v>
      </c>
      <c r="E322" s="616" t="s">
        <v>3555</v>
      </c>
      <c r="F322" s="619"/>
      <c r="G322" s="619"/>
      <c r="H322" s="619"/>
      <c r="I322" s="619"/>
      <c r="J322" s="619">
        <v>1</v>
      </c>
      <c r="K322" s="619">
        <v>10628.95</v>
      </c>
      <c r="L322" s="619"/>
      <c r="M322" s="619">
        <v>10628.95</v>
      </c>
      <c r="N322" s="619">
        <v>2</v>
      </c>
      <c r="O322" s="619">
        <v>21257.9</v>
      </c>
      <c r="P322" s="640"/>
      <c r="Q322" s="620">
        <v>10628.95</v>
      </c>
    </row>
    <row r="323" spans="1:17" ht="14.4" customHeight="1" x14ac:dyDescent="0.3">
      <c r="A323" s="615" t="s">
        <v>471</v>
      </c>
      <c r="B323" s="616" t="s">
        <v>3010</v>
      </c>
      <c r="C323" s="616" t="s">
        <v>3460</v>
      </c>
      <c r="D323" s="616" t="s">
        <v>3556</v>
      </c>
      <c r="E323" s="616" t="s">
        <v>3557</v>
      </c>
      <c r="F323" s="619"/>
      <c r="G323" s="619"/>
      <c r="H323" s="619"/>
      <c r="I323" s="619"/>
      <c r="J323" s="619"/>
      <c r="K323" s="619"/>
      <c r="L323" s="619"/>
      <c r="M323" s="619"/>
      <c r="N323" s="619">
        <v>1</v>
      </c>
      <c r="O323" s="619">
        <v>1095.23</v>
      </c>
      <c r="P323" s="640"/>
      <c r="Q323" s="620">
        <v>1095.23</v>
      </c>
    </row>
    <row r="324" spans="1:17" ht="14.4" customHeight="1" x14ac:dyDescent="0.3">
      <c r="A324" s="615" t="s">
        <v>471</v>
      </c>
      <c r="B324" s="616" t="s">
        <v>3010</v>
      </c>
      <c r="C324" s="616" t="s">
        <v>3460</v>
      </c>
      <c r="D324" s="616" t="s">
        <v>3558</v>
      </c>
      <c r="E324" s="616" t="s">
        <v>3559</v>
      </c>
      <c r="F324" s="619"/>
      <c r="G324" s="619"/>
      <c r="H324" s="619"/>
      <c r="I324" s="619"/>
      <c r="J324" s="619"/>
      <c r="K324" s="619"/>
      <c r="L324" s="619"/>
      <c r="M324" s="619"/>
      <c r="N324" s="619">
        <v>4</v>
      </c>
      <c r="O324" s="619">
        <v>3610.68</v>
      </c>
      <c r="P324" s="640"/>
      <c r="Q324" s="620">
        <v>902.67</v>
      </c>
    </row>
    <row r="325" spans="1:17" ht="14.4" customHeight="1" x14ac:dyDescent="0.3">
      <c r="A325" s="615" t="s">
        <v>471</v>
      </c>
      <c r="B325" s="616" t="s">
        <v>3010</v>
      </c>
      <c r="C325" s="616" t="s">
        <v>3460</v>
      </c>
      <c r="D325" s="616" t="s">
        <v>3560</v>
      </c>
      <c r="E325" s="616" t="s">
        <v>3559</v>
      </c>
      <c r="F325" s="619"/>
      <c r="G325" s="619"/>
      <c r="H325" s="619"/>
      <c r="I325" s="619"/>
      <c r="J325" s="619">
        <v>3</v>
      </c>
      <c r="K325" s="619">
        <v>3088.26</v>
      </c>
      <c r="L325" s="619"/>
      <c r="M325" s="619">
        <v>1029.42</v>
      </c>
      <c r="N325" s="619">
        <v>4</v>
      </c>
      <c r="O325" s="619">
        <v>4117.68</v>
      </c>
      <c r="P325" s="640"/>
      <c r="Q325" s="620">
        <v>1029.42</v>
      </c>
    </row>
    <row r="326" spans="1:17" ht="14.4" customHeight="1" x14ac:dyDescent="0.3">
      <c r="A326" s="615" t="s">
        <v>471</v>
      </c>
      <c r="B326" s="616" t="s">
        <v>3010</v>
      </c>
      <c r="C326" s="616" t="s">
        <v>3460</v>
      </c>
      <c r="D326" s="616" t="s">
        <v>3561</v>
      </c>
      <c r="E326" s="616" t="s">
        <v>3562</v>
      </c>
      <c r="F326" s="619"/>
      <c r="G326" s="619"/>
      <c r="H326" s="619"/>
      <c r="I326" s="619"/>
      <c r="J326" s="619"/>
      <c r="K326" s="619"/>
      <c r="L326" s="619"/>
      <c r="M326" s="619"/>
      <c r="N326" s="619">
        <v>1</v>
      </c>
      <c r="O326" s="619">
        <v>9504.49</v>
      </c>
      <c r="P326" s="640"/>
      <c r="Q326" s="620">
        <v>9504.49</v>
      </c>
    </row>
    <row r="327" spans="1:17" ht="14.4" customHeight="1" x14ac:dyDescent="0.3">
      <c r="A327" s="615" t="s">
        <v>471</v>
      </c>
      <c r="B327" s="616" t="s">
        <v>3010</v>
      </c>
      <c r="C327" s="616" t="s">
        <v>3460</v>
      </c>
      <c r="D327" s="616" t="s">
        <v>3563</v>
      </c>
      <c r="E327" s="616" t="s">
        <v>3564</v>
      </c>
      <c r="F327" s="619"/>
      <c r="G327" s="619"/>
      <c r="H327" s="619"/>
      <c r="I327" s="619"/>
      <c r="J327" s="619">
        <v>1</v>
      </c>
      <c r="K327" s="619">
        <v>28950</v>
      </c>
      <c r="L327" s="619"/>
      <c r="M327" s="619">
        <v>28950</v>
      </c>
      <c r="N327" s="619"/>
      <c r="O327" s="619"/>
      <c r="P327" s="640"/>
      <c r="Q327" s="620"/>
    </row>
    <row r="328" spans="1:17" ht="14.4" customHeight="1" x14ac:dyDescent="0.3">
      <c r="A328" s="615" t="s">
        <v>471</v>
      </c>
      <c r="B328" s="616" t="s">
        <v>3010</v>
      </c>
      <c r="C328" s="616" t="s">
        <v>3460</v>
      </c>
      <c r="D328" s="616" t="s">
        <v>3565</v>
      </c>
      <c r="E328" s="616" t="s">
        <v>3566</v>
      </c>
      <c r="F328" s="619"/>
      <c r="G328" s="619"/>
      <c r="H328" s="619"/>
      <c r="I328" s="619"/>
      <c r="J328" s="619"/>
      <c r="K328" s="619"/>
      <c r="L328" s="619"/>
      <c r="M328" s="619"/>
      <c r="N328" s="619">
        <v>1</v>
      </c>
      <c r="O328" s="619">
        <v>60099</v>
      </c>
      <c r="P328" s="640"/>
      <c r="Q328" s="620">
        <v>60099</v>
      </c>
    </row>
    <row r="329" spans="1:17" ht="14.4" customHeight="1" x14ac:dyDescent="0.3">
      <c r="A329" s="615" t="s">
        <v>471</v>
      </c>
      <c r="B329" s="616" t="s">
        <v>3010</v>
      </c>
      <c r="C329" s="616" t="s">
        <v>3460</v>
      </c>
      <c r="D329" s="616" t="s">
        <v>3567</v>
      </c>
      <c r="E329" s="616" t="s">
        <v>3566</v>
      </c>
      <c r="F329" s="619">
        <v>1</v>
      </c>
      <c r="G329" s="619">
        <v>68578</v>
      </c>
      <c r="H329" s="619">
        <v>1</v>
      </c>
      <c r="I329" s="619">
        <v>68578</v>
      </c>
      <c r="J329" s="619"/>
      <c r="K329" s="619"/>
      <c r="L329" s="619"/>
      <c r="M329" s="619"/>
      <c r="N329" s="619"/>
      <c r="O329" s="619"/>
      <c r="P329" s="640"/>
      <c r="Q329" s="620"/>
    </row>
    <row r="330" spans="1:17" ht="14.4" customHeight="1" x14ac:dyDescent="0.3">
      <c r="A330" s="615" t="s">
        <v>471</v>
      </c>
      <c r="B330" s="616" t="s">
        <v>3010</v>
      </c>
      <c r="C330" s="616" t="s">
        <v>3460</v>
      </c>
      <c r="D330" s="616" t="s">
        <v>3568</v>
      </c>
      <c r="E330" s="616" t="s">
        <v>3569</v>
      </c>
      <c r="F330" s="619"/>
      <c r="G330" s="619"/>
      <c r="H330" s="619"/>
      <c r="I330" s="619"/>
      <c r="J330" s="619"/>
      <c r="K330" s="619"/>
      <c r="L330" s="619"/>
      <c r="M330" s="619"/>
      <c r="N330" s="619">
        <v>2</v>
      </c>
      <c r="O330" s="619">
        <v>1803.28</v>
      </c>
      <c r="P330" s="640"/>
      <c r="Q330" s="620">
        <v>901.64</v>
      </c>
    </row>
    <row r="331" spans="1:17" ht="14.4" customHeight="1" x14ac:dyDescent="0.3">
      <c r="A331" s="615" t="s">
        <v>471</v>
      </c>
      <c r="B331" s="616" t="s">
        <v>3010</v>
      </c>
      <c r="C331" s="616" t="s">
        <v>3460</v>
      </c>
      <c r="D331" s="616" t="s">
        <v>3570</v>
      </c>
      <c r="E331" s="616" t="s">
        <v>3571</v>
      </c>
      <c r="F331" s="619">
        <v>1</v>
      </c>
      <c r="G331" s="619">
        <v>15998.9</v>
      </c>
      <c r="H331" s="619">
        <v>1</v>
      </c>
      <c r="I331" s="619">
        <v>15998.9</v>
      </c>
      <c r="J331" s="619"/>
      <c r="K331" s="619"/>
      <c r="L331" s="619"/>
      <c r="M331" s="619"/>
      <c r="N331" s="619"/>
      <c r="O331" s="619"/>
      <c r="P331" s="640"/>
      <c r="Q331" s="620"/>
    </row>
    <row r="332" spans="1:17" ht="14.4" customHeight="1" x14ac:dyDescent="0.3">
      <c r="A332" s="615" t="s">
        <v>471</v>
      </c>
      <c r="B332" s="616" t="s">
        <v>3010</v>
      </c>
      <c r="C332" s="616" t="s">
        <v>3460</v>
      </c>
      <c r="D332" s="616" t="s">
        <v>3572</v>
      </c>
      <c r="E332" s="616" t="s">
        <v>3573</v>
      </c>
      <c r="F332" s="619"/>
      <c r="G332" s="619"/>
      <c r="H332" s="619"/>
      <c r="I332" s="619"/>
      <c r="J332" s="619"/>
      <c r="K332" s="619"/>
      <c r="L332" s="619"/>
      <c r="M332" s="619"/>
      <c r="N332" s="619">
        <v>4</v>
      </c>
      <c r="O332" s="619">
        <v>94432.8</v>
      </c>
      <c r="P332" s="640"/>
      <c r="Q332" s="620">
        <v>23608.2</v>
      </c>
    </row>
    <row r="333" spans="1:17" ht="14.4" customHeight="1" x14ac:dyDescent="0.3">
      <c r="A333" s="615" t="s">
        <v>471</v>
      </c>
      <c r="B333" s="616" t="s">
        <v>3010</v>
      </c>
      <c r="C333" s="616" t="s">
        <v>3460</v>
      </c>
      <c r="D333" s="616" t="s">
        <v>3574</v>
      </c>
      <c r="E333" s="616" t="s">
        <v>3575</v>
      </c>
      <c r="F333" s="619"/>
      <c r="G333" s="619"/>
      <c r="H333" s="619"/>
      <c r="I333" s="619"/>
      <c r="J333" s="619">
        <v>3</v>
      </c>
      <c r="K333" s="619">
        <v>671.55</v>
      </c>
      <c r="L333" s="619"/>
      <c r="M333" s="619">
        <v>223.85</v>
      </c>
      <c r="N333" s="619"/>
      <c r="O333" s="619"/>
      <c r="P333" s="640"/>
      <c r="Q333" s="620"/>
    </row>
    <row r="334" spans="1:17" ht="14.4" customHeight="1" x14ac:dyDescent="0.3">
      <c r="A334" s="615" t="s">
        <v>471</v>
      </c>
      <c r="B334" s="616" t="s">
        <v>3010</v>
      </c>
      <c r="C334" s="616" t="s">
        <v>3460</v>
      </c>
      <c r="D334" s="616" t="s">
        <v>3576</v>
      </c>
      <c r="E334" s="616" t="s">
        <v>3577</v>
      </c>
      <c r="F334" s="619"/>
      <c r="G334" s="619"/>
      <c r="H334" s="619"/>
      <c r="I334" s="619"/>
      <c r="J334" s="619"/>
      <c r="K334" s="619"/>
      <c r="L334" s="619"/>
      <c r="M334" s="619"/>
      <c r="N334" s="619">
        <v>2</v>
      </c>
      <c r="O334" s="619">
        <v>13194.16</v>
      </c>
      <c r="P334" s="640"/>
      <c r="Q334" s="620">
        <v>6597.08</v>
      </c>
    </row>
    <row r="335" spans="1:17" ht="14.4" customHeight="1" x14ac:dyDescent="0.3">
      <c r="A335" s="615" t="s">
        <v>471</v>
      </c>
      <c r="B335" s="616" t="s">
        <v>3010</v>
      </c>
      <c r="C335" s="616" t="s">
        <v>3460</v>
      </c>
      <c r="D335" s="616" t="s">
        <v>3578</v>
      </c>
      <c r="E335" s="616" t="s">
        <v>3579</v>
      </c>
      <c r="F335" s="619"/>
      <c r="G335" s="619"/>
      <c r="H335" s="619"/>
      <c r="I335" s="619"/>
      <c r="J335" s="619"/>
      <c r="K335" s="619"/>
      <c r="L335" s="619"/>
      <c r="M335" s="619"/>
      <c r="N335" s="619">
        <v>1</v>
      </c>
      <c r="O335" s="619">
        <v>408.74</v>
      </c>
      <c r="P335" s="640"/>
      <c r="Q335" s="620">
        <v>408.74</v>
      </c>
    </row>
    <row r="336" spans="1:17" ht="14.4" customHeight="1" x14ac:dyDescent="0.3">
      <c r="A336" s="615" t="s">
        <v>471</v>
      </c>
      <c r="B336" s="616" t="s">
        <v>3010</v>
      </c>
      <c r="C336" s="616" t="s">
        <v>3460</v>
      </c>
      <c r="D336" s="616" t="s">
        <v>3580</v>
      </c>
      <c r="E336" s="616" t="s">
        <v>3581</v>
      </c>
      <c r="F336" s="619">
        <v>3</v>
      </c>
      <c r="G336" s="619">
        <v>11142.66</v>
      </c>
      <c r="H336" s="619">
        <v>1</v>
      </c>
      <c r="I336" s="619">
        <v>3714.22</v>
      </c>
      <c r="J336" s="619"/>
      <c r="K336" s="619"/>
      <c r="L336" s="619"/>
      <c r="M336" s="619"/>
      <c r="N336" s="619">
        <v>6</v>
      </c>
      <c r="O336" s="619">
        <v>22285.32</v>
      </c>
      <c r="P336" s="640">
        <v>2</v>
      </c>
      <c r="Q336" s="620">
        <v>3714.22</v>
      </c>
    </row>
    <row r="337" spans="1:17" ht="14.4" customHeight="1" x14ac:dyDescent="0.3">
      <c r="A337" s="615" t="s">
        <v>471</v>
      </c>
      <c r="B337" s="616" t="s">
        <v>3010</v>
      </c>
      <c r="C337" s="616" t="s">
        <v>3460</v>
      </c>
      <c r="D337" s="616" t="s">
        <v>3582</v>
      </c>
      <c r="E337" s="616" t="s">
        <v>3583</v>
      </c>
      <c r="F337" s="619"/>
      <c r="G337" s="619"/>
      <c r="H337" s="619"/>
      <c r="I337" s="619"/>
      <c r="J337" s="619"/>
      <c r="K337" s="619"/>
      <c r="L337" s="619"/>
      <c r="M337" s="619"/>
      <c r="N337" s="619">
        <v>1</v>
      </c>
      <c r="O337" s="619">
        <v>1665</v>
      </c>
      <c r="P337" s="640"/>
      <c r="Q337" s="620">
        <v>1665</v>
      </c>
    </row>
    <row r="338" spans="1:17" ht="14.4" customHeight="1" x14ac:dyDescent="0.3">
      <c r="A338" s="615" t="s">
        <v>471</v>
      </c>
      <c r="B338" s="616" t="s">
        <v>3010</v>
      </c>
      <c r="C338" s="616" t="s">
        <v>3460</v>
      </c>
      <c r="D338" s="616" t="s">
        <v>3584</v>
      </c>
      <c r="E338" s="616" t="s">
        <v>3585</v>
      </c>
      <c r="F338" s="619">
        <v>1</v>
      </c>
      <c r="G338" s="619">
        <v>10124.24</v>
      </c>
      <c r="H338" s="619">
        <v>1</v>
      </c>
      <c r="I338" s="619">
        <v>10124.24</v>
      </c>
      <c r="J338" s="619"/>
      <c r="K338" s="619"/>
      <c r="L338" s="619"/>
      <c r="M338" s="619"/>
      <c r="N338" s="619">
        <v>5</v>
      </c>
      <c r="O338" s="619">
        <v>50621.2</v>
      </c>
      <c r="P338" s="640">
        <v>5</v>
      </c>
      <c r="Q338" s="620">
        <v>10124.24</v>
      </c>
    </row>
    <row r="339" spans="1:17" ht="14.4" customHeight="1" x14ac:dyDescent="0.3">
      <c r="A339" s="615" t="s">
        <v>471</v>
      </c>
      <c r="B339" s="616" t="s">
        <v>3010</v>
      </c>
      <c r="C339" s="616" t="s">
        <v>3460</v>
      </c>
      <c r="D339" s="616" t="s">
        <v>3586</v>
      </c>
      <c r="E339" s="616" t="s">
        <v>3587</v>
      </c>
      <c r="F339" s="619"/>
      <c r="G339" s="619"/>
      <c r="H339" s="619"/>
      <c r="I339" s="619"/>
      <c r="J339" s="619"/>
      <c r="K339" s="619"/>
      <c r="L339" s="619"/>
      <c r="M339" s="619"/>
      <c r="N339" s="619">
        <v>3</v>
      </c>
      <c r="O339" s="619">
        <v>19991.13</v>
      </c>
      <c r="P339" s="640"/>
      <c r="Q339" s="620">
        <v>6663.71</v>
      </c>
    </row>
    <row r="340" spans="1:17" ht="14.4" customHeight="1" x14ac:dyDescent="0.3">
      <c r="A340" s="615" t="s">
        <v>471</v>
      </c>
      <c r="B340" s="616" t="s">
        <v>3010</v>
      </c>
      <c r="C340" s="616" t="s">
        <v>3460</v>
      </c>
      <c r="D340" s="616" t="s">
        <v>3588</v>
      </c>
      <c r="E340" s="616" t="s">
        <v>3589</v>
      </c>
      <c r="F340" s="619"/>
      <c r="G340" s="619"/>
      <c r="H340" s="619"/>
      <c r="I340" s="619"/>
      <c r="J340" s="619">
        <v>1</v>
      </c>
      <c r="K340" s="619">
        <v>2156.67</v>
      </c>
      <c r="L340" s="619"/>
      <c r="M340" s="619">
        <v>2156.67</v>
      </c>
      <c r="N340" s="619"/>
      <c r="O340" s="619"/>
      <c r="P340" s="640"/>
      <c r="Q340" s="620"/>
    </row>
    <row r="341" spans="1:17" ht="14.4" customHeight="1" x14ac:dyDescent="0.3">
      <c r="A341" s="615" t="s">
        <v>471</v>
      </c>
      <c r="B341" s="616" t="s">
        <v>3010</v>
      </c>
      <c r="C341" s="616" t="s">
        <v>3460</v>
      </c>
      <c r="D341" s="616" t="s">
        <v>3590</v>
      </c>
      <c r="E341" s="616" t="s">
        <v>3591</v>
      </c>
      <c r="F341" s="619"/>
      <c r="G341" s="619"/>
      <c r="H341" s="619"/>
      <c r="I341" s="619"/>
      <c r="J341" s="619">
        <v>1</v>
      </c>
      <c r="K341" s="619">
        <v>3938.18</v>
      </c>
      <c r="L341" s="619"/>
      <c r="M341" s="619">
        <v>3938.18</v>
      </c>
      <c r="N341" s="619"/>
      <c r="O341" s="619"/>
      <c r="P341" s="640"/>
      <c r="Q341" s="620"/>
    </row>
    <row r="342" spans="1:17" ht="14.4" customHeight="1" x14ac:dyDescent="0.3">
      <c r="A342" s="615" t="s">
        <v>471</v>
      </c>
      <c r="B342" s="616" t="s">
        <v>3010</v>
      </c>
      <c r="C342" s="616" t="s">
        <v>3460</v>
      </c>
      <c r="D342" s="616" t="s">
        <v>3592</v>
      </c>
      <c r="E342" s="616" t="s">
        <v>3593</v>
      </c>
      <c r="F342" s="619"/>
      <c r="G342" s="619"/>
      <c r="H342" s="619"/>
      <c r="I342" s="619"/>
      <c r="J342" s="619">
        <v>2</v>
      </c>
      <c r="K342" s="619">
        <v>1480</v>
      </c>
      <c r="L342" s="619"/>
      <c r="M342" s="619">
        <v>740</v>
      </c>
      <c r="N342" s="619"/>
      <c r="O342" s="619"/>
      <c r="P342" s="640"/>
      <c r="Q342" s="620"/>
    </row>
    <row r="343" spans="1:17" ht="14.4" customHeight="1" x14ac:dyDescent="0.3">
      <c r="A343" s="615" t="s">
        <v>471</v>
      </c>
      <c r="B343" s="616" t="s">
        <v>3010</v>
      </c>
      <c r="C343" s="616" t="s">
        <v>3460</v>
      </c>
      <c r="D343" s="616" t="s">
        <v>3594</v>
      </c>
      <c r="E343" s="616" t="s">
        <v>3595</v>
      </c>
      <c r="F343" s="619"/>
      <c r="G343" s="619"/>
      <c r="H343" s="619"/>
      <c r="I343" s="619"/>
      <c r="J343" s="619"/>
      <c r="K343" s="619"/>
      <c r="L343" s="619"/>
      <c r="M343" s="619"/>
      <c r="N343" s="619">
        <v>1</v>
      </c>
      <c r="O343" s="619">
        <v>1796</v>
      </c>
      <c r="P343" s="640"/>
      <c r="Q343" s="620">
        <v>1796</v>
      </c>
    </row>
    <row r="344" spans="1:17" ht="14.4" customHeight="1" x14ac:dyDescent="0.3">
      <c r="A344" s="615" t="s">
        <v>471</v>
      </c>
      <c r="B344" s="616" t="s">
        <v>3010</v>
      </c>
      <c r="C344" s="616" t="s">
        <v>3460</v>
      </c>
      <c r="D344" s="616" t="s">
        <v>3596</v>
      </c>
      <c r="E344" s="616" t="s">
        <v>3597</v>
      </c>
      <c r="F344" s="619">
        <v>1</v>
      </c>
      <c r="G344" s="619">
        <v>1796</v>
      </c>
      <c r="H344" s="619">
        <v>1</v>
      </c>
      <c r="I344" s="619">
        <v>1796</v>
      </c>
      <c r="J344" s="619"/>
      <c r="K344" s="619"/>
      <c r="L344" s="619"/>
      <c r="M344" s="619"/>
      <c r="N344" s="619">
        <v>2</v>
      </c>
      <c r="O344" s="619">
        <v>3592</v>
      </c>
      <c r="P344" s="640">
        <v>2</v>
      </c>
      <c r="Q344" s="620">
        <v>1796</v>
      </c>
    </row>
    <row r="345" spans="1:17" ht="14.4" customHeight="1" x14ac:dyDescent="0.3">
      <c r="A345" s="615" t="s">
        <v>471</v>
      </c>
      <c r="B345" s="616" t="s">
        <v>3010</v>
      </c>
      <c r="C345" s="616" t="s">
        <v>3460</v>
      </c>
      <c r="D345" s="616" t="s">
        <v>3598</v>
      </c>
      <c r="E345" s="616" t="s">
        <v>3599</v>
      </c>
      <c r="F345" s="619">
        <v>1</v>
      </c>
      <c r="G345" s="619">
        <v>1796</v>
      </c>
      <c r="H345" s="619">
        <v>1</v>
      </c>
      <c r="I345" s="619">
        <v>1796</v>
      </c>
      <c r="J345" s="619">
        <v>1</v>
      </c>
      <c r="K345" s="619">
        <v>1796</v>
      </c>
      <c r="L345" s="619">
        <v>1</v>
      </c>
      <c r="M345" s="619">
        <v>1796</v>
      </c>
      <c r="N345" s="619">
        <v>1</v>
      </c>
      <c r="O345" s="619">
        <v>1796</v>
      </c>
      <c r="P345" s="640">
        <v>1</v>
      </c>
      <c r="Q345" s="620">
        <v>1796</v>
      </c>
    </row>
    <row r="346" spans="1:17" ht="14.4" customHeight="1" x14ac:dyDescent="0.3">
      <c r="A346" s="615" t="s">
        <v>471</v>
      </c>
      <c r="B346" s="616" t="s">
        <v>3010</v>
      </c>
      <c r="C346" s="616" t="s">
        <v>3460</v>
      </c>
      <c r="D346" s="616" t="s">
        <v>3600</v>
      </c>
      <c r="E346" s="616" t="s">
        <v>3601</v>
      </c>
      <c r="F346" s="619">
        <v>1</v>
      </c>
      <c r="G346" s="619">
        <v>1796</v>
      </c>
      <c r="H346" s="619">
        <v>1</v>
      </c>
      <c r="I346" s="619">
        <v>1796</v>
      </c>
      <c r="J346" s="619">
        <v>2</v>
      </c>
      <c r="K346" s="619">
        <v>3592</v>
      </c>
      <c r="L346" s="619">
        <v>2</v>
      </c>
      <c r="M346" s="619">
        <v>1796</v>
      </c>
      <c r="N346" s="619">
        <v>2</v>
      </c>
      <c r="O346" s="619">
        <v>3592</v>
      </c>
      <c r="P346" s="640">
        <v>2</v>
      </c>
      <c r="Q346" s="620">
        <v>1796</v>
      </c>
    </row>
    <row r="347" spans="1:17" ht="14.4" customHeight="1" x14ac:dyDescent="0.3">
      <c r="A347" s="615" t="s">
        <v>471</v>
      </c>
      <c r="B347" s="616" t="s">
        <v>3010</v>
      </c>
      <c r="C347" s="616" t="s">
        <v>3460</v>
      </c>
      <c r="D347" s="616" t="s">
        <v>3602</v>
      </c>
      <c r="E347" s="616" t="s">
        <v>3603</v>
      </c>
      <c r="F347" s="619"/>
      <c r="G347" s="619"/>
      <c r="H347" s="619"/>
      <c r="I347" s="619"/>
      <c r="J347" s="619">
        <v>1</v>
      </c>
      <c r="K347" s="619">
        <v>3360</v>
      </c>
      <c r="L347" s="619"/>
      <c r="M347" s="619">
        <v>3360</v>
      </c>
      <c r="N347" s="619"/>
      <c r="O347" s="619"/>
      <c r="P347" s="640"/>
      <c r="Q347" s="620"/>
    </row>
    <row r="348" spans="1:17" ht="14.4" customHeight="1" x14ac:dyDescent="0.3">
      <c r="A348" s="615" t="s">
        <v>471</v>
      </c>
      <c r="B348" s="616" t="s">
        <v>3010</v>
      </c>
      <c r="C348" s="616" t="s">
        <v>3460</v>
      </c>
      <c r="D348" s="616" t="s">
        <v>3604</v>
      </c>
      <c r="E348" s="616" t="s">
        <v>3605</v>
      </c>
      <c r="F348" s="619"/>
      <c r="G348" s="619"/>
      <c r="H348" s="619"/>
      <c r="I348" s="619"/>
      <c r="J348" s="619">
        <v>1</v>
      </c>
      <c r="K348" s="619">
        <v>9100</v>
      </c>
      <c r="L348" s="619"/>
      <c r="M348" s="619">
        <v>9100</v>
      </c>
      <c r="N348" s="619"/>
      <c r="O348" s="619"/>
      <c r="P348" s="640"/>
      <c r="Q348" s="620"/>
    </row>
    <row r="349" spans="1:17" ht="14.4" customHeight="1" x14ac:dyDescent="0.3">
      <c r="A349" s="615" t="s">
        <v>471</v>
      </c>
      <c r="B349" s="616" t="s">
        <v>3010</v>
      </c>
      <c r="C349" s="616" t="s">
        <v>3460</v>
      </c>
      <c r="D349" s="616" t="s">
        <v>3606</v>
      </c>
      <c r="E349" s="616" t="s">
        <v>3607</v>
      </c>
      <c r="F349" s="619"/>
      <c r="G349" s="619"/>
      <c r="H349" s="619"/>
      <c r="I349" s="619"/>
      <c r="J349" s="619">
        <v>2</v>
      </c>
      <c r="K349" s="619">
        <v>2793</v>
      </c>
      <c r="L349" s="619"/>
      <c r="M349" s="619">
        <v>1396.5</v>
      </c>
      <c r="N349" s="619">
        <v>2</v>
      </c>
      <c r="O349" s="619">
        <v>2793</v>
      </c>
      <c r="P349" s="640"/>
      <c r="Q349" s="620">
        <v>1396.5</v>
      </c>
    </row>
    <row r="350" spans="1:17" ht="14.4" customHeight="1" x14ac:dyDescent="0.3">
      <c r="A350" s="615" t="s">
        <v>471</v>
      </c>
      <c r="B350" s="616" t="s">
        <v>3010</v>
      </c>
      <c r="C350" s="616" t="s">
        <v>3460</v>
      </c>
      <c r="D350" s="616" t="s">
        <v>3608</v>
      </c>
      <c r="E350" s="616" t="s">
        <v>3609</v>
      </c>
      <c r="F350" s="619"/>
      <c r="G350" s="619"/>
      <c r="H350" s="619"/>
      <c r="I350" s="619"/>
      <c r="J350" s="619"/>
      <c r="K350" s="619"/>
      <c r="L350" s="619"/>
      <c r="M350" s="619"/>
      <c r="N350" s="619">
        <v>3</v>
      </c>
      <c r="O350" s="619">
        <v>1085.07</v>
      </c>
      <c r="P350" s="640"/>
      <c r="Q350" s="620">
        <v>361.69</v>
      </c>
    </row>
    <row r="351" spans="1:17" ht="14.4" customHeight="1" x14ac:dyDescent="0.3">
      <c r="A351" s="615" t="s">
        <v>471</v>
      </c>
      <c r="B351" s="616" t="s">
        <v>3010</v>
      </c>
      <c r="C351" s="616" t="s">
        <v>3460</v>
      </c>
      <c r="D351" s="616" t="s">
        <v>3610</v>
      </c>
      <c r="E351" s="616" t="s">
        <v>3611</v>
      </c>
      <c r="F351" s="619"/>
      <c r="G351" s="619"/>
      <c r="H351" s="619"/>
      <c r="I351" s="619"/>
      <c r="J351" s="619"/>
      <c r="K351" s="619"/>
      <c r="L351" s="619"/>
      <c r="M351" s="619"/>
      <c r="N351" s="619">
        <v>1</v>
      </c>
      <c r="O351" s="619">
        <v>4618</v>
      </c>
      <c r="P351" s="640"/>
      <c r="Q351" s="620">
        <v>4618</v>
      </c>
    </row>
    <row r="352" spans="1:17" ht="14.4" customHeight="1" x14ac:dyDescent="0.3">
      <c r="A352" s="615" t="s">
        <v>471</v>
      </c>
      <c r="B352" s="616" t="s">
        <v>3010</v>
      </c>
      <c r="C352" s="616" t="s">
        <v>3460</v>
      </c>
      <c r="D352" s="616" t="s">
        <v>3612</v>
      </c>
      <c r="E352" s="616" t="s">
        <v>3613</v>
      </c>
      <c r="F352" s="619"/>
      <c r="G352" s="619"/>
      <c r="H352" s="619"/>
      <c r="I352" s="619"/>
      <c r="J352" s="619">
        <v>1</v>
      </c>
      <c r="K352" s="619">
        <v>4676</v>
      </c>
      <c r="L352" s="619"/>
      <c r="M352" s="619">
        <v>4676</v>
      </c>
      <c r="N352" s="619"/>
      <c r="O352" s="619"/>
      <c r="P352" s="640"/>
      <c r="Q352" s="620"/>
    </row>
    <row r="353" spans="1:17" ht="14.4" customHeight="1" x14ac:dyDescent="0.3">
      <c r="A353" s="615" t="s">
        <v>471</v>
      </c>
      <c r="B353" s="616" t="s">
        <v>3010</v>
      </c>
      <c r="C353" s="616" t="s">
        <v>3460</v>
      </c>
      <c r="D353" s="616" t="s">
        <v>3614</v>
      </c>
      <c r="E353" s="616" t="s">
        <v>3615</v>
      </c>
      <c r="F353" s="619"/>
      <c r="G353" s="619"/>
      <c r="H353" s="619"/>
      <c r="I353" s="619"/>
      <c r="J353" s="619">
        <v>4</v>
      </c>
      <c r="K353" s="619">
        <v>2368</v>
      </c>
      <c r="L353" s="619"/>
      <c r="M353" s="619">
        <v>592</v>
      </c>
      <c r="N353" s="619"/>
      <c r="O353" s="619"/>
      <c r="P353" s="640"/>
      <c r="Q353" s="620"/>
    </row>
    <row r="354" spans="1:17" ht="14.4" customHeight="1" x14ac:dyDescent="0.3">
      <c r="A354" s="615" t="s">
        <v>471</v>
      </c>
      <c r="B354" s="616" t="s">
        <v>3010</v>
      </c>
      <c r="C354" s="616" t="s">
        <v>3460</v>
      </c>
      <c r="D354" s="616" t="s">
        <v>3616</v>
      </c>
      <c r="E354" s="616" t="s">
        <v>3617</v>
      </c>
      <c r="F354" s="619">
        <v>17</v>
      </c>
      <c r="G354" s="619">
        <v>9460.5</v>
      </c>
      <c r="H354" s="619">
        <v>1</v>
      </c>
      <c r="I354" s="619">
        <v>556.5</v>
      </c>
      <c r="J354" s="619">
        <v>20</v>
      </c>
      <c r="K354" s="619">
        <v>11130</v>
      </c>
      <c r="L354" s="619">
        <v>1.1764705882352942</v>
      </c>
      <c r="M354" s="619">
        <v>556.5</v>
      </c>
      <c r="N354" s="619">
        <v>22</v>
      </c>
      <c r="O354" s="619">
        <v>12243</v>
      </c>
      <c r="P354" s="640">
        <v>1.2941176470588236</v>
      </c>
      <c r="Q354" s="620">
        <v>556.5</v>
      </c>
    </row>
    <row r="355" spans="1:17" ht="14.4" customHeight="1" x14ac:dyDescent="0.3">
      <c r="A355" s="615" t="s">
        <v>471</v>
      </c>
      <c r="B355" s="616" t="s">
        <v>3010</v>
      </c>
      <c r="C355" s="616" t="s">
        <v>3460</v>
      </c>
      <c r="D355" s="616" t="s">
        <v>3618</v>
      </c>
      <c r="E355" s="616" t="s">
        <v>3619</v>
      </c>
      <c r="F355" s="619"/>
      <c r="G355" s="619"/>
      <c r="H355" s="619"/>
      <c r="I355" s="619"/>
      <c r="J355" s="619"/>
      <c r="K355" s="619"/>
      <c r="L355" s="619"/>
      <c r="M355" s="619"/>
      <c r="N355" s="619">
        <v>3</v>
      </c>
      <c r="O355" s="619">
        <v>2556.9299999999998</v>
      </c>
      <c r="P355" s="640"/>
      <c r="Q355" s="620">
        <v>852.31</v>
      </c>
    </row>
    <row r="356" spans="1:17" ht="14.4" customHeight="1" x14ac:dyDescent="0.3">
      <c r="A356" s="615" t="s">
        <v>471</v>
      </c>
      <c r="B356" s="616" t="s">
        <v>3010</v>
      </c>
      <c r="C356" s="616" t="s">
        <v>3460</v>
      </c>
      <c r="D356" s="616" t="s">
        <v>3620</v>
      </c>
      <c r="E356" s="616" t="s">
        <v>3621</v>
      </c>
      <c r="F356" s="619"/>
      <c r="G356" s="619"/>
      <c r="H356" s="619"/>
      <c r="I356" s="619"/>
      <c r="J356" s="619"/>
      <c r="K356" s="619"/>
      <c r="L356" s="619"/>
      <c r="M356" s="619"/>
      <c r="N356" s="619">
        <v>1</v>
      </c>
      <c r="O356" s="619">
        <v>4735.3500000000004</v>
      </c>
      <c r="P356" s="640"/>
      <c r="Q356" s="620">
        <v>4735.3500000000004</v>
      </c>
    </row>
    <row r="357" spans="1:17" ht="14.4" customHeight="1" x14ac:dyDescent="0.3">
      <c r="A357" s="615" t="s">
        <v>471</v>
      </c>
      <c r="B357" s="616" t="s">
        <v>3010</v>
      </c>
      <c r="C357" s="616" t="s">
        <v>3460</v>
      </c>
      <c r="D357" s="616" t="s">
        <v>3622</v>
      </c>
      <c r="E357" s="616" t="s">
        <v>3623</v>
      </c>
      <c r="F357" s="619"/>
      <c r="G357" s="619"/>
      <c r="H357" s="619"/>
      <c r="I357" s="619"/>
      <c r="J357" s="619"/>
      <c r="K357" s="619"/>
      <c r="L357" s="619"/>
      <c r="M357" s="619"/>
      <c r="N357" s="619">
        <v>1</v>
      </c>
      <c r="O357" s="619">
        <v>7993.16</v>
      </c>
      <c r="P357" s="640"/>
      <c r="Q357" s="620">
        <v>7993.16</v>
      </c>
    </row>
    <row r="358" spans="1:17" ht="14.4" customHeight="1" x14ac:dyDescent="0.3">
      <c r="A358" s="615" t="s">
        <v>471</v>
      </c>
      <c r="B358" s="616" t="s">
        <v>3010</v>
      </c>
      <c r="C358" s="616" t="s">
        <v>3460</v>
      </c>
      <c r="D358" s="616" t="s">
        <v>3624</v>
      </c>
      <c r="E358" s="616" t="s">
        <v>3625</v>
      </c>
      <c r="F358" s="619"/>
      <c r="G358" s="619"/>
      <c r="H358" s="619"/>
      <c r="I358" s="619"/>
      <c r="J358" s="619"/>
      <c r="K358" s="619"/>
      <c r="L358" s="619"/>
      <c r="M358" s="619"/>
      <c r="N358" s="619">
        <v>1</v>
      </c>
      <c r="O358" s="619">
        <v>2866.27</v>
      </c>
      <c r="P358" s="640"/>
      <c r="Q358" s="620">
        <v>2866.27</v>
      </c>
    </row>
    <row r="359" spans="1:17" ht="14.4" customHeight="1" x14ac:dyDescent="0.3">
      <c r="A359" s="615" t="s">
        <v>471</v>
      </c>
      <c r="B359" s="616" t="s">
        <v>3010</v>
      </c>
      <c r="C359" s="616" t="s">
        <v>3460</v>
      </c>
      <c r="D359" s="616" t="s">
        <v>3626</v>
      </c>
      <c r="E359" s="616" t="s">
        <v>3627</v>
      </c>
      <c r="F359" s="619"/>
      <c r="G359" s="619"/>
      <c r="H359" s="619"/>
      <c r="I359" s="619"/>
      <c r="J359" s="619"/>
      <c r="K359" s="619"/>
      <c r="L359" s="619"/>
      <c r="M359" s="619"/>
      <c r="N359" s="619">
        <v>0.1</v>
      </c>
      <c r="O359" s="619">
        <v>177.31</v>
      </c>
      <c r="P359" s="640"/>
      <c r="Q359" s="620">
        <v>1773.1</v>
      </c>
    </row>
    <row r="360" spans="1:17" ht="14.4" customHeight="1" x14ac:dyDescent="0.3">
      <c r="A360" s="615" t="s">
        <v>471</v>
      </c>
      <c r="B360" s="616" t="s">
        <v>3010</v>
      </c>
      <c r="C360" s="616" t="s">
        <v>3460</v>
      </c>
      <c r="D360" s="616" t="s">
        <v>3628</v>
      </c>
      <c r="E360" s="616" t="s">
        <v>3474</v>
      </c>
      <c r="F360" s="619">
        <v>0.6</v>
      </c>
      <c r="G360" s="619">
        <v>151.21</v>
      </c>
      <c r="H360" s="619">
        <v>1</v>
      </c>
      <c r="I360" s="619">
        <v>252.01666666666668</v>
      </c>
      <c r="J360" s="619">
        <v>0.9</v>
      </c>
      <c r="K360" s="619">
        <v>226.83</v>
      </c>
      <c r="L360" s="619">
        <v>1.5000991997883737</v>
      </c>
      <c r="M360" s="619">
        <v>252.03333333333333</v>
      </c>
      <c r="N360" s="619">
        <v>4.2</v>
      </c>
      <c r="O360" s="619">
        <v>1058.52</v>
      </c>
      <c r="P360" s="640">
        <v>7.0003306659612452</v>
      </c>
      <c r="Q360" s="620">
        <v>252.02857142857141</v>
      </c>
    </row>
    <row r="361" spans="1:17" ht="14.4" customHeight="1" x14ac:dyDescent="0.3">
      <c r="A361" s="615" t="s">
        <v>471</v>
      </c>
      <c r="B361" s="616" t="s">
        <v>3010</v>
      </c>
      <c r="C361" s="616" t="s">
        <v>3460</v>
      </c>
      <c r="D361" s="616" t="s">
        <v>3629</v>
      </c>
      <c r="E361" s="616" t="s">
        <v>3474</v>
      </c>
      <c r="F361" s="619"/>
      <c r="G361" s="619"/>
      <c r="H361" s="619"/>
      <c r="I361" s="619"/>
      <c r="J361" s="619"/>
      <c r="K361" s="619"/>
      <c r="L361" s="619"/>
      <c r="M361" s="619"/>
      <c r="N361" s="619">
        <v>9</v>
      </c>
      <c r="O361" s="619">
        <v>4924.8</v>
      </c>
      <c r="P361" s="640"/>
      <c r="Q361" s="620">
        <v>547.20000000000005</v>
      </c>
    </row>
    <row r="362" spans="1:17" ht="14.4" customHeight="1" x14ac:dyDescent="0.3">
      <c r="A362" s="615" t="s">
        <v>471</v>
      </c>
      <c r="B362" s="616" t="s">
        <v>3010</v>
      </c>
      <c r="C362" s="616" t="s">
        <v>3460</v>
      </c>
      <c r="D362" s="616" t="s">
        <v>3630</v>
      </c>
      <c r="E362" s="616" t="s">
        <v>3474</v>
      </c>
      <c r="F362" s="619">
        <v>13</v>
      </c>
      <c r="G362" s="619">
        <v>24035.31</v>
      </c>
      <c r="H362" s="619">
        <v>1</v>
      </c>
      <c r="I362" s="619">
        <v>1848.8700000000001</v>
      </c>
      <c r="J362" s="619">
        <v>7</v>
      </c>
      <c r="K362" s="619">
        <v>12942.09</v>
      </c>
      <c r="L362" s="619">
        <v>0.53846153846153844</v>
      </c>
      <c r="M362" s="619">
        <v>1848.8700000000001</v>
      </c>
      <c r="N362" s="619">
        <v>34</v>
      </c>
      <c r="O362" s="619">
        <v>62861.58</v>
      </c>
      <c r="P362" s="640">
        <v>2.6153846153846154</v>
      </c>
      <c r="Q362" s="620">
        <v>1848.8700000000001</v>
      </c>
    </row>
    <row r="363" spans="1:17" ht="14.4" customHeight="1" x14ac:dyDescent="0.3">
      <c r="A363" s="615" t="s">
        <v>471</v>
      </c>
      <c r="B363" s="616" t="s">
        <v>3010</v>
      </c>
      <c r="C363" s="616" t="s">
        <v>3460</v>
      </c>
      <c r="D363" s="616" t="s">
        <v>3631</v>
      </c>
      <c r="E363" s="616" t="s">
        <v>3632</v>
      </c>
      <c r="F363" s="619"/>
      <c r="G363" s="619"/>
      <c r="H363" s="619"/>
      <c r="I363" s="619"/>
      <c r="J363" s="619"/>
      <c r="K363" s="619"/>
      <c r="L363" s="619"/>
      <c r="M363" s="619"/>
      <c r="N363" s="619">
        <v>2</v>
      </c>
      <c r="O363" s="619">
        <v>3025.36</v>
      </c>
      <c r="P363" s="640"/>
      <c r="Q363" s="620">
        <v>1512.68</v>
      </c>
    </row>
    <row r="364" spans="1:17" ht="14.4" customHeight="1" x14ac:dyDescent="0.3">
      <c r="A364" s="615" t="s">
        <v>471</v>
      </c>
      <c r="B364" s="616" t="s">
        <v>3010</v>
      </c>
      <c r="C364" s="616" t="s">
        <v>3460</v>
      </c>
      <c r="D364" s="616" t="s">
        <v>3633</v>
      </c>
      <c r="E364" s="616" t="s">
        <v>3634</v>
      </c>
      <c r="F364" s="619"/>
      <c r="G364" s="619"/>
      <c r="H364" s="619"/>
      <c r="I364" s="619"/>
      <c r="J364" s="619"/>
      <c r="K364" s="619"/>
      <c r="L364" s="619"/>
      <c r="M364" s="619"/>
      <c r="N364" s="619">
        <v>1</v>
      </c>
      <c r="O364" s="619">
        <v>8491.4599999999991</v>
      </c>
      <c r="P364" s="640"/>
      <c r="Q364" s="620">
        <v>8491.4599999999991</v>
      </c>
    </row>
    <row r="365" spans="1:17" ht="14.4" customHeight="1" x14ac:dyDescent="0.3">
      <c r="A365" s="615" t="s">
        <v>471</v>
      </c>
      <c r="B365" s="616" t="s">
        <v>3010</v>
      </c>
      <c r="C365" s="616" t="s">
        <v>3460</v>
      </c>
      <c r="D365" s="616" t="s">
        <v>3635</v>
      </c>
      <c r="E365" s="616" t="s">
        <v>3636</v>
      </c>
      <c r="F365" s="619"/>
      <c r="G365" s="619"/>
      <c r="H365" s="619"/>
      <c r="I365" s="619"/>
      <c r="J365" s="619"/>
      <c r="K365" s="619"/>
      <c r="L365" s="619"/>
      <c r="M365" s="619"/>
      <c r="N365" s="619">
        <v>3</v>
      </c>
      <c r="O365" s="619">
        <v>8997.7199999999993</v>
      </c>
      <c r="P365" s="640"/>
      <c r="Q365" s="620">
        <v>2999.24</v>
      </c>
    </row>
    <row r="366" spans="1:17" ht="14.4" customHeight="1" x14ac:dyDescent="0.3">
      <c r="A366" s="615" t="s">
        <v>471</v>
      </c>
      <c r="B366" s="616" t="s">
        <v>3010</v>
      </c>
      <c r="C366" s="616" t="s">
        <v>3460</v>
      </c>
      <c r="D366" s="616" t="s">
        <v>3637</v>
      </c>
      <c r="E366" s="616" t="s">
        <v>3638</v>
      </c>
      <c r="F366" s="619">
        <v>20</v>
      </c>
      <c r="G366" s="619">
        <v>26240</v>
      </c>
      <c r="H366" s="619">
        <v>1</v>
      </c>
      <c r="I366" s="619">
        <v>1312</v>
      </c>
      <c r="J366" s="619"/>
      <c r="K366" s="619"/>
      <c r="L366" s="619"/>
      <c r="M366" s="619"/>
      <c r="N366" s="619"/>
      <c r="O366" s="619"/>
      <c r="P366" s="640"/>
      <c r="Q366" s="620"/>
    </row>
    <row r="367" spans="1:17" ht="14.4" customHeight="1" x14ac:dyDescent="0.3">
      <c r="A367" s="615" t="s">
        <v>471</v>
      </c>
      <c r="B367" s="616" t="s">
        <v>3010</v>
      </c>
      <c r="C367" s="616" t="s">
        <v>3460</v>
      </c>
      <c r="D367" s="616" t="s">
        <v>3639</v>
      </c>
      <c r="E367" s="616" t="s">
        <v>3640</v>
      </c>
      <c r="F367" s="619">
        <v>12</v>
      </c>
      <c r="G367" s="619">
        <v>18720</v>
      </c>
      <c r="H367" s="619">
        <v>1</v>
      </c>
      <c r="I367" s="619">
        <v>1560</v>
      </c>
      <c r="J367" s="619">
        <v>1</v>
      </c>
      <c r="K367" s="619">
        <v>1560</v>
      </c>
      <c r="L367" s="619">
        <v>8.3333333333333329E-2</v>
      </c>
      <c r="M367" s="619">
        <v>1560</v>
      </c>
      <c r="N367" s="619"/>
      <c r="O367" s="619"/>
      <c r="P367" s="640"/>
      <c r="Q367" s="620"/>
    </row>
    <row r="368" spans="1:17" ht="14.4" customHeight="1" x14ac:dyDescent="0.3">
      <c r="A368" s="615" t="s">
        <v>471</v>
      </c>
      <c r="B368" s="616" t="s">
        <v>3010</v>
      </c>
      <c r="C368" s="616" t="s">
        <v>3460</v>
      </c>
      <c r="D368" s="616" t="s">
        <v>3641</v>
      </c>
      <c r="E368" s="616" t="s">
        <v>3642</v>
      </c>
      <c r="F368" s="619"/>
      <c r="G368" s="619"/>
      <c r="H368" s="619"/>
      <c r="I368" s="619"/>
      <c r="J368" s="619">
        <v>39</v>
      </c>
      <c r="K368" s="619">
        <v>3767.4</v>
      </c>
      <c r="L368" s="619"/>
      <c r="M368" s="619">
        <v>96.600000000000009</v>
      </c>
      <c r="N368" s="619">
        <v>7</v>
      </c>
      <c r="O368" s="619">
        <v>676.2</v>
      </c>
      <c r="P368" s="640"/>
      <c r="Q368" s="620">
        <v>96.600000000000009</v>
      </c>
    </row>
    <row r="369" spans="1:17" ht="14.4" customHeight="1" x14ac:dyDescent="0.3">
      <c r="A369" s="615" t="s">
        <v>471</v>
      </c>
      <c r="B369" s="616" t="s">
        <v>3010</v>
      </c>
      <c r="C369" s="616" t="s">
        <v>3460</v>
      </c>
      <c r="D369" s="616" t="s">
        <v>3643</v>
      </c>
      <c r="E369" s="616" t="s">
        <v>3644</v>
      </c>
      <c r="F369" s="619"/>
      <c r="G369" s="619"/>
      <c r="H369" s="619"/>
      <c r="I369" s="619"/>
      <c r="J369" s="619"/>
      <c r="K369" s="619"/>
      <c r="L369" s="619"/>
      <c r="M369" s="619"/>
      <c r="N369" s="619">
        <v>1</v>
      </c>
      <c r="O369" s="619">
        <v>3278.02</v>
      </c>
      <c r="P369" s="640"/>
      <c r="Q369" s="620">
        <v>3278.02</v>
      </c>
    </row>
    <row r="370" spans="1:17" ht="14.4" customHeight="1" x14ac:dyDescent="0.3">
      <c r="A370" s="615" t="s">
        <v>471</v>
      </c>
      <c r="B370" s="616" t="s">
        <v>3010</v>
      </c>
      <c r="C370" s="616" t="s">
        <v>3460</v>
      </c>
      <c r="D370" s="616" t="s">
        <v>3645</v>
      </c>
      <c r="E370" s="616" t="s">
        <v>3646</v>
      </c>
      <c r="F370" s="619">
        <v>1</v>
      </c>
      <c r="G370" s="619">
        <v>6968.51</v>
      </c>
      <c r="H370" s="619">
        <v>1</v>
      </c>
      <c r="I370" s="619">
        <v>6968.51</v>
      </c>
      <c r="J370" s="619"/>
      <c r="K370" s="619"/>
      <c r="L370" s="619"/>
      <c r="M370" s="619"/>
      <c r="N370" s="619">
        <v>1</v>
      </c>
      <c r="O370" s="619">
        <v>6968.51</v>
      </c>
      <c r="P370" s="640">
        <v>1</v>
      </c>
      <c r="Q370" s="620">
        <v>6968.51</v>
      </c>
    </row>
    <row r="371" spans="1:17" ht="14.4" customHeight="1" x14ac:dyDescent="0.3">
      <c r="A371" s="615" t="s">
        <v>471</v>
      </c>
      <c r="B371" s="616" t="s">
        <v>3010</v>
      </c>
      <c r="C371" s="616" t="s">
        <v>3460</v>
      </c>
      <c r="D371" s="616" t="s">
        <v>3647</v>
      </c>
      <c r="E371" s="616" t="s">
        <v>3646</v>
      </c>
      <c r="F371" s="619"/>
      <c r="G371" s="619"/>
      <c r="H371" s="619"/>
      <c r="I371" s="619"/>
      <c r="J371" s="619"/>
      <c r="K371" s="619"/>
      <c r="L371" s="619"/>
      <c r="M371" s="619"/>
      <c r="N371" s="619">
        <v>2</v>
      </c>
      <c r="O371" s="619">
        <v>16685.46</v>
      </c>
      <c r="P371" s="640"/>
      <c r="Q371" s="620">
        <v>8342.73</v>
      </c>
    </row>
    <row r="372" spans="1:17" ht="14.4" customHeight="1" x14ac:dyDescent="0.3">
      <c r="A372" s="615" t="s">
        <v>471</v>
      </c>
      <c r="B372" s="616" t="s">
        <v>3010</v>
      </c>
      <c r="C372" s="616" t="s">
        <v>3460</v>
      </c>
      <c r="D372" s="616" t="s">
        <v>3648</v>
      </c>
      <c r="E372" s="616" t="s">
        <v>3649</v>
      </c>
      <c r="F372" s="619"/>
      <c r="G372" s="619"/>
      <c r="H372" s="619"/>
      <c r="I372" s="619"/>
      <c r="J372" s="619"/>
      <c r="K372" s="619"/>
      <c r="L372" s="619"/>
      <c r="M372" s="619"/>
      <c r="N372" s="619">
        <v>1</v>
      </c>
      <c r="O372" s="619">
        <v>9736.64</v>
      </c>
      <c r="P372" s="640"/>
      <c r="Q372" s="620">
        <v>9736.64</v>
      </c>
    </row>
    <row r="373" spans="1:17" ht="14.4" customHeight="1" x14ac:dyDescent="0.3">
      <c r="A373" s="615" t="s">
        <v>471</v>
      </c>
      <c r="B373" s="616" t="s">
        <v>3010</v>
      </c>
      <c r="C373" s="616" t="s">
        <v>3460</v>
      </c>
      <c r="D373" s="616" t="s">
        <v>3650</v>
      </c>
      <c r="E373" s="616" t="s">
        <v>3651</v>
      </c>
      <c r="F373" s="619"/>
      <c r="G373" s="619"/>
      <c r="H373" s="619"/>
      <c r="I373" s="619"/>
      <c r="J373" s="619">
        <v>1</v>
      </c>
      <c r="K373" s="619">
        <v>13666.42</v>
      </c>
      <c r="L373" s="619"/>
      <c r="M373" s="619">
        <v>13666.42</v>
      </c>
      <c r="N373" s="619">
        <v>3</v>
      </c>
      <c r="O373" s="619">
        <v>40999.26</v>
      </c>
      <c r="P373" s="640"/>
      <c r="Q373" s="620">
        <v>13666.42</v>
      </c>
    </row>
    <row r="374" spans="1:17" ht="14.4" customHeight="1" x14ac:dyDescent="0.3">
      <c r="A374" s="615" t="s">
        <v>471</v>
      </c>
      <c r="B374" s="616" t="s">
        <v>3010</v>
      </c>
      <c r="C374" s="616" t="s">
        <v>3460</v>
      </c>
      <c r="D374" s="616" t="s">
        <v>3652</v>
      </c>
      <c r="E374" s="616" t="s">
        <v>3653</v>
      </c>
      <c r="F374" s="619"/>
      <c r="G374" s="619"/>
      <c r="H374" s="619"/>
      <c r="I374" s="619"/>
      <c r="J374" s="619"/>
      <c r="K374" s="619"/>
      <c r="L374" s="619"/>
      <c r="M374" s="619"/>
      <c r="N374" s="619">
        <v>1</v>
      </c>
      <c r="O374" s="619">
        <v>6755.23</v>
      </c>
      <c r="P374" s="640"/>
      <c r="Q374" s="620">
        <v>6755.23</v>
      </c>
    </row>
    <row r="375" spans="1:17" ht="14.4" customHeight="1" x14ac:dyDescent="0.3">
      <c r="A375" s="615" t="s">
        <v>471</v>
      </c>
      <c r="B375" s="616" t="s">
        <v>3010</v>
      </c>
      <c r="C375" s="616" t="s">
        <v>3460</v>
      </c>
      <c r="D375" s="616" t="s">
        <v>3654</v>
      </c>
      <c r="E375" s="616" t="s">
        <v>3655</v>
      </c>
      <c r="F375" s="619"/>
      <c r="G375" s="619"/>
      <c r="H375" s="619"/>
      <c r="I375" s="619"/>
      <c r="J375" s="619"/>
      <c r="K375" s="619"/>
      <c r="L375" s="619"/>
      <c r="M375" s="619"/>
      <c r="N375" s="619">
        <v>4</v>
      </c>
      <c r="O375" s="619">
        <v>7133.92</v>
      </c>
      <c r="P375" s="640"/>
      <c r="Q375" s="620">
        <v>1783.48</v>
      </c>
    </row>
    <row r="376" spans="1:17" ht="14.4" customHeight="1" x14ac:dyDescent="0.3">
      <c r="A376" s="615" t="s">
        <v>471</v>
      </c>
      <c r="B376" s="616" t="s">
        <v>3010</v>
      </c>
      <c r="C376" s="616" t="s">
        <v>3460</v>
      </c>
      <c r="D376" s="616" t="s">
        <v>3656</v>
      </c>
      <c r="E376" s="616" t="s">
        <v>3657</v>
      </c>
      <c r="F376" s="619"/>
      <c r="G376" s="619"/>
      <c r="H376" s="619"/>
      <c r="I376" s="619"/>
      <c r="J376" s="619"/>
      <c r="K376" s="619"/>
      <c r="L376" s="619"/>
      <c r="M376" s="619"/>
      <c r="N376" s="619">
        <v>2</v>
      </c>
      <c r="O376" s="619">
        <v>478.8</v>
      </c>
      <c r="P376" s="640"/>
      <c r="Q376" s="620">
        <v>239.4</v>
      </c>
    </row>
    <row r="377" spans="1:17" ht="14.4" customHeight="1" x14ac:dyDescent="0.3">
      <c r="A377" s="615" t="s">
        <v>471</v>
      </c>
      <c r="B377" s="616" t="s">
        <v>3010</v>
      </c>
      <c r="C377" s="616" t="s">
        <v>3460</v>
      </c>
      <c r="D377" s="616" t="s">
        <v>3658</v>
      </c>
      <c r="E377" s="616" t="s">
        <v>3659</v>
      </c>
      <c r="F377" s="619"/>
      <c r="G377" s="619"/>
      <c r="H377" s="619"/>
      <c r="I377" s="619"/>
      <c r="J377" s="619"/>
      <c r="K377" s="619"/>
      <c r="L377" s="619"/>
      <c r="M377" s="619"/>
      <c r="N377" s="619">
        <v>5</v>
      </c>
      <c r="O377" s="619">
        <v>56690</v>
      </c>
      <c r="P377" s="640"/>
      <c r="Q377" s="620">
        <v>11338</v>
      </c>
    </row>
    <row r="378" spans="1:17" ht="14.4" customHeight="1" x14ac:dyDescent="0.3">
      <c r="A378" s="615" t="s">
        <v>471</v>
      </c>
      <c r="B378" s="616" t="s">
        <v>3010</v>
      </c>
      <c r="C378" s="616" t="s">
        <v>3460</v>
      </c>
      <c r="D378" s="616" t="s">
        <v>3660</v>
      </c>
      <c r="E378" s="616" t="s">
        <v>3661</v>
      </c>
      <c r="F378" s="619"/>
      <c r="G378" s="619"/>
      <c r="H378" s="619"/>
      <c r="I378" s="619"/>
      <c r="J378" s="619"/>
      <c r="K378" s="619"/>
      <c r="L378" s="619"/>
      <c r="M378" s="619"/>
      <c r="N378" s="619">
        <v>1</v>
      </c>
      <c r="O378" s="619">
        <v>2707</v>
      </c>
      <c r="P378" s="640"/>
      <c r="Q378" s="620">
        <v>2707</v>
      </c>
    </row>
    <row r="379" spans="1:17" ht="14.4" customHeight="1" x14ac:dyDescent="0.3">
      <c r="A379" s="615" t="s">
        <v>471</v>
      </c>
      <c r="B379" s="616" t="s">
        <v>3010</v>
      </c>
      <c r="C379" s="616" t="s">
        <v>3460</v>
      </c>
      <c r="D379" s="616" t="s">
        <v>3662</v>
      </c>
      <c r="E379" s="616" t="s">
        <v>3663</v>
      </c>
      <c r="F379" s="619"/>
      <c r="G379" s="619"/>
      <c r="H379" s="619"/>
      <c r="I379" s="619"/>
      <c r="J379" s="619"/>
      <c r="K379" s="619"/>
      <c r="L379" s="619"/>
      <c r="M379" s="619"/>
      <c r="N379" s="619">
        <v>6</v>
      </c>
      <c r="O379" s="619">
        <v>27648</v>
      </c>
      <c r="P379" s="640"/>
      <c r="Q379" s="620">
        <v>4608</v>
      </c>
    </row>
    <row r="380" spans="1:17" ht="14.4" customHeight="1" x14ac:dyDescent="0.3">
      <c r="A380" s="615" t="s">
        <v>471</v>
      </c>
      <c r="B380" s="616" t="s">
        <v>3010</v>
      </c>
      <c r="C380" s="616" t="s">
        <v>3460</v>
      </c>
      <c r="D380" s="616" t="s">
        <v>3664</v>
      </c>
      <c r="E380" s="616" t="s">
        <v>3665</v>
      </c>
      <c r="F380" s="619"/>
      <c r="G380" s="619"/>
      <c r="H380" s="619"/>
      <c r="I380" s="619"/>
      <c r="J380" s="619"/>
      <c r="K380" s="619"/>
      <c r="L380" s="619"/>
      <c r="M380" s="619"/>
      <c r="N380" s="619">
        <v>5</v>
      </c>
      <c r="O380" s="619">
        <v>13535</v>
      </c>
      <c r="P380" s="640"/>
      <c r="Q380" s="620">
        <v>2707</v>
      </c>
    </row>
    <row r="381" spans="1:17" ht="14.4" customHeight="1" x14ac:dyDescent="0.3">
      <c r="A381" s="615" t="s">
        <v>471</v>
      </c>
      <c r="B381" s="616" t="s">
        <v>3010</v>
      </c>
      <c r="C381" s="616" t="s">
        <v>3460</v>
      </c>
      <c r="D381" s="616" t="s">
        <v>3666</v>
      </c>
      <c r="E381" s="616" t="s">
        <v>3557</v>
      </c>
      <c r="F381" s="619"/>
      <c r="G381" s="619"/>
      <c r="H381" s="619"/>
      <c r="I381" s="619"/>
      <c r="J381" s="619">
        <v>1</v>
      </c>
      <c r="K381" s="619">
        <v>1386.65</v>
      </c>
      <c r="L381" s="619"/>
      <c r="M381" s="619">
        <v>1386.65</v>
      </c>
      <c r="N381" s="619">
        <v>1</v>
      </c>
      <c r="O381" s="619">
        <v>1386.65</v>
      </c>
      <c r="P381" s="640"/>
      <c r="Q381" s="620">
        <v>1386.65</v>
      </c>
    </row>
    <row r="382" spans="1:17" ht="14.4" customHeight="1" x14ac:dyDescent="0.3">
      <c r="A382" s="615" t="s">
        <v>471</v>
      </c>
      <c r="B382" s="616" t="s">
        <v>3010</v>
      </c>
      <c r="C382" s="616" t="s">
        <v>3460</v>
      </c>
      <c r="D382" s="616" t="s">
        <v>3667</v>
      </c>
      <c r="E382" s="616" t="s">
        <v>3668</v>
      </c>
      <c r="F382" s="619"/>
      <c r="G382" s="619"/>
      <c r="H382" s="619"/>
      <c r="I382" s="619"/>
      <c r="J382" s="619">
        <v>1</v>
      </c>
      <c r="K382" s="619">
        <v>9139.69</v>
      </c>
      <c r="L382" s="619"/>
      <c r="M382" s="619">
        <v>9139.69</v>
      </c>
      <c r="N382" s="619">
        <v>1</v>
      </c>
      <c r="O382" s="619">
        <v>9139.69</v>
      </c>
      <c r="P382" s="640"/>
      <c r="Q382" s="620">
        <v>9139.69</v>
      </c>
    </row>
    <row r="383" spans="1:17" ht="14.4" customHeight="1" x14ac:dyDescent="0.3">
      <c r="A383" s="615" t="s">
        <v>471</v>
      </c>
      <c r="B383" s="616" t="s">
        <v>3010</v>
      </c>
      <c r="C383" s="616" t="s">
        <v>3460</v>
      </c>
      <c r="D383" s="616" t="s">
        <v>3669</v>
      </c>
      <c r="E383" s="616" t="s">
        <v>3670</v>
      </c>
      <c r="F383" s="619"/>
      <c r="G383" s="619"/>
      <c r="H383" s="619"/>
      <c r="I383" s="619"/>
      <c r="J383" s="619">
        <v>2</v>
      </c>
      <c r="K383" s="619">
        <v>4259.46</v>
      </c>
      <c r="L383" s="619"/>
      <c r="M383" s="619">
        <v>2129.73</v>
      </c>
      <c r="N383" s="619"/>
      <c r="O383" s="619"/>
      <c r="P383" s="640"/>
      <c r="Q383" s="620"/>
    </row>
    <row r="384" spans="1:17" ht="14.4" customHeight="1" x14ac:dyDescent="0.3">
      <c r="A384" s="615" t="s">
        <v>471</v>
      </c>
      <c r="B384" s="616" t="s">
        <v>3010</v>
      </c>
      <c r="C384" s="616" t="s">
        <v>3460</v>
      </c>
      <c r="D384" s="616" t="s">
        <v>3671</v>
      </c>
      <c r="E384" s="616" t="s">
        <v>3672</v>
      </c>
      <c r="F384" s="619">
        <v>1</v>
      </c>
      <c r="G384" s="619">
        <v>3960</v>
      </c>
      <c r="H384" s="619">
        <v>1</v>
      </c>
      <c r="I384" s="619">
        <v>3960</v>
      </c>
      <c r="J384" s="619">
        <v>1</v>
      </c>
      <c r="K384" s="619">
        <v>3960</v>
      </c>
      <c r="L384" s="619">
        <v>1</v>
      </c>
      <c r="M384" s="619">
        <v>3960</v>
      </c>
      <c r="N384" s="619"/>
      <c r="O384" s="619"/>
      <c r="P384" s="640"/>
      <c r="Q384" s="620"/>
    </row>
    <row r="385" spans="1:17" ht="14.4" customHeight="1" x14ac:dyDescent="0.3">
      <c r="A385" s="615" t="s">
        <v>471</v>
      </c>
      <c r="B385" s="616" t="s">
        <v>3010</v>
      </c>
      <c r="C385" s="616" t="s">
        <v>3460</v>
      </c>
      <c r="D385" s="616" t="s">
        <v>3673</v>
      </c>
      <c r="E385" s="616" t="s">
        <v>3672</v>
      </c>
      <c r="F385" s="619">
        <v>2</v>
      </c>
      <c r="G385" s="619">
        <v>10800</v>
      </c>
      <c r="H385" s="619">
        <v>1</v>
      </c>
      <c r="I385" s="619">
        <v>5400</v>
      </c>
      <c r="J385" s="619"/>
      <c r="K385" s="619"/>
      <c r="L385" s="619"/>
      <c r="M385" s="619"/>
      <c r="N385" s="619"/>
      <c r="O385" s="619"/>
      <c r="P385" s="640"/>
      <c r="Q385" s="620"/>
    </row>
    <row r="386" spans="1:17" ht="14.4" customHeight="1" x14ac:dyDescent="0.3">
      <c r="A386" s="615" t="s">
        <v>471</v>
      </c>
      <c r="B386" s="616" t="s">
        <v>3010</v>
      </c>
      <c r="C386" s="616" t="s">
        <v>3460</v>
      </c>
      <c r="D386" s="616" t="s">
        <v>3674</v>
      </c>
      <c r="E386" s="616" t="s">
        <v>3675</v>
      </c>
      <c r="F386" s="619">
        <v>20</v>
      </c>
      <c r="G386" s="619">
        <v>11006</v>
      </c>
      <c r="H386" s="619">
        <v>1</v>
      </c>
      <c r="I386" s="619">
        <v>550.29999999999995</v>
      </c>
      <c r="J386" s="619">
        <v>6</v>
      </c>
      <c r="K386" s="619">
        <v>3301.8</v>
      </c>
      <c r="L386" s="619">
        <v>0.3</v>
      </c>
      <c r="M386" s="619">
        <v>550.30000000000007</v>
      </c>
      <c r="N386" s="619"/>
      <c r="O386" s="619"/>
      <c r="P386" s="640"/>
      <c r="Q386" s="620"/>
    </row>
    <row r="387" spans="1:17" ht="14.4" customHeight="1" x14ac:dyDescent="0.3">
      <c r="A387" s="615" t="s">
        <v>471</v>
      </c>
      <c r="B387" s="616" t="s">
        <v>3010</v>
      </c>
      <c r="C387" s="616" t="s">
        <v>3460</v>
      </c>
      <c r="D387" s="616" t="s">
        <v>3676</v>
      </c>
      <c r="E387" s="616" t="s">
        <v>3677</v>
      </c>
      <c r="F387" s="619">
        <v>9</v>
      </c>
      <c r="G387" s="619">
        <v>5436</v>
      </c>
      <c r="H387" s="619">
        <v>1</v>
      </c>
      <c r="I387" s="619">
        <v>604</v>
      </c>
      <c r="J387" s="619"/>
      <c r="K387" s="619"/>
      <c r="L387" s="619"/>
      <c r="M387" s="619"/>
      <c r="N387" s="619"/>
      <c r="O387" s="619"/>
      <c r="P387" s="640"/>
      <c r="Q387" s="620"/>
    </row>
    <row r="388" spans="1:17" ht="14.4" customHeight="1" x14ac:dyDescent="0.3">
      <c r="A388" s="615" t="s">
        <v>471</v>
      </c>
      <c r="B388" s="616" t="s">
        <v>3010</v>
      </c>
      <c r="C388" s="616" t="s">
        <v>3460</v>
      </c>
      <c r="D388" s="616" t="s">
        <v>3678</v>
      </c>
      <c r="E388" s="616" t="s">
        <v>3679</v>
      </c>
      <c r="F388" s="619">
        <v>2</v>
      </c>
      <c r="G388" s="619">
        <v>6810.98</v>
      </c>
      <c r="H388" s="619">
        <v>1</v>
      </c>
      <c r="I388" s="619">
        <v>3405.49</v>
      </c>
      <c r="J388" s="619"/>
      <c r="K388" s="619"/>
      <c r="L388" s="619"/>
      <c r="M388" s="619"/>
      <c r="N388" s="619"/>
      <c r="O388" s="619"/>
      <c r="P388" s="640"/>
      <c r="Q388" s="620"/>
    </row>
    <row r="389" spans="1:17" ht="14.4" customHeight="1" x14ac:dyDescent="0.3">
      <c r="A389" s="615" t="s">
        <v>471</v>
      </c>
      <c r="B389" s="616" t="s">
        <v>3010</v>
      </c>
      <c r="C389" s="616" t="s">
        <v>3460</v>
      </c>
      <c r="D389" s="616" t="s">
        <v>3680</v>
      </c>
      <c r="E389" s="616" t="s">
        <v>3681</v>
      </c>
      <c r="F389" s="619"/>
      <c r="G389" s="619"/>
      <c r="H389" s="619"/>
      <c r="I389" s="619"/>
      <c r="J389" s="619">
        <v>3</v>
      </c>
      <c r="K389" s="619">
        <v>12546.12</v>
      </c>
      <c r="L389" s="619"/>
      <c r="M389" s="619">
        <v>4182.04</v>
      </c>
      <c r="N389" s="619"/>
      <c r="O389" s="619"/>
      <c r="P389" s="640"/>
      <c r="Q389" s="620"/>
    </row>
    <row r="390" spans="1:17" ht="14.4" customHeight="1" x14ac:dyDescent="0.3">
      <c r="A390" s="615" t="s">
        <v>471</v>
      </c>
      <c r="B390" s="616" t="s">
        <v>3010</v>
      </c>
      <c r="C390" s="616" t="s">
        <v>3460</v>
      </c>
      <c r="D390" s="616" t="s">
        <v>3682</v>
      </c>
      <c r="E390" s="616" t="s">
        <v>3683</v>
      </c>
      <c r="F390" s="619"/>
      <c r="G390" s="619"/>
      <c r="H390" s="619"/>
      <c r="I390" s="619"/>
      <c r="J390" s="619"/>
      <c r="K390" s="619"/>
      <c r="L390" s="619"/>
      <c r="M390" s="619"/>
      <c r="N390" s="619">
        <v>1</v>
      </c>
      <c r="O390" s="619">
        <v>4487.38</v>
      </c>
      <c r="P390" s="640"/>
      <c r="Q390" s="620">
        <v>4487.38</v>
      </c>
    </row>
    <row r="391" spans="1:17" ht="14.4" customHeight="1" x14ac:dyDescent="0.3">
      <c r="A391" s="615" t="s">
        <v>471</v>
      </c>
      <c r="B391" s="616" t="s">
        <v>3010</v>
      </c>
      <c r="C391" s="616" t="s">
        <v>3460</v>
      </c>
      <c r="D391" s="616" t="s">
        <v>3684</v>
      </c>
      <c r="E391" s="616" t="s">
        <v>3685</v>
      </c>
      <c r="F391" s="619">
        <v>1</v>
      </c>
      <c r="G391" s="619">
        <v>19433.599999999999</v>
      </c>
      <c r="H391" s="619">
        <v>1</v>
      </c>
      <c r="I391" s="619">
        <v>19433.599999999999</v>
      </c>
      <c r="J391" s="619"/>
      <c r="K391" s="619"/>
      <c r="L391" s="619"/>
      <c r="M391" s="619"/>
      <c r="N391" s="619"/>
      <c r="O391" s="619"/>
      <c r="P391" s="640"/>
      <c r="Q391" s="620"/>
    </row>
    <row r="392" spans="1:17" ht="14.4" customHeight="1" x14ac:dyDescent="0.3">
      <c r="A392" s="615" t="s">
        <v>471</v>
      </c>
      <c r="B392" s="616" t="s">
        <v>3010</v>
      </c>
      <c r="C392" s="616" t="s">
        <v>3460</v>
      </c>
      <c r="D392" s="616" t="s">
        <v>3686</v>
      </c>
      <c r="E392" s="616" t="s">
        <v>3687</v>
      </c>
      <c r="F392" s="619">
        <v>9</v>
      </c>
      <c r="G392" s="619">
        <v>1408.41</v>
      </c>
      <c r="H392" s="619">
        <v>1</v>
      </c>
      <c r="I392" s="619">
        <v>156.49</v>
      </c>
      <c r="J392" s="619">
        <v>9</v>
      </c>
      <c r="K392" s="619">
        <v>1408.41</v>
      </c>
      <c r="L392" s="619">
        <v>1</v>
      </c>
      <c r="M392" s="619">
        <v>156.49</v>
      </c>
      <c r="N392" s="619">
        <v>5</v>
      </c>
      <c r="O392" s="619">
        <v>782.45</v>
      </c>
      <c r="P392" s="640">
        <v>0.55555555555555558</v>
      </c>
      <c r="Q392" s="620">
        <v>156.49</v>
      </c>
    </row>
    <row r="393" spans="1:17" ht="14.4" customHeight="1" x14ac:dyDescent="0.3">
      <c r="A393" s="615" t="s">
        <v>471</v>
      </c>
      <c r="B393" s="616" t="s">
        <v>3010</v>
      </c>
      <c r="C393" s="616" t="s">
        <v>3460</v>
      </c>
      <c r="D393" s="616" t="s">
        <v>3688</v>
      </c>
      <c r="E393" s="616" t="s">
        <v>3687</v>
      </c>
      <c r="F393" s="619">
        <v>8</v>
      </c>
      <c r="G393" s="619">
        <v>1376.32</v>
      </c>
      <c r="H393" s="619">
        <v>1</v>
      </c>
      <c r="I393" s="619">
        <v>172.04</v>
      </c>
      <c r="J393" s="619">
        <v>3</v>
      </c>
      <c r="K393" s="619">
        <v>516.12</v>
      </c>
      <c r="L393" s="619">
        <v>0.375</v>
      </c>
      <c r="M393" s="619">
        <v>172.04</v>
      </c>
      <c r="N393" s="619">
        <v>28</v>
      </c>
      <c r="O393" s="619">
        <v>4817.12</v>
      </c>
      <c r="P393" s="640">
        <v>3.5</v>
      </c>
      <c r="Q393" s="620">
        <v>172.04</v>
      </c>
    </row>
    <row r="394" spans="1:17" ht="14.4" customHeight="1" x14ac:dyDescent="0.3">
      <c r="A394" s="615" t="s">
        <v>471</v>
      </c>
      <c r="B394" s="616" t="s">
        <v>3010</v>
      </c>
      <c r="C394" s="616" t="s">
        <v>3460</v>
      </c>
      <c r="D394" s="616" t="s">
        <v>3689</v>
      </c>
      <c r="E394" s="616" t="s">
        <v>3687</v>
      </c>
      <c r="F394" s="619"/>
      <c r="G394" s="619"/>
      <c r="H394" s="619"/>
      <c r="I394" s="619"/>
      <c r="J394" s="619"/>
      <c r="K394" s="619"/>
      <c r="L394" s="619"/>
      <c r="M394" s="619"/>
      <c r="N394" s="619">
        <v>2</v>
      </c>
      <c r="O394" s="619">
        <v>393.82</v>
      </c>
      <c r="P394" s="640"/>
      <c r="Q394" s="620">
        <v>196.91</v>
      </c>
    </row>
    <row r="395" spans="1:17" ht="14.4" customHeight="1" x14ac:dyDescent="0.3">
      <c r="A395" s="615" t="s">
        <v>471</v>
      </c>
      <c r="B395" s="616" t="s">
        <v>3010</v>
      </c>
      <c r="C395" s="616" t="s">
        <v>3460</v>
      </c>
      <c r="D395" s="616" t="s">
        <v>3690</v>
      </c>
      <c r="E395" s="616" t="s">
        <v>3687</v>
      </c>
      <c r="F395" s="619"/>
      <c r="G395" s="619"/>
      <c r="H395" s="619"/>
      <c r="I395" s="619"/>
      <c r="J395" s="619">
        <v>2</v>
      </c>
      <c r="K395" s="619">
        <v>625.96</v>
      </c>
      <c r="L395" s="619"/>
      <c r="M395" s="619">
        <v>312.98</v>
      </c>
      <c r="N395" s="619"/>
      <c r="O395" s="619"/>
      <c r="P395" s="640"/>
      <c r="Q395" s="620"/>
    </row>
    <row r="396" spans="1:17" ht="14.4" customHeight="1" x14ac:dyDescent="0.3">
      <c r="A396" s="615" t="s">
        <v>471</v>
      </c>
      <c r="B396" s="616" t="s">
        <v>3010</v>
      </c>
      <c r="C396" s="616" t="s">
        <v>3460</v>
      </c>
      <c r="D396" s="616" t="s">
        <v>3691</v>
      </c>
      <c r="E396" s="616" t="s">
        <v>3687</v>
      </c>
      <c r="F396" s="619">
        <v>1</v>
      </c>
      <c r="G396" s="619">
        <v>312.98</v>
      </c>
      <c r="H396" s="619">
        <v>1</v>
      </c>
      <c r="I396" s="619">
        <v>312.98</v>
      </c>
      <c r="J396" s="619"/>
      <c r="K396" s="619"/>
      <c r="L396" s="619"/>
      <c r="M396" s="619"/>
      <c r="N396" s="619"/>
      <c r="O396" s="619"/>
      <c r="P396" s="640"/>
      <c r="Q396" s="620"/>
    </row>
    <row r="397" spans="1:17" ht="14.4" customHeight="1" x14ac:dyDescent="0.3">
      <c r="A397" s="615" t="s">
        <v>471</v>
      </c>
      <c r="B397" s="616" t="s">
        <v>3010</v>
      </c>
      <c r="C397" s="616" t="s">
        <v>3460</v>
      </c>
      <c r="D397" s="616" t="s">
        <v>3692</v>
      </c>
      <c r="E397" s="616" t="s">
        <v>3687</v>
      </c>
      <c r="F397" s="619">
        <v>2</v>
      </c>
      <c r="G397" s="619">
        <v>750.32</v>
      </c>
      <c r="H397" s="619">
        <v>1</v>
      </c>
      <c r="I397" s="619">
        <v>375.16</v>
      </c>
      <c r="J397" s="619"/>
      <c r="K397" s="619"/>
      <c r="L397" s="619"/>
      <c r="M397" s="619"/>
      <c r="N397" s="619">
        <v>4</v>
      </c>
      <c r="O397" s="619">
        <v>1500.64</v>
      </c>
      <c r="P397" s="640">
        <v>2</v>
      </c>
      <c r="Q397" s="620">
        <v>375.16</v>
      </c>
    </row>
    <row r="398" spans="1:17" ht="14.4" customHeight="1" x14ac:dyDescent="0.3">
      <c r="A398" s="615" t="s">
        <v>471</v>
      </c>
      <c r="B398" s="616" t="s">
        <v>3010</v>
      </c>
      <c r="C398" s="616" t="s">
        <v>3460</v>
      </c>
      <c r="D398" s="616" t="s">
        <v>3693</v>
      </c>
      <c r="E398" s="616" t="s">
        <v>3687</v>
      </c>
      <c r="F398" s="619">
        <v>2</v>
      </c>
      <c r="G398" s="619">
        <v>837.38</v>
      </c>
      <c r="H398" s="619">
        <v>1</v>
      </c>
      <c r="I398" s="619">
        <v>418.69</v>
      </c>
      <c r="J398" s="619">
        <v>1</v>
      </c>
      <c r="K398" s="619">
        <v>418.69</v>
      </c>
      <c r="L398" s="619">
        <v>0.5</v>
      </c>
      <c r="M398" s="619">
        <v>418.69</v>
      </c>
      <c r="N398" s="619">
        <v>1</v>
      </c>
      <c r="O398" s="619">
        <v>418.69</v>
      </c>
      <c r="P398" s="640">
        <v>0.5</v>
      </c>
      <c r="Q398" s="620">
        <v>418.69</v>
      </c>
    </row>
    <row r="399" spans="1:17" ht="14.4" customHeight="1" x14ac:dyDescent="0.3">
      <c r="A399" s="615" t="s">
        <v>471</v>
      </c>
      <c r="B399" s="616" t="s">
        <v>3010</v>
      </c>
      <c r="C399" s="616" t="s">
        <v>3460</v>
      </c>
      <c r="D399" s="616" t="s">
        <v>3694</v>
      </c>
      <c r="E399" s="616" t="s">
        <v>3687</v>
      </c>
      <c r="F399" s="619"/>
      <c r="G399" s="619"/>
      <c r="H399" s="619"/>
      <c r="I399" s="619"/>
      <c r="J399" s="619"/>
      <c r="K399" s="619"/>
      <c r="L399" s="619"/>
      <c r="M399" s="619"/>
      <c r="N399" s="619">
        <v>1</v>
      </c>
      <c r="O399" s="619">
        <v>536.84</v>
      </c>
      <c r="P399" s="640"/>
      <c r="Q399" s="620">
        <v>536.84</v>
      </c>
    </row>
    <row r="400" spans="1:17" ht="14.4" customHeight="1" x14ac:dyDescent="0.3">
      <c r="A400" s="615" t="s">
        <v>471</v>
      </c>
      <c r="B400" s="616" t="s">
        <v>3010</v>
      </c>
      <c r="C400" s="616" t="s">
        <v>3460</v>
      </c>
      <c r="D400" s="616" t="s">
        <v>3695</v>
      </c>
      <c r="E400" s="616" t="s">
        <v>3687</v>
      </c>
      <c r="F400" s="619"/>
      <c r="G400" s="619"/>
      <c r="H400" s="619"/>
      <c r="I400" s="619"/>
      <c r="J400" s="619"/>
      <c r="K400" s="619"/>
      <c r="L400" s="619"/>
      <c r="M400" s="619"/>
      <c r="N400" s="619">
        <v>1</v>
      </c>
      <c r="O400" s="619">
        <v>519.22</v>
      </c>
      <c r="P400" s="640"/>
      <c r="Q400" s="620">
        <v>519.22</v>
      </c>
    </row>
    <row r="401" spans="1:17" ht="14.4" customHeight="1" x14ac:dyDescent="0.3">
      <c r="A401" s="615" t="s">
        <v>471</v>
      </c>
      <c r="B401" s="616" t="s">
        <v>3010</v>
      </c>
      <c r="C401" s="616" t="s">
        <v>3460</v>
      </c>
      <c r="D401" s="616" t="s">
        <v>3696</v>
      </c>
      <c r="E401" s="616" t="s">
        <v>3697</v>
      </c>
      <c r="F401" s="619"/>
      <c r="G401" s="619"/>
      <c r="H401" s="619"/>
      <c r="I401" s="619"/>
      <c r="J401" s="619">
        <v>1</v>
      </c>
      <c r="K401" s="619">
        <v>563</v>
      </c>
      <c r="L401" s="619"/>
      <c r="M401" s="619">
        <v>563</v>
      </c>
      <c r="N401" s="619"/>
      <c r="O401" s="619"/>
      <c r="P401" s="640"/>
      <c r="Q401" s="620"/>
    </row>
    <row r="402" spans="1:17" ht="14.4" customHeight="1" x14ac:dyDescent="0.3">
      <c r="A402" s="615" t="s">
        <v>471</v>
      </c>
      <c r="B402" s="616" t="s">
        <v>3010</v>
      </c>
      <c r="C402" s="616" t="s">
        <v>3460</v>
      </c>
      <c r="D402" s="616" t="s">
        <v>3698</v>
      </c>
      <c r="E402" s="616" t="s">
        <v>3699</v>
      </c>
      <c r="F402" s="619"/>
      <c r="G402" s="619"/>
      <c r="H402" s="619"/>
      <c r="I402" s="619"/>
      <c r="J402" s="619">
        <v>1</v>
      </c>
      <c r="K402" s="619">
        <v>15234.55</v>
      </c>
      <c r="L402" s="619"/>
      <c r="M402" s="619">
        <v>15234.55</v>
      </c>
      <c r="N402" s="619"/>
      <c r="O402" s="619"/>
      <c r="P402" s="640"/>
      <c r="Q402" s="620"/>
    </row>
    <row r="403" spans="1:17" ht="14.4" customHeight="1" x14ac:dyDescent="0.3">
      <c r="A403" s="615" t="s">
        <v>471</v>
      </c>
      <c r="B403" s="616" t="s">
        <v>3010</v>
      </c>
      <c r="C403" s="616" t="s">
        <v>3460</v>
      </c>
      <c r="D403" s="616" t="s">
        <v>3700</v>
      </c>
      <c r="E403" s="616" t="s">
        <v>3701</v>
      </c>
      <c r="F403" s="619">
        <v>0.1</v>
      </c>
      <c r="G403" s="619">
        <v>633.25</v>
      </c>
      <c r="H403" s="619">
        <v>1</v>
      </c>
      <c r="I403" s="619">
        <v>6332.5</v>
      </c>
      <c r="J403" s="619"/>
      <c r="K403" s="619"/>
      <c r="L403" s="619"/>
      <c r="M403" s="619"/>
      <c r="N403" s="619"/>
      <c r="O403" s="619"/>
      <c r="P403" s="640"/>
      <c r="Q403" s="620"/>
    </row>
    <row r="404" spans="1:17" ht="14.4" customHeight="1" x14ac:dyDescent="0.3">
      <c r="A404" s="615" t="s">
        <v>471</v>
      </c>
      <c r="B404" s="616" t="s">
        <v>3010</v>
      </c>
      <c r="C404" s="616" t="s">
        <v>3460</v>
      </c>
      <c r="D404" s="616" t="s">
        <v>3702</v>
      </c>
      <c r="E404" s="616" t="s">
        <v>3703</v>
      </c>
      <c r="F404" s="619"/>
      <c r="G404" s="619"/>
      <c r="H404" s="619"/>
      <c r="I404" s="619"/>
      <c r="J404" s="619">
        <v>2</v>
      </c>
      <c r="K404" s="619">
        <v>20376.98</v>
      </c>
      <c r="L404" s="619"/>
      <c r="M404" s="619">
        <v>10188.49</v>
      </c>
      <c r="N404" s="619"/>
      <c r="O404" s="619"/>
      <c r="P404" s="640"/>
      <c r="Q404" s="620"/>
    </row>
    <row r="405" spans="1:17" ht="14.4" customHeight="1" x14ac:dyDescent="0.3">
      <c r="A405" s="615" t="s">
        <v>471</v>
      </c>
      <c r="B405" s="616" t="s">
        <v>3010</v>
      </c>
      <c r="C405" s="616" t="s">
        <v>3460</v>
      </c>
      <c r="D405" s="616" t="s">
        <v>3704</v>
      </c>
      <c r="E405" s="616" t="s">
        <v>3593</v>
      </c>
      <c r="F405" s="619"/>
      <c r="G405" s="619"/>
      <c r="H405" s="619"/>
      <c r="I405" s="619"/>
      <c r="J405" s="619"/>
      <c r="K405" s="619"/>
      <c r="L405" s="619"/>
      <c r="M405" s="619"/>
      <c r="N405" s="619">
        <v>1</v>
      </c>
      <c r="O405" s="619">
        <v>1872.2</v>
      </c>
      <c r="P405" s="640"/>
      <c r="Q405" s="620">
        <v>1872.2</v>
      </c>
    </row>
    <row r="406" spans="1:17" ht="14.4" customHeight="1" x14ac:dyDescent="0.3">
      <c r="A406" s="615" t="s">
        <v>471</v>
      </c>
      <c r="B406" s="616" t="s">
        <v>3010</v>
      </c>
      <c r="C406" s="616" t="s">
        <v>3460</v>
      </c>
      <c r="D406" s="616" t="s">
        <v>3705</v>
      </c>
      <c r="E406" s="616" t="s">
        <v>3706</v>
      </c>
      <c r="F406" s="619"/>
      <c r="G406" s="619"/>
      <c r="H406" s="619"/>
      <c r="I406" s="619"/>
      <c r="J406" s="619"/>
      <c r="K406" s="619"/>
      <c r="L406" s="619"/>
      <c r="M406" s="619"/>
      <c r="N406" s="619">
        <v>1</v>
      </c>
      <c r="O406" s="619">
        <v>5486</v>
      </c>
      <c r="P406" s="640"/>
      <c r="Q406" s="620">
        <v>5486</v>
      </c>
    </row>
    <row r="407" spans="1:17" ht="14.4" customHeight="1" x14ac:dyDescent="0.3">
      <c r="A407" s="615" t="s">
        <v>471</v>
      </c>
      <c r="B407" s="616" t="s">
        <v>3010</v>
      </c>
      <c r="C407" s="616" t="s">
        <v>3460</v>
      </c>
      <c r="D407" s="616" t="s">
        <v>3707</v>
      </c>
      <c r="E407" s="616" t="s">
        <v>3708</v>
      </c>
      <c r="F407" s="619"/>
      <c r="G407" s="619"/>
      <c r="H407" s="619"/>
      <c r="I407" s="619"/>
      <c r="J407" s="619">
        <v>1</v>
      </c>
      <c r="K407" s="619">
        <v>1430.18</v>
      </c>
      <c r="L407" s="619"/>
      <c r="M407" s="619">
        <v>1430.18</v>
      </c>
      <c r="N407" s="619"/>
      <c r="O407" s="619"/>
      <c r="P407" s="640"/>
      <c r="Q407" s="620"/>
    </row>
    <row r="408" spans="1:17" ht="14.4" customHeight="1" x14ac:dyDescent="0.3">
      <c r="A408" s="615" t="s">
        <v>471</v>
      </c>
      <c r="B408" s="616" t="s">
        <v>3010</v>
      </c>
      <c r="C408" s="616" t="s">
        <v>3460</v>
      </c>
      <c r="D408" s="616" t="s">
        <v>3709</v>
      </c>
      <c r="E408" s="616" t="s">
        <v>3710</v>
      </c>
      <c r="F408" s="619"/>
      <c r="G408" s="619"/>
      <c r="H408" s="619"/>
      <c r="I408" s="619"/>
      <c r="J408" s="619"/>
      <c r="K408" s="619"/>
      <c r="L408" s="619"/>
      <c r="M408" s="619"/>
      <c r="N408" s="619">
        <v>1</v>
      </c>
      <c r="O408" s="619">
        <v>12468.8</v>
      </c>
      <c r="P408" s="640"/>
      <c r="Q408" s="620">
        <v>12468.8</v>
      </c>
    </row>
    <row r="409" spans="1:17" ht="14.4" customHeight="1" x14ac:dyDescent="0.3">
      <c r="A409" s="615" t="s">
        <v>471</v>
      </c>
      <c r="B409" s="616" t="s">
        <v>3010</v>
      </c>
      <c r="C409" s="616" t="s">
        <v>3460</v>
      </c>
      <c r="D409" s="616" t="s">
        <v>3711</v>
      </c>
      <c r="E409" s="616" t="s">
        <v>3712</v>
      </c>
      <c r="F409" s="619"/>
      <c r="G409" s="619"/>
      <c r="H409" s="619"/>
      <c r="I409" s="619"/>
      <c r="J409" s="619">
        <v>1</v>
      </c>
      <c r="K409" s="619">
        <v>1030</v>
      </c>
      <c r="L409" s="619"/>
      <c r="M409" s="619">
        <v>1030</v>
      </c>
      <c r="N409" s="619">
        <v>2</v>
      </c>
      <c r="O409" s="619">
        <v>2060</v>
      </c>
      <c r="P409" s="640"/>
      <c r="Q409" s="620">
        <v>1030</v>
      </c>
    </row>
    <row r="410" spans="1:17" ht="14.4" customHeight="1" x14ac:dyDescent="0.3">
      <c r="A410" s="615" t="s">
        <v>471</v>
      </c>
      <c r="B410" s="616" t="s">
        <v>3010</v>
      </c>
      <c r="C410" s="616" t="s">
        <v>3460</v>
      </c>
      <c r="D410" s="616" t="s">
        <v>3713</v>
      </c>
      <c r="E410" s="616" t="s">
        <v>3714</v>
      </c>
      <c r="F410" s="619"/>
      <c r="G410" s="619"/>
      <c r="H410" s="619"/>
      <c r="I410" s="619"/>
      <c r="J410" s="619">
        <v>4</v>
      </c>
      <c r="K410" s="619">
        <v>2064</v>
      </c>
      <c r="L410" s="619"/>
      <c r="M410" s="619">
        <v>516</v>
      </c>
      <c r="N410" s="619">
        <v>2</v>
      </c>
      <c r="O410" s="619">
        <v>1032</v>
      </c>
      <c r="P410" s="640"/>
      <c r="Q410" s="620">
        <v>516</v>
      </c>
    </row>
    <row r="411" spans="1:17" ht="14.4" customHeight="1" x14ac:dyDescent="0.3">
      <c r="A411" s="615" t="s">
        <v>471</v>
      </c>
      <c r="B411" s="616" t="s">
        <v>3010</v>
      </c>
      <c r="C411" s="616" t="s">
        <v>3460</v>
      </c>
      <c r="D411" s="616" t="s">
        <v>3715</v>
      </c>
      <c r="E411" s="616" t="s">
        <v>3716</v>
      </c>
      <c r="F411" s="619"/>
      <c r="G411" s="619"/>
      <c r="H411" s="619"/>
      <c r="I411" s="619"/>
      <c r="J411" s="619">
        <v>3</v>
      </c>
      <c r="K411" s="619">
        <v>1236</v>
      </c>
      <c r="L411" s="619"/>
      <c r="M411" s="619">
        <v>412</v>
      </c>
      <c r="N411" s="619">
        <v>2</v>
      </c>
      <c r="O411" s="619">
        <v>824</v>
      </c>
      <c r="P411" s="640"/>
      <c r="Q411" s="620">
        <v>412</v>
      </c>
    </row>
    <row r="412" spans="1:17" ht="14.4" customHeight="1" x14ac:dyDescent="0.3">
      <c r="A412" s="615" t="s">
        <v>471</v>
      </c>
      <c r="B412" s="616" t="s">
        <v>3010</v>
      </c>
      <c r="C412" s="616" t="s">
        <v>3460</v>
      </c>
      <c r="D412" s="616" t="s">
        <v>3717</v>
      </c>
      <c r="E412" s="616" t="s">
        <v>3718</v>
      </c>
      <c r="F412" s="619">
        <v>1</v>
      </c>
      <c r="G412" s="619">
        <v>3360</v>
      </c>
      <c r="H412" s="619">
        <v>1</v>
      </c>
      <c r="I412" s="619">
        <v>3360</v>
      </c>
      <c r="J412" s="619"/>
      <c r="K412" s="619"/>
      <c r="L412" s="619"/>
      <c r="M412" s="619"/>
      <c r="N412" s="619"/>
      <c r="O412" s="619"/>
      <c r="P412" s="640"/>
      <c r="Q412" s="620"/>
    </row>
    <row r="413" spans="1:17" ht="14.4" customHeight="1" x14ac:dyDescent="0.3">
      <c r="A413" s="615" t="s">
        <v>471</v>
      </c>
      <c r="B413" s="616" t="s">
        <v>3010</v>
      </c>
      <c r="C413" s="616" t="s">
        <v>3460</v>
      </c>
      <c r="D413" s="616" t="s">
        <v>3719</v>
      </c>
      <c r="E413" s="616" t="s">
        <v>3720</v>
      </c>
      <c r="F413" s="619"/>
      <c r="G413" s="619"/>
      <c r="H413" s="619"/>
      <c r="I413" s="619"/>
      <c r="J413" s="619">
        <v>3</v>
      </c>
      <c r="K413" s="619">
        <v>25362</v>
      </c>
      <c r="L413" s="619"/>
      <c r="M413" s="619">
        <v>8454</v>
      </c>
      <c r="N413" s="619">
        <v>2</v>
      </c>
      <c r="O413" s="619">
        <v>16908</v>
      </c>
      <c r="P413" s="640"/>
      <c r="Q413" s="620">
        <v>8454</v>
      </c>
    </row>
    <row r="414" spans="1:17" ht="14.4" customHeight="1" x14ac:dyDescent="0.3">
      <c r="A414" s="615" t="s">
        <v>471</v>
      </c>
      <c r="B414" s="616" t="s">
        <v>3010</v>
      </c>
      <c r="C414" s="616" t="s">
        <v>3460</v>
      </c>
      <c r="D414" s="616" t="s">
        <v>3721</v>
      </c>
      <c r="E414" s="616" t="s">
        <v>3722</v>
      </c>
      <c r="F414" s="619"/>
      <c r="G414" s="619"/>
      <c r="H414" s="619"/>
      <c r="I414" s="619"/>
      <c r="J414" s="619">
        <v>3</v>
      </c>
      <c r="K414" s="619">
        <v>4079.13</v>
      </c>
      <c r="L414" s="619"/>
      <c r="M414" s="619">
        <v>1359.71</v>
      </c>
      <c r="N414" s="619">
        <v>11</v>
      </c>
      <c r="O414" s="619">
        <v>14956.81</v>
      </c>
      <c r="P414" s="640"/>
      <c r="Q414" s="620">
        <v>1359.71</v>
      </c>
    </row>
    <row r="415" spans="1:17" ht="14.4" customHeight="1" x14ac:dyDescent="0.3">
      <c r="A415" s="615" t="s">
        <v>471</v>
      </c>
      <c r="B415" s="616" t="s">
        <v>3010</v>
      </c>
      <c r="C415" s="616" t="s">
        <v>3460</v>
      </c>
      <c r="D415" s="616" t="s">
        <v>3723</v>
      </c>
      <c r="E415" s="616" t="s">
        <v>3724</v>
      </c>
      <c r="F415" s="619"/>
      <c r="G415" s="619"/>
      <c r="H415" s="619"/>
      <c r="I415" s="619"/>
      <c r="J415" s="619"/>
      <c r="K415" s="619"/>
      <c r="L415" s="619"/>
      <c r="M415" s="619"/>
      <c r="N415" s="619">
        <v>1</v>
      </c>
      <c r="O415" s="619">
        <v>18507</v>
      </c>
      <c r="P415" s="640"/>
      <c r="Q415" s="620">
        <v>18507</v>
      </c>
    </row>
    <row r="416" spans="1:17" ht="14.4" customHeight="1" x14ac:dyDescent="0.3">
      <c r="A416" s="615" t="s">
        <v>471</v>
      </c>
      <c r="B416" s="616" t="s">
        <v>3010</v>
      </c>
      <c r="C416" s="616" t="s">
        <v>3460</v>
      </c>
      <c r="D416" s="616" t="s">
        <v>3725</v>
      </c>
      <c r="E416" s="616" t="s">
        <v>3726</v>
      </c>
      <c r="F416" s="619"/>
      <c r="G416" s="619"/>
      <c r="H416" s="619"/>
      <c r="I416" s="619"/>
      <c r="J416" s="619"/>
      <c r="K416" s="619"/>
      <c r="L416" s="619"/>
      <c r="M416" s="619"/>
      <c r="N416" s="619">
        <v>1</v>
      </c>
      <c r="O416" s="619">
        <v>10077.6</v>
      </c>
      <c r="P416" s="640"/>
      <c r="Q416" s="620">
        <v>10077.6</v>
      </c>
    </row>
    <row r="417" spans="1:17" ht="14.4" customHeight="1" x14ac:dyDescent="0.3">
      <c r="A417" s="615" t="s">
        <v>471</v>
      </c>
      <c r="B417" s="616" t="s">
        <v>3010</v>
      </c>
      <c r="C417" s="616" t="s">
        <v>3460</v>
      </c>
      <c r="D417" s="616" t="s">
        <v>3727</v>
      </c>
      <c r="E417" s="616" t="s">
        <v>3728</v>
      </c>
      <c r="F417" s="619"/>
      <c r="G417" s="619"/>
      <c r="H417" s="619"/>
      <c r="I417" s="619"/>
      <c r="J417" s="619">
        <v>1</v>
      </c>
      <c r="K417" s="619">
        <v>1075.75</v>
      </c>
      <c r="L417" s="619"/>
      <c r="M417" s="619">
        <v>1075.75</v>
      </c>
      <c r="N417" s="619">
        <v>9</v>
      </c>
      <c r="O417" s="619">
        <v>9681.75</v>
      </c>
      <c r="P417" s="640"/>
      <c r="Q417" s="620">
        <v>1075.75</v>
      </c>
    </row>
    <row r="418" spans="1:17" ht="14.4" customHeight="1" x14ac:dyDescent="0.3">
      <c r="A418" s="615" t="s">
        <v>471</v>
      </c>
      <c r="B418" s="616" t="s">
        <v>3010</v>
      </c>
      <c r="C418" s="616" t="s">
        <v>3460</v>
      </c>
      <c r="D418" s="616" t="s">
        <v>3729</v>
      </c>
      <c r="E418" s="616" t="s">
        <v>3730</v>
      </c>
      <c r="F418" s="619"/>
      <c r="G418" s="619"/>
      <c r="H418" s="619"/>
      <c r="I418" s="619"/>
      <c r="J418" s="619"/>
      <c r="K418" s="619"/>
      <c r="L418" s="619"/>
      <c r="M418" s="619"/>
      <c r="N418" s="619">
        <v>6</v>
      </c>
      <c r="O418" s="619">
        <v>4586.3999999999996</v>
      </c>
      <c r="P418" s="640"/>
      <c r="Q418" s="620">
        <v>764.4</v>
      </c>
    </row>
    <row r="419" spans="1:17" ht="14.4" customHeight="1" x14ac:dyDescent="0.3">
      <c r="A419" s="615" t="s">
        <v>471</v>
      </c>
      <c r="B419" s="616" t="s">
        <v>3010</v>
      </c>
      <c r="C419" s="616" t="s">
        <v>3460</v>
      </c>
      <c r="D419" s="616" t="s">
        <v>3731</v>
      </c>
      <c r="E419" s="616" t="s">
        <v>3732</v>
      </c>
      <c r="F419" s="619"/>
      <c r="G419" s="619"/>
      <c r="H419" s="619"/>
      <c r="I419" s="619"/>
      <c r="J419" s="619">
        <v>10</v>
      </c>
      <c r="K419" s="619">
        <v>16167.3</v>
      </c>
      <c r="L419" s="619"/>
      <c r="M419" s="619">
        <v>1616.73</v>
      </c>
      <c r="N419" s="619">
        <v>7</v>
      </c>
      <c r="O419" s="619">
        <v>11317.11</v>
      </c>
      <c r="P419" s="640"/>
      <c r="Q419" s="620">
        <v>1616.73</v>
      </c>
    </row>
    <row r="420" spans="1:17" ht="14.4" customHeight="1" x14ac:dyDescent="0.3">
      <c r="A420" s="615" t="s">
        <v>471</v>
      </c>
      <c r="B420" s="616" t="s">
        <v>3010</v>
      </c>
      <c r="C420" s="616" t="s">
        <v>3460</v>
      </c>
      <c r="D420" s="616" t="s">
        <v>3733</v>
      </c>
      <c r="E420" s="616" t="s">
        <v>3734</v>
      </c>
      <c r="F420" s="619"/>
      <c r="G420" s="619"/>
      <c r="H420" s="619"/>
      <c r="I420" s="619"/>
      <c r="J420" s="619">
        <v>1</v>
      </c>
      <c r="K420" s="619">
        <v>248.73</v>
      </c>
      <c r="L420" s="619"/>
      <c r="M420" s="619">
        <v>248.73</v>
      </c>
      <c r="N420" s="619"/>
      <c r="O420" s="619"/>
      <c r="P420" s="640"/>
      <c r="Q420" s="620"/>
    </row>
    <row r="421" spans="1:17" ht="14.4" customHeight="1" x14ac:dyDescent="0.3">
      <c r="A421" s="615" t="s">
        <v>471</v>
      </c>
      <c r="B421" s="616" t="s">
        <v>3010</v>
      </c>
      <c r="C421" s="616" t="s">
        <v>3460</v>
      </c>
      <c r="D421" s="616" t="s">
        <v>3735</v>
      </c>
      <c r="E421" s="616" t="s">
        <v>3736</v>
      </c>
      <c r="F421" s="619"/>
      <c r="G421" s="619"/>
      <c r="H421" s="619"/>
      <c r="I421" s="619"/>
      <c r="J421" s="619">
        <v>2</v>
      </c>
      <c r="K421" s="619">
        <v>2553.6</v>
      </c>
      <c r="L421" s="619"/>
      <c r="M421" s="619">
        <v>1276.8</v>
      </c>
      <c r="N421" s="619">
        <v>1</v>
      </c>
      <c r="O421" s="619">
        <v>1276.8</v>
      </c>
      <c r="P421" s="640"/>
      <c r="Q421" s="620">
        <v>1276.8</v>
      </c>
    </row>
    <row r="422" spans="1:17" ht="14.4" customHeight="1" x14ac:dyDescent="0.3">
      <c r="A422" s="615" t="s">
        <v>471</v>
      </c>
      <c r="B422" s="616" t="s">
        <v>3010</v>
      </c>
      <c r="C422" s="616" t="s">
        <v>3460</v>
      </c>
      <c r="D422" s="616" t="s">
        <v>3737</v>
      </c>
      <c r="E422" s="616" t="s">
        <v>3738</v>
      </c>
      <c r="F422" s="619"/>
      <c r="G422" s="619"/>
      <c r="H422" s="619"/>
      <c r="I422" s="619"/>
      <c r="J422" s="619"/>
      <c r="K422" s="619"/>
      <c r="L422" s="619"/>
      <c r="M422" s="619"/>
      <c r="N422" s="619">
        <v>9</v>
      </c>
      <c r="O422" s="619">
        <v>800.1</v>
      </c>
      <c r="P422" s="640"/>
      <c r="Q422" s="620">
        <v>88.9</v>
      </c>
    </row>
    <row r="423" spans="1:17" ht="14.4" customHeight="1" x14ac:dyDescent="0.3">
      <c r="A423" s="615" t="s">
        <v>471</v>
      </c>
      <c r="B423" s="616" t="s">
        <v>3010</v>
      </c>
      <c r="C423" s="616" t="s">
        <v>3460</v>
      </c>
      <c r="D423" s="616" t="s">
        <v>3739</v>
      </c>
      <c r="E423" s="616" t="s">
        <v>3740</v>
      </c>
      <c r="F423" s="619"/>
      <c r="G423" s="619"/>
      <c r="H423" s="619"/>
      <c r="I423" s="619"/>
      <c r="J423" s="619">
        <v>1</v>
      </c>
      <c r="K423" s="619">
        <v>1497.44</v>
      </c>
      <c r="L423" s="619"/>
      <c r="M423" s="619">
        <v>1497.44</v>
      </c>
      <c r="N423" s="619"/>
      <c r="O423" s="619"/>
      <c r="P423" s="640"/>
      <c r="Q423" s="620"/>
    </row>
    <row r="424" spans="1:17" ht="14.4" customHeight="1" x14ac:dyDescent="0.3">
      <c r="A424" s="615" t="s">
        <v>471</v>
      </c>
      <c r="B424" s="616" t="s">
        <v>3010</v>
      </c>
      <c r="C424" s="616" t="s">
        <v>3460</v>
      </c>
      <c r="D424" s="616" t="s">
        <v>3741</v>
      </c>
      <c r="E424" s="616" t="s">
        <v>3742</v>
      </c>
      <c r="F424" s="619"/>
      <c r="G424" s="619"/>
      <c r="H424" s="619"/>
      <c r="I424" s="619"/>
      <c r="J424" s="619">
        <v>1</v>
      </c>
      <c r="K424" s="619">
        <v>18285</v>
      </c>
      <c r="L424" s="619"/>
      <c r="M424" s="619">
        <v>18285</v>
      </c>
      <c r="N424" s="619"/>
      <c r="O424" s="619"/>
      <c r="P424" s="640"/>
      <c r="Q424" s="620"/>
    </row>
    <row r="425" spans="1:17" ht="14.4" customHeight="1" x14ac:dyDescent="0.3">
      <c r="A425" s="615" t="s">
        <v>471</v>
      </c>
      <c r="B425" s="616" t="s">
        <v>3010</v>
      </c>
      <c r="C425" s="616" t="s">
        <v>3460</v>
      </c>
      <c r="D425" s="616" t="s">
        <v>3743</v>
      </c>
      <c r="E425" s="616" t="s">
        <v>3744</v>
      </c>
      <c r="F425" s="619"/>
      <c r="G425" s="619"/>
      <c r="H425" s="619"/>
      <c r="I425" s="619"/>
      <c r="J425" s="619"/>
      <c r="K425" s="619"/>
      <c r="L425" s="619"/>
      <c r="M425" s="619"/>
      <c r="N425" s="619">
        <v>2.7</v>
      </c>
      <c r="O425" s="619">
        <v>180.89999999999998</v>
      </c>
      <c r="P425" s="640"/>
      <c r="Q425" s="620">
        <v>66.999999999999986</v>
      </c>
    </row>
    <row r="426" spans="1:17" ht="14.4" customHeight="1" x14ac:dyDescent="0.3">
      <c r="A426" s="615" t="s">
        <v>471</v>
      </c>
      <c r="B426" s="616" t="s">
        <v>3010</v>
      </c>
      <c r="C426" s="616" t="s">
        <v>3460</v>
      </c>
      <c r="D426" s="616" t="s">
        <v>3745</v>
      </c>
      <c r="E426" s="616" t="s">
        <v>3746</v>
      </c>
      <c r="F426" s="619"/>
      <c r="G426" s="619"/>
      <c r="H426" s="619"/>
      <c r="I426" s="619"/>
      <c r="J426" s="619"/>
      <c r="K426" s="619"/>
      <c r="L426" s="619"/>
      <c r="M426" s="619"/>
      <c r="N426" s="619">
        <v>1</v>
      </c>
      <c r="O426" s="619">
        <v>5298.34</v>
      </c>
      <c r="P426" s="640"/>
      <c r="Q426" s="620">
        <v>5298.34</v>
      </c>
    </row>
    <row r="427" spans="1:17" ht="14.4" customHeight="1" x14ac:dyDescent="0.3">
      <c r="A427" s="615" t="s">
        <v>471</v>
      </c>
      <c r="B427" s="616" t="s">
        <v>3010</v>
      </c>
      <c r="C427" s="616" t="s">
        <v>3460</v>
      </c>
      <c r="D427" s="616" t="s">
        <v>3747</v>
      </c>
      <c r="E427" s="616" t="s">
        <v>3748</v>
      </c>
      <c r="F427" s="619"/>
      <c r="G427" s="619"/>
      <c r="H427" s="619"/>
      <c r="I427" s="619"/>
      <c r="J427" s="619"/>
      <c r="K427" s="619"/>
      <c r="L427" s="619"/>
      <c r="M427" s="619"/>
      <c r="N427" s="619">
        <v>1</v>
      </c>
      <c r="O427" s="619">
        <v>521</v>
      </c>
      <c r="P427" s="640"/>
      <c r="Q427" s="620">
        <v>521</v>
      </c>
    </row>
    <row r="428" spans="1:17" ht="14.4" customHeight="1" x14ac:dyDescent="0.3">
      <c r="A428" s="615" t="s">
        <v>471</v>
      </c>
      <c r="B428" s="616" t="s">
        <v>3010</v>
      </c>
      <c r="C428" s="616" t="s">
        <v>3011</v>
      </c>
      <c r="D428" s="616" t="s">
        <v>3749</v>
      </c>
      <c r="E428" s="616" t="s">
        <v>3750</v>
      </c>
      <c r="F428" s="619">
        <v>3</v>
      </c>
      <c r="G428" s="619">
        <v>95898</v>
      </c>
      <c r="H428" s="619">
        <v>1</v>
      </c>
      <c r="I428" s="619">
        <v>31966</v>
      </c>
      <c r="J428" s="619">
        <v>3</v>
      </c>
      <c r="K428" s="619">
        <v>95898</v>
      </c>
      <c r="L428" s="619">
        <v>1</v>
      </c>
      <c r="M428" s="619">
        <v>31966</v>
      </c>
      <c r="N428" s="619">
        <v>2</v>
      </c>
      <c r="O428" s="619">
        <v>63932</v>
      </c>
      <c r="P428" s="640">
        <v>0.66666666666666663</v>
      </c>
      <c r="Q428" s="620">
        <v>31966</v>
      </c>
    </row>
    <row r="429" spans="1:17" ht="14.4" customHeight="1" x14ac:dyDescent="0.3">
      <c r="A429" s="615" t="s">
        <v>471</v>
      </c>
      <c r="B429" s="616" t="s">
        <v>3010</v>
      </c>
      <c r="C429" s="616" t="s">
        <v>3011</v>
      </c>
      <c r="D429" s="616" t="s">
        <v>3751</v>
      </c>
      <c r="E429" s="616" t="s">
        <v>3752</v>
      </c>
      <c r="F429" s="619">
        <v>1551</v>
      </c>
      <c r="G429" s="619">
        <v>18452247</v>
      </c>
      <c r="H429" s="619">
        <v>1</v>
      </c>
      <c r="I429" s="619">
        <v>11897</v>
      </c>
      <c r="J429" s="619">
        <v>1563</v>
      </c>
      <c r="K429" s="619">
        <v>18595011</v>
      </c>
      <c r="L429" s="619">
        <v>1.0077369439071566</v>
      </c>
      <c r="M429" s="619">
        <v>11897</v>
      </c>
      <c r="N429" s="619">
        <v>1769</v>
      </c>
      <c r="O429" s="619">
        <v>21045793</v>
      </c>
      <c r="P429" s="640">
        <v>1.140554480980013</v>
      </c>
      <c r="Q429" s="620">
        <v>11897</v>
      </c>
    </row>
    <row r="430" spans="1:17" ht="14.4" customHeight="1" x14ac:dyDescent="0.3">
      <c r="A430" s="615" t="s">
        <v>471</v>
      </c>
      <c r="B430" s="616" t="s">
        <v>3010</v>
      </c>
      <c r="C430" s="616" t="s">
        <v>3011</v>
      </c>
      <c r="D430" s="616" t="s">
        <v>3753</v>
      </c>
      <c r="E430" s="616" t="s">
        <v>3754</v>
      </c>
      <c r="F430" s="619">
        <v>1</v>
      </c>
      <c r="G430" s="619">
        <v>188</v>
      </c>
      <c r="H430" s="619">
        <v>1</v>
      </c>
      <c r="I430" s="619">
        <v>188</v>
      </c>
      <c r="J430" s="619"/>
      <c r="K430" s="619"/>
      <c r="L430" s="619"/>
      <c r="M430" s="619"/>
      <c r="N430" s="619"/>
      <c r="O430" s="619"/>
      <c r="P430" s="640"/>
      <c r="Q430" s="620"/>
    </row>
    <row r="431" spans="1:17" ht="14.4" customHeight="1" x14ac:dyDescent="0.3">
      <c r="A431" s="615" t="s">
        <v>471</v>
      </c>
      <c r="B431" s="616" t="s">
        <v>3010</v>
      </c>
      <c r="C431" s="616" t="s">
        <v>3011</v>
      </c>
      <c r="D431" s="616" t="s">
        <v>3755</v>
      </c>
      <c r="E431" s="616" t="s">
        <v>3756</v>
      </c>
      <c r="F431" s="619">
        <v>13</v>
      </c>
      <c r="G431" s="619">
        <v>5551</v>
      </c>
      <c r="H431" s="619">
        <v>1</v>
      </c>
      <c r="I431" s="619">
        <v>427</v>
      </c>
      <c r="J431" s="619">
        <v>15</v>
      </c>
      <c r="K431" s="619">
        <v>6435</v>
      </c>
      <c r="L431" s="619">
        <v>1.1592505854800936</v>
      </c>
      <c r="M431" s="619">
        <v>429</v>
      </c>
      <c r="N431" s="619">
        <v>9</v>
      </c>
      <c r="O431" s="619">
        <v>3915</v>
      </c>
      <c r="P431" s="640">
        <v>0.70527832822914793</v>
      </c>
      <c r="Q431" s="620">
        <v>435</v>
      </c>
    </row>
    <row r="432" spans="1:17" ht="14.4" customHeight="1" x14ac:dyDescent="0.3">
      <c r="A432" s="615" t="s">
        <v>471</v>
      </c>
      <c r="B432" s="616" t="s">
        <v>3010</v>
      </c>
      <c r="C432" s="616" t="s">
        <v>3011</v>
      </c>
      <c r="D432" s="616" t="s">
        <v>3757</v>
      </c>
      <c r="E432" s="616" t="s">
        <v>3758</v>
      </c>
      <c r="F432" s="619">
        <v>942</v>
      </c>
      <c r="G432" s="619">
        <v>360455</v>
      </c>
      <c r="H432" s="619">
        <v>1</v>
      </c>
      <c r="I432" s="619">
        <v>382.64861995753716</v>
      </c>
      <c r="J432" s="619">
        <v>948</v>
      </c>
      <c r="K432" s="619">
        <v>364032</v>
      </c>
      <c r="L432" s="619">
        <v>1.0099235688227379</v>
      </c>
      <c r="M432" s="619">
        <v>384</v>
      </c>
      <c r="N432" s="619">
        <v>1114</v>
      </c>
      <c r="O432" s="619">
        <v>434460</v>
      </c>
      <c r="P432" s="640">
        <v>1.2053099554729438</v>
      </c>
      <c r="Q432" s="620">
        <v>390</v>
      </c>
    </row>
    <row r="433" spans="1:17" ht="14.4" customHeight="1" x14ac:dyDescent="0.3">
      <c r="A433" s="615" t="s">
        <v>471</v>
      </c>
      <c r="B433" s="616" t="s">
        <v>3010</v>
      </c>
      <c r="C433" s="616" t="s">
        <v>3011</v>
      </c>
      <c r="D433" s="616" t="s">
        <v>3759</v>
      </c>
      <c r="E433" s="616" t="s">
        <v>3760</v>
      </c>
      <c r="F433" s="619">
        <v>715</v>
      </c>
      <c r="G433" s="619">
        <v>166684</v>
      </c>
      <c r="H433" s="619">
        <v>1</v>
      </c>
      <c r="I433" s="619">
        <v>233.12447552447551</v>
      </c>
      <c r="J433" s="619">
        <v>703</v>
      </c>
      <c r="K433" s="619">
        <v>165205</v>
      </c>
      <c r="L433" s="619">
        <v>0.99112692280002879</v>
      </c>
      <c r="M433" s="619">
        <v>235</v>
      </c>
      <c r="N433" s="619">
        <v>758</v>
      </c>
      <c r="O433" s="619">
        <v>190258</v>
      </c>
      <c r="P433" s="640">
        <v>1.1414292913536992</v>
      </c>
      <c r="Q433" s="620">
        <v>251</v>
      </c>
    </row>
    <row r="434" spans="1:17" ht="14.4" customHeight="1" x14ac:dyDescent="0.3">
      <c r="A434" s="615" t="s">
        <v>471</v>
      </c>
      <c r="B434" s="616" t="s">
        <v>3010</v>
      </c>
      <c r="C434" s="616" t="s">
        <v>3011</v>
      </c>
      <c r="D434" s="616" t="s">
        <v>3761</v>
      </c>
      <c r="E434" s="616" t="s">
        <v>3762</v>
      </c>
      <c r="F434" s="619">
        <v>1</v>
      </c>
      <c r="G434" s="619">
        <v>234</v>
      </c>
      <c r="H434" s="619">
        <v>1</v>
      </c>
      <c r="I434" s="619">
        <v>234</v>
      </c>
      <c r="J434" s="619"/>
      <c r="K434" s="619"/>
      <c r="L434" s="619"/>
      <c r="M434" s="619"/>
      <c r="N434" s="619"/>
      <c r="O434" s="619"/>
      <c r="P434" s="640"/>
      <c r="Q434" s="620"/>
    </row>
    <row r="435" spans="1:17" ht="14.4" customHeight="1" x14ac:dyDescent="0.3">
      <c r="A435" s="615" t="s">
        <v>471</v>
      </c>
      <c r="B435" s="616" t="s">
        <v>3010</v>
      </c>
      <c r="C435" s="616" t="s">
        <v>3011</v>
      </c>
      <c r="D435" s="616" t="s">
        <v>3763</v>
      </c>
      <c r="E435" s="616" t="s">
        <v>3764</v>
      </c>
      <c r="F435" s="619">
        <v>0</v>
      </c>
      <c r="G435" s="619">
        <v>0</v>
      </c>
      <c r="H435" s="619"/>
      <c r="I435" s="619"/>
      <c r="J435" s="619">
        <v>0</v>
      </c>
      <c r="K435" s="619">
        <v>0</v>
      </c>
      <c r="L435" s="619"/>
      <c r="M435" s="619"/>
      <c r="N435" s="619">
        <v>0</v>
      </c>
      <c r="O435" s="619">
        <v>0</v>
      </c>
      <c r="P435" s="640"/>
      <c r="Q435" s="620"/>
    </row>
    <row r="436" spans="1:17" ht="14.4" customHeight="1" x14ac:dyDescent="0.3">
      <c r="A436" s="615" t="s">
        <v>471</v>
      </c>
      <c r="B436" s="616" t="s">
        <v>3010</v>
      </c>
      <c r="C436" s="616" t="s">
        <v>3011</v>
      </c>
      <c r="D436" s="616" t="s">
        <v>3765</v>
      </c>
      <c r="E436" s="616" t="s">
        <v>3766</v>
      </c>
      <c r="F436" s="619">
        <v>761</v>
      </c>
      <c r="G436" s="619">
        <v>0</v>
      </c>
      <c r="H436" s="619"/>
      <c r="I436" s="619">
        <v>0</v>
      </c>
      <c r="J436" s="619">
        <v>698</v>
      </c>
      <c r="K436" s="619">
        <v>0</v>
      </c>
      <c r="L436" s="619"/>
      <c r="M436" s="619">
        <v>0</v>
      </c>
      <c r="N436" s="619">
        <v>798</v>
      </c>
      <c r="O436" s="619">
        <v>0</v>
      </c>
      <c r="P436" s="640"/>
      <c r="Q436" s="620">
        <v>0</v>
      </c>
    </row>
    <row r="437" spans="1:17" ht="14.4" customHeight="1" x14ac:dyDescent="0.3">
      <c r="A437" s="615" t="s">
        <v>471</v>
      </c>
      <c r="B437" s="616" t="s">
        <v>3010</v>
      </c>
      <c r="C437" s="616" t="s">
        <v>3011</v>
      </c>
      <c r="D437" s="616" t="s">
        <v>3767</v>
      </c>
      <c r="E437" s="616" t="s">
        <v>3768</v>
      </c>
      <c r="F437" s="619">
        <v>126</v>
      </c>
      <c r="G437" s="619">
        <v>0</v>
      </c>
      <c r="H437" s="619"/>
      <c r="I437" s="619">
        <v>0</v>
      </c>
      <c r="J437" s="619">
        <v>162</v>
      </c>
      <c r="K437" s="619">
        <v>0</v>
      </c>
      <c r="L437" s="619"/>
      <c r="M437" s="619">
        <v>0</v>
      </c>
      <c r="N437" s="619">
        <v>163</v>
      </c>
      <c r="O437" s="619">
        <v>0</v>
      </c>
      <c r="P437" s="640"/>
      <c r="Q437" s="620">
        <v>0</v>
      </c>
    </row>
    <row r="438" spans="1:17" ht="14.4" customHeight="1" x14ac:dyDescent="0.3">
      <c r="A438" s="615" t="s">
        <v>471</v>
      </c>
      <c r="B438" s="616" t="s">
        <v>3010</v>
      </c>
      <c r="C438" s="616" t="s">
        <v>3011</v>
      </c>
      <c r="D438" s="616" t="s">
        <v>3769</v>
      </c>
      <c r="E438" s="616" t="s">
        <v>3770</v>
      </c>
      <c r="F438" s="619">
        <v>45</v>
      </c>
      <c r="G438" s="619">
        <v>0</v>
      </c>
      <c r="H438" s="619"/>
      <c r="I438" s="619">
        <v>0</v>
      </c>
      <c r="J438" s="619">
        <v>52</v>
      </c>
      <c r="K438" s="619">
        <v>0</v>
      </c>
      <c r="L438" s="619"/>
      <c r="M438" s="619">
        <v>0</v>
      </c>
      <c r="N438" s="619">
        <v>68</v>
      </c>
      <c r="O438" s="619">
        <v>0</v>
      </c>
      <c r="P438" s="640"/>
      <c r="Q438" s="620">
        <v>0</v>
      </c>
    </row>
    <row r="439" spans="1:17" ht="14.4" customHeight="1" x14ac:dyDescent="0.3">
      <c r="A439" s="615" t="s">
        <v>471</v>
      </c>
      <c r="B439" s="616" t="s">
        <v>3010</v>
      </c>
      <c r="C439" s="616" t="s">
        <v>3011</v>
      </c>
      <c r="D439" s="616" t="s">
        <v>3771</v>
      </c>
      <c r="E439" s="616" t="s">
        <v>3772</v>
      </c>
      <c r="F439" s="619">
        <v>9</v>
      </c>
      <c r="G439" s="619">
        <v>0</v>
      </c>
      <c r="H439" s="619"/>
      <c r="I439" s="619">
        <v>0</v>
      </c>
      <c r="J439" s="619">
        <v>2</v>
      </c>
      <c r="K439" s="619">
        <v>0</v>
      </c>
      <c r="L439" s="619"/>
      <c r="M439" s="619">
        <v>0</v>
      </c>
      <c r="N439" s="619">
        <v>11</v>
      </c>
      <c r="O439" s="619">
        <v>0</v>
      </c>
      <c r="P439" s="640"/>
      <c r="Q439" s="620">
        <v>0</v>
      </c>
    </row>
    <row r="440" spans="1:17" ht="14.4" customHeight="1" x14ac:dyDescent="0.3">
      <c r="A440" s="615" t="s">
        <v>471</v>
      </c>
      <c r="B440" s="616" t="s">
        <v>3010</v>
      </c>
      <c r="C440" s="616" t="s">
        <v>3011</v>
      </c>
      <c r="D440" s="616" t="s">
        <v>3773</v>
      </c>
      <c r="E440" s="616" t="s">
        <v>3770</v>
      </c>
      <c r="F440" s="619">
        <v>1</v>
      </c>
      <c r="G440" s="619">
        <v>0</v>
      </c>
      <c r="H440" s="619"/>
      <c r="I440" s="619">
        <v>0</v>
      </c>
      <c r="J440" s="619"/>
      <c r="K440" s="619"/>
      <c r="L440" s="619"/>
      <c r="M440" s="619"/>
      <c r="N440" s="619"/>
      <c r="O440" s="619"/>
      <c r="P440" s="640"/>
      <c r="Q440" s="620"/>
    </row>
    <row r="441" spans="1:17" ht="14.4" customHeight="1" x14ac:dyDescent="0.3">
      <c r="A441" s="615" t="s">
        <v>471</v>
      </c>
      <c r="B441" s="616" t="s">
        <v>3010</v>
      </c>
      <c r="C441" s="616" t="s">
        <v>3011</v>
      </c>
      <c r="D441" s="616" t="s">
        <v>3774</v>
      </c>
      <c r="E441" s="616" t="s">
        <v>3775</v>
      </c>
      <c r="F441" s="619">
        <v>1</v>
      </c>
      <c r="G441" s="619">
        <v>706</v>
      </c>
      <c r="H441" s="619">
        <v>1</v>
      </c>
      <c r="I441" s="619">
        <v>706</v>
      </c>
      <c r="J441" s="619"/>
      <c r="K441" s="619"/>
      <c r="L441" s="619"/>
      <c r="M441" s="619"/>
      <c r="N441" s="619"/>
      <c r="O441" s="619"/>
      <c r="P441" s="640"/>
      <c r="Q441" s="620"/>
    </row>
    <row r="442" spans="1:17" ht="14.4" customHeight="1" x14ac:dyDescent="0.3">
      <c r="A442" s="615" t="s">
        <v>471</v>
      </c>
      <c r="B442" s="616" t="s">
        <v>3010</v>
      </c>
      <c r="C442" s="616" t="s">
        <v>3011</v>
      </c>
      <c r="D442" s="616" t="s">
        <v>3776</v>
      </c>
      <c r="E442" s="616" t="s">
        <v>3770</v>
      </c>
      <c r="F442" s="619">
        <v>23</v>
      </c>
      <c r="G442" s="619">
        <v>0</v>
      </c>
      <c r="H442" s="619"/>
      <c r="I442" s="619">
        <v>0</v>
      </c>
      <c r="J442" s="619">
        <v>22</v>
      </c>
      <c r="K442" s="619">
        <v>0</v>
      </c>
      <c r="L442" s="619"/>
      <c r="M442" s="619">
        <v>0</v>
      </c>
      <c r="N442" s="619">
        <v>30</v>
      </c>
      <c r="O442" s="619">
        <v>0</v>
      </c>
      <c r="P442" s="640"/>
      <c r="Q442" s="620">
        <v>0</v>
      </c>
    </row>
    <row r="443" spans="1:17" ht="14.4" customHeight="1" x14ac:dyDescent="0.3">
      <c r="A443" s="615" t="s">
        <v>471</v>
      </c>
      <c r="B443" s="616" t="s">
        <v>3010</v>
      </c>
      <c r="C443" s="616" t="s">
        <v>3011</v>
      </c>
      <c r="D443" s="616" t="s">
        <v>3777</v>
      </c>
      <c r="E443" s="616" t="s">
        <v>3778</v>
      </c>
      <c r="F443" s="619">
        <v>40</v>
      </c>
      <c r="G443" s="619">
        <v>219040</v>
      </c>
      <c r="H443" s="619">
        <v>1</v>
      </c>
      <c r="I443" s="619">
        <v>5476</v>
      </c>
      <c r="J443" s="619">
        <v>33</v>
      </c>
      <c r="K443" s="619">
        <v>180708</v>
      </c>
      <c r="L443" s="619">
        <v>0.82499999999999996</v>
      </c>
      <c r="M443" s="619">
        <v>5476</v>
      </c>
      <c r="N443" s="619">
        <v>25</v>
      </c>
      <c r="O443" s="619">
        <v>136900</v>
      </c>
      <c r="P443" s="640">
        <v>0.625</v>
      </c>
      <c r="Q443" s="620">
        <v>5476</v>
      </c>
    </row>
    <row r="444" spans="1:17" ht="14.4" customHeight="1" x14ac:dyDescent="0.3">
      <c r="A444" s="615" t="s">
        <v>471</v>
      </c>
      <c r="B444" s="616" t="s">
        <v>3010</v>
      </c>
      <c r="C444" s="616" t="s">
        <v>3011</v>
      </c>
      <c r="D444" s="616" t="s">
        <v>3779</v>
      </c>
      <c r="E444" s="616" t="s">
        <v>3780</v>
      </c>
      <c r="F444" s="619">
        <v>2</v>
      </c>
      <c r="G444" s="619">
        <v>0</v>
      </c>
      <c r="H444" s="619"/>
      <c r="I444" s="619">
        <v>0</v>
      </c>
      <c r="J444" s="619">
        <v>1</v>
      </c>
      <c r="K444" s="619">
        <v>0</v>
      </c>
      <c r="L444" s="619"/>
      <c r="M444" s="619">
        <v>0</v>
      </c>
      <c r="N444" s="619">
        <v>1</v>
      </c>
      <c r="O444" s="619">
        <v>0</v>
      </c>
      <c r="P444" s="640"/>
      <c r="Q444" s="620">
        <v>0</v>
      </c>
    </row>
    <row r="445" spans="1:17" ht="14.4" customHeight="1" x14ac:dyDescent="0.3">
      <c r="A445" s="615" t="s">
        <v>471</v>
      </c>
      <c r="B445" s="616" t="s">
        <v>3010</v>
      </c>
      <c r="C445" s="616" t="s">
        <v>3011</v>
      </c>
      <c r="D445" s="616" t="s">
        <v>3781</v>
      </c>
      <c r="E445" s="616" t="s">
        <v>3782</v>
      </c>
      <c r="F445" s="619">
        <v>104</v>
      </c>
      <c r="G445" s="619">
        <v>2492464</v>
      </c>
      <c r="H445" s="619">
        <v>1</v>
      </c>
      <c r="I445" s="619">
        <v>23966</v>
      </c>
      <c r="J445" s="619">
        <v>115</v>
      </c>
      <c r="K445" s="619">
        <v>2756090</v>
      </c>
      <c r="L445" s="619">
        <v>1.1057692307692308</v>
      </c>
      <c r="M445" s="619">
        <v>23966</v>
      </c>
      <c r="N445" s="619">
        <v>71</v>
      </c>
      <c r="O445" s="619">
        <v>1701586</v>
      </c>
      <c r="P445" s="640">
        <v>0.68269230769230771</v>
      </c>
      <c r="Q445" s="620">
        <v>23966</v>
      </c>
    </row>
    <row r="446" spans="1:17" ht="14.4" customHeight="1" x14ac:dyDescent="0.3">
      <c r="A446" s="615" t="s">
        <v>471</v>
      </c>
      <c r="B446" s="616" t="s">
        <v>3010</v>
      </c>
      <c r="C446" s="616" t="s">
        <v>3011</v>
      </c>
      <c r="D446" s="616" t="s">
        <v>3783</v>
      </c>
      <c r="E446" s="616" t="s">
        <v>3784</v>
      </c>
      <c r="F446" s="619">
        <v>292</v>
      </c>
      <c r="G446" s="619">
        <v>1949392</v>
      </c>
      <c r="H446" s="619">
        <v>1</v>
      </c>
      <c r="I446" s="619">
        <v>6676</v>
      </c>
      <c r="J446" s="619">
        <v>230</v>
      </c>
      <c r="K446" s="619">
        <v>1535480</v>
      </c>
      <c r="L446" s="619">
        <v>0.78767123287671237</v>
      </c>
      <c r="M446" s="619">
        <v>6676</v>
      </c>
      <c r="N446" s="619">
        <v>185</v>
      </c>
      <c r="O446" s="619">
        <v>1235060</v>
      </c>
      <c r="P446" s="640">
        <v>0.63356164383561642</v>
      </c>
      <c r="Q446" s="620">
        <v>6676</v>
      </c>
    </row>
    <row r="447" spans="1:17" ht="14.4" customHeight="1" x14ac:dyDescent="0.3">
      <c r="A447" s="615" t="s">
        <v>471</v>
      </c>
      <c r="B447" s="616" t="s">
        <v>3010</v>
      </c>
      <c r="C447" s="616" t="s">
        <v>3011</v>
      </c>
      <c r="D447" s="616" t="s">
        <v>3785</v>
      </c>
      <c r="E447" s="616" t="s">
        <v>3770</v>
      </c>
      <c r="F447" s="619">
        <v>6</v>
      </c>
      <c r="G447" s="619">
        <v>0</v>
      </c>
      <c r="H447" s="619"/>
      <c r="I447" s="619">
        <v>0</v>
      </c>
      <c r="J447" s="619">
        <v>11</v>
      </c>
      <c r="K447" s="619">
        <v>0</v>
      </c>
      <c r="L447" s="619"/>
      <c r="M447" s="619">
        <v>0</v>
      </c>
      <c r="N447" s="619">
        <v>8</v>
      </c>
      <c r="O447" s="619">
        <v>0</v>
      </c>
      <c r="P447" s="640"/>
      <c r="Q447" s="620">
        <v>0</v>
      </c>
    </row>
    <row r="448" spans="1:17" ht="14.4" customHeight="1" x14ac:dyDescent="0.3">
      <c r="A448" s="615" t="s">
        <v>471</v>
      </c>
      <c r="B448" s="616" t="s">
        <v>3010</v>
      </c>
      <c r="C448" s="616" t="s">
        <v>3011</v>
      </c>
      <c r="D448" s="616" t="s">
        <v>3786</v>
      </c>
      <c r="E448" s="616" t="s">
        <v>3787</v>
      </c>
      <c r="F448" s="619">
        <v>34</v>
      </c>
      <c r="G448" s="619">
        <v>950844</v>
      </c>
      <c r="H448" s="619">
        <v>1</v>
      </c>
      <c r="I448" s="619">
        <v>27966</v>
      </c>
      <c r="J448" s="619">
        <v>65</v>
      </c>
      <c r="K448" s="619">
        <v>1817790</v>
      </c>
      <c r="L448" s="619">
        <v>1.911764705882353</v>
      </c>
      <c r="M448" s="619">
        <v>27966</v>
      </c>
      <c r="N448" s="619">
        <v>41</v>
      </c>
      <c r="O448" s="619">
        <v>1146606</v>
      </c>
      <c r="P448" s="640">
        <v>1.2058823529411764</v>
      </c>
      <c r="Q448" s="620">
        <v>27966</v>
      </c>
    </row>
    <row r="449" spans="1:17" ht="14.4" customHeight="1" x14ac:dyDescent="0.3">
      <c r="A449" s="615" t="s">
        <v>471</v>
      </c>
      <c r="B449" s="616" t="s">
        <v>3010</v>
      </c>
      <c r="C449" s="616" t="s">
        <v>3011</v>
      </c>
      <c r="D449" s="616" t="s">
        <v>3012</v>
      </c>
      <c r="E449" s="616" t="s">
        <v>3013</v>
      </c>
      <c r="F449" s="619">
        <v>332</v>
      </c>
      <c r="G449" s="619">
        <v>114996</v>
      </c>
      <c r="H449" s="619">
        <v>1</v>
      </c>
      <c r="I449" s="619">
        <v>346.37349397590361</v>
      </c>
      <c r="J449" s="619">
        <v>362</v>
      </c>
      <c r="K449" s="619">
        <v>126338</v>
      </c>
      <c r="L449" s="619">
        <v>1.0986295175484364</v>
      </c>
      <c r="M449" s="619">
        <v>349</v>
      </c>
      <c r="N449" s="619">
        <v>388</v>
      </c>
      <c r="O449" s="619">
        <v>144336</v>
      </c>
      <c r="P449" s="640">
        <v>1.2551393091933631</v>
      </c>
      <c r="Q449" s="620">
        <v>372</v>
      </c>
    </row>
    <row r="450" spans="1:17" ht="14.4" customHeight="1" x14ac:dyDescent="0.3">
      <c r="A450" s="615" t="s">
        <v>471</v>
      </c>
      <c r="B450" s="616" t="s">
        <v>3010</v>
      </c>
      <c r="C450" s="616" t="s">
        <v>3011</v>
      </c>
      <c r="D450" s="616" t="s">
        <v>3788</v>
      </c>
      <c r="E450" s="616" t="s">
        <v>3789</v>
      </c>
      <c r="F450" s="619">
        <v>44</v>
      </c>
      <c r="G450" s="619">
        <v>48994</v>
      </c>
      <c r="H450" s="619">
        <v>1</v>
      </c>
      <c r="I450" s="619">
        <v>1113.5</v>
      </c>
      <c r="J450" s="619">
        <v>11</v>
      </c>
      <c r="K450" s="619">
        <v>12320</v>
      </c>
      <c r="L450" s="619">
        <v>0.25145936237090255</v>
      </c>
      <c r="M450" s="619">
        <v>1120</v>
      </c>
      <c r="N450" s="619">
        <v>5</v>
      </c>
      <c r="O450" s="619">
        <v>5760</v>
      </c>
      <c r="P450" s="640">
        <v>0.11756541617340899</v>
      </c>
      <c r="Q450" s="620">
        <v>1152</v>
      </c>
    </row>
    <row r="451" spans="1:17" ht="14.4" customHeight="1" x14ac:dyDescent="0.3">
      <c r="A451" s="615" t="s">
        <v>471</v>
      </c>
      <c r="B451" s="616" t="s">
        <v>3010</v>
      </c>
      <c r="C451" s="616" t="s">
        <v>3011</v>
      </c>
      <c r="D451" s="616" t="s">
        <v>3790</v>
      </c>
      <c r="E451" s="616" t="s">
        <v>3791</v>
      </c>
      <c r="F451" s="619">
        <v>8</v>
      </c>
      <c r="G451" s="619">
        <v>0</v>
      </c>
      <c r="H451" s="619"/>
      <c r="I451" s="619">
        <v>0</v>
      </c>
      <c r="J451" s="619">
        <v>11</v>
      </c>
      <c r="K451" s="619">
        <v>0</v>
      </c>
      <c r="L451" s="619"/>
      <c r="M451" s="619">
        <v>0</v>
      </c>
      <c r="N451" s="619">
        <v>20</v>
      </c>
      <c r="O451" s="619">
        <v>0</v>
      </c>
      <c r="P451" s="640"/>
      <c r="Q451" s="620">
        <v>0</v>
      </c>
    </row>
    <row r="452" spans="1:17" ht="14.4" customHeight="1" x14ac:dyDescent="0.3">
      <c r="A452" s="615" t="s">
        <v>471</v>
      </c>
      <c r="B452" s="616" t="s">
        <v>3010</v>
      </c>
      <c r="C452" s="616" t="s">
        <v>3011</v>
      </c>
      <c r="D452" s="616" t="s">
        <v>3792</v>
      </c>
      <c r="E452" s="616" t="s">
        <v>3793</v>
      </c>
      <c r="F452" s="619">
        <v>2</v>
      </c>
      <c r="G452" s="619">
        <v>1220</v>
      </c>
      <c r="H452" s="619">
        <v>1</v>
      </c>
      <c r="I452" s="619">
        <v>610</v>
      </c>
      <c r="J452" s="619">
        <v>1</v>
      </c>
      <c r="K452" s="619">
        <v>611</v>
      </c>
      <c r="L452" s="619">
        <v>0.50081967213114753</v>
      </c>
      <c r="M452" s="619">
        <v>611</v>
      </c>
      <c r="N452" s="619">
        <v>1</v>
      </c>
      <c r="O452" s="619">
        <v>623</v>
      </c>
      <c r="P452" s="640">
        <v>0.51065573770491801</v>
      </c>
      <c r="Q452" s="620">
        <v>623</v>
      </c>
    </row>
    <row r="453" spans="1:17" ht="14.4" customHeight="1" x14ac:dyDescent="0.3">
      <c r="A453" s="615" t="s">
        <v>471</v>
      </c>
      <c r="B453" s="616" t="s">
        <v>3010</v>
      </c>
      <c r="C453" s="616" t="s">
        <v>3011</v>
      </c>
      <c r="D453" s="616" t="s">
        <v>3794</v>
      </c>
      <c r="E453" s="616" t="s">
        <v>3770</v>
      </c>
      <c r="F453" s="619">
        <v>1</v>
      </c>
      <c r="G453" s="619">
        <v>0</v>
      </c>
      <c r="H453" s="619"/>
      <c r="I453" s="619">
        <v>0</v>
      </c>
      <c r="J453" s="619">
        <v>2</v>
      </c>
      <c r="K453" s="619">
        <v>0</v>
      </c>
      <c r="L453" s="619"/>
      <c r="M453" s="619">
        <v>0</v>
      </c>
      <c r="N453" s="619">
        <v>2</v>
      </c>
      <c r="O453" s="619">
        <v>0</v>
      </c>
      <c r="P453" s="640"/>
      <c r="Q453" s="620">
        <v>0</v>
      </c>
    </row>
    <row r="454" spans="1:17" ht="14.4" customHeight="1" x14ac:dyDescent="0.3">
      <c r="A454" s="615" t="s">
        <v>471</v>
      </c>
      <c r="B454" s="616" t="s">
        <v>3795</v>
      </c>
      <c r="C454" s="616" t="s">
        <v>3011</v>
      </c>
      <c r="D454" s="616" t="s">
        <v>3049</v>
      </c>
      <c r="E454" s="616" t="s">
        <v>3050</v>
      </c>
      <c r="F454" s="619"/>
      <c r="G454" s="619"/>
      <c r="H454" s="619"/>
      <c r="I454" s="619"/>
      <c r="J454" s="619">
        <v>1</v>
      </c>
      <c r="K454" s="619">
        <v>696</v>
      </c>
      <c r="L454" s="619"/>
      <c r="M454" s="619">
        <v>696</v>
      </c>
      <c r="N454" s="619">
        <v>1</v>
      </c>
      <c r="O454" s="619">
        <v>709</v>
      </c>
      <c r="P454" s="640"/>
      <c r="Q454" s="620">
        <v>709</v>
      </c>
    </row>
    <row r="455" spans="1:17" ht="14.4" customHeight="1" x14ac:dyDescent="0.3">
      <c r="A455" s="615" t="s">
        <v>471</v>
      </c>
      <c r="B455" s="616" t="s">
        <v>3795</v>
      </c>
      <c r="C455" s="616" t="s">
        <v>3011</v>
      </c>
      <c r="D455" s="616" t="s">
        <v>3796</v>
      </c>
      <c r="E455" s="616" t="s">
        <v>3797</v>
      </c>
      <c r="F455" s="619"/>
      <c r="G455" s="619"/>
      <c r="H455" s="619"/>
      <c r="I455" s="619"/>
      <c r="J455" s="619"/>
      <c r="K455" s="619"/>
      <c r="L455" s="619"/>
      <c r="M455" s="619"/>
      <c r="N455" s="619">
        <v>1</v>
      </c>
      <c r="O455" s="619">
        <v>5923</v>
      </c>
      <c r="P455" s="640"/>
      <c r="Q455" s="620">
        <v>5923</v>
      </c>
    </row>
    <row r="456" spans="1:17" ht="14.4" customHeight="1" x14ac:dyDescent="0.3">
      <c r="A456" s="615" t="s">
        <v>471</v>
      </c>
      <c r="B456" s="616" t="s">
        <v>3795</v>
      </c>
      <c r="C456" s="616" t="s">
        <v>3011</v>
      </c>
      <c r="D456" s="616" t="s">
        <v>3289</v>
      </c>
      <c r="E456" s="616" t="s">
        <v>3290</v>
      </c>
      <c r="F456" s="619"/>
      <c r="G456" s="619"/>
      <c r="H456" s="619"/>
      <c r="I456" s="619"/>
      <c r="J456" s="619"/>
      <c r="K456" s="619"/>
      <c r="L456" s="619"/>
      <c r="M456" s="619"/>
      <c r="N456" s="619">
        <v>2</v>
      </c>
      <c r="O456" s="619">
        <v>348</v>
      </c>
      <c r="P456" s="640"/>
      <c r="Q456" s="620">
        <v>174</v>
      </c>
    </row>
    <row r="457" spans="1:17" ht="14.4" customHeight="1" x14ac:dyDescent="0.3">
      <c r="A457" s="615" t="s">
        <v>471</v>
      </c>
      <c r="B457" s="616" t="s">
        <v>3795</v>
      </c>
      <c r="C457" s="616" t="s">
        <v>3011</v>
      </c>
      <c r="D457" s="616" t="s">
        <v>3798</v>
      </c>
      <c r="E457" s="616" t="s">
        <v>3799</v>
      </c>
      <c r="F457" s="619">
        <v>1</v>
      </c>
      <c r="G457" s="619">
        <v>1363</v>
      </c>
      <c r="H457" s="619">
        <v>1</v>
      </c>
      <c r="I457" s="619">
        <v>1363</v>
      </c>
      <c r="J457" s="619"/>
      <c r="K457" s="619"/>
      <c r="L457" s="619"/>
      <c r="M457" s="619"/>
      <c r="N457" s="619"/>
      <c r="O457" s="619"/>
      <c r="P457" s="640"/>
      <c r="Q457" s="620"/>
    </row>
    <row r="458" spans="1:17" ht="14.4" customHeight="1" x14ac:dyDescent="0.3">
      <c r="A458" s="615" t="s">
        <v>471</v>
      </c>
      <c r="B458" s="616" t="s">
        <v>3795</v>
      </c>
      <c r="C458" s="616" t="s">
        <v>3011</v>
      </c>
      <c r="D458" s="616" t="s">
        <v>3800</v>
      </c>
      <c r="E458" s="616" t="s">
        <v>3801</v>
      </c>
      <c r="F458" s="619"/>
      <c r="G458" s="619"/>
      <c r="H458" s="619"/>
      <c r="I458" s="619"/>
      <c r="J458" s="619"/>
      <c r="K458" s="619"/>
      <c r="L458" s="619"/>
      <c r="M458" s="619"/>
      <c r="N458" s="619">
        <v>4</v>
      </c>
      <c r="O458" s="619">
        <v>4124</v>
      </c>
      <c r="P458" s="640"/>
      <c r="Q458" s="620">
        <v>1031</v>
      </c>
    </row>
    <row r="459" spans="1:17" ht="14.4" customHeight="1" x14ac:dyDescent="0.3">
      <c r="A459" s="615" t="s">
        <v>471</v>
      </c>
      <c r="B459" s="616" t="s">
        <v>3795</v>
      </c>
      <c r="C459" s="616" t="s">
        <v>3011</v>
      </c>
      <c r="D459" s="616" t="s">
        <v>3802</v>
      </c>
      <c r="E459" s="616" t="s">
        <v>3803</v>
      </c>
      <c r="F459" s="619"/>
      <c r="G459" s="619"/>
      <c r="H459" s="619"/>
      <c r="I459" s="619"/>
      <c r="J459" s="619"/>
      <c r="K459" s="619"/>
      <c r="L459" s="619"/>
      <c r="M459" s="619"/>
      <c r="N459" s="619">
        <v>1</v>
      </c>
      <c r="O459" s="619">
        <v>1677</v>
      </c>
      <c r="P459" s="640"/>
      <c r="Q459" s="620">
        <v>1677</v>
      </c>
    </row>
    <row r="460" spans="1:17" ht="14.4" customHeight="1" x14ac:dyDescent="0.3">
      <c r="A460" s="615" t="s">
        <v>471</v>
      </c>
      <c r="B460" s="616" t="s">
        <v>3795</v>
      </c>
      <c r="C460" s="616" t="s">
        <v>3011</v>
      </c>
      <c r="D460" s="616" t="s">
        <v>3804</v>
      </c>
      <c r="E460" s="616" t="s">
        <v>3805</v>
      </c>
      <c r="F460" s="619">
        <v>6</v>
      </c>
      <c r="G460" s="619">
        <v>396</v>
      </c>
      <c r="H460" s="619">
        <v>1</v>
      </c>
      <c r="I460" s="619">
        <v>66</v>
      </c>
      <c r="J460" s="619"/>
      <c r="K460" s="619"/>
      <c r="L460" s="619"/>
      <c r="M460" s="619"/>
      <c r="N460" s="619"/>
      <c r="O460" s="619"/>
      <c r="P460" s="640"/>
      <c r="Q460" s="620"/>
    </row>
    <row r="461" spans="1:17" ht="14.4" customHeight="1" x14ac:dyDescent="0.3">
      <c r="A461" s="615" t="s">
        <v>471</v>
      </c>
      <c r="B461" s="616" t="s">
        <v>3795</v>
      </c>
      <c r="C461" s="616" t="s">
        <v>3011</v>
      </c>
      <c r="D461" s="616" t="s">
        <v>3806</v>
      </c>
      <c r="E461" s="616" t="s">
        <v>3807</v>
      </c>
      <c r="F461" s="619">
        <v>1</v>
      </c>
      <c r="G461" s="619">
        <v>668</v>
      </c>
      <c r="H461" s="619">
        <v>1</v>
      </c>
      <c r="I461" s="619">
        <v>668</v>
      </c>
      <c r="J461" s="619">
        <v>1</v>
      </c>
      <c r="K461" s="619">
        <v>675</v>
      </c>
      <c r="L461" s="619">
        <v>1.0104790419161678</v>
      </c>
      <c r="M461" s="619">
        <v>675</v>
      </c>
      <c r="N461" s="619">
        <v>1</v>
      </c>
      <c r="O461" s="619">
        <v>688</v>
      </c>
      <c r="P461" s="640">
        <v>1.0299401197604789</v>
      </c>
      <c r="Q461" s="620">
        <v>688</v>
      </c>
    </row>
    <row r="462" spans="1:17" ht="14.4" customHeight="1" x14ac:dyDescent="0.3">
      <c r="A462" s="615" t="s">
        <v>471</v>
      </c>
      <c r="B462" s="616" t="s">
        <v>3795</v>
      </c>
      <c r="C462" s="616" t="s">
        <v>3011</v>
      </c>
      <c r="D462" s="616" t="s">
        <v>3107</v>
      </c>
      <c r="E462" s="616" t="s">
        <v>3108</v>
      </c>
      <c r="F462" s="619"/>
      <c r="G462" s="619"/>
      <c r="H462" s="619"/>
      <c r="I462" s="619"/>
      <c r="J462" s="619"/>
      <c r="K462" s="619"/>
      <c r="L462" s="619"/>
      <c r="M462" s="619"/>
      <c r="N462" s="619">
        <v>0</v>
      </c>
      <c r="O462" s="619">
        <v>0</v>
      </c>
      <c r="P462" s="640"/>
      <c r="Q462" s="620"/>
    </row>
    <row r="463" spans="1:17" ht="14.4" customHeight="1" x14ac:dyDescent="0.3">
      <c r="A463" s="615" t="s">
        <v>471</v>
      </c>
      <c r="B463" s="616" t="s">
        <v>3795</v>
      </c>
      <c r="C463" s="616" t="s">
        <v>3011</v>
      </c>
      <c r="D463" s="616" t="s">
        <v>3808</v>
      </c>
      <c r="E463" s="616" t="s">
        <v>3809</v>
      </c>
      <c r="F463" s="619"/>
      <c r="G463" s="619"/>
      <c r="H463" s="619"/>
      <c r="I463" s="619"/>
      <c r="J463" s="619">
        <v>1</v>
      </c>
      <c r="K463" s="619">
        <v>2654</v>
      </c>
      <c r="L463" s="619"/>
      <c r="M463" s="619">
        <v>2654</v>
      </c>
      <c r="N463" s="619"/>
      <c r="O463" s="619"/>
      <c r="P463" s="640"/>
      <c r="Q463" s="620"/>
    </row>
    <row r="464" spans="1:17" ht="14.4" customHeight="1" x14ac:dyDescent="0.3">
      <c r="A464" s="615" t="s">
        <v>471</v>
      </c>
      <c r="B464" s="616" t="s">
        <v>3795</v>
      </c>
      <c r="C464" s="616" t="s">
        <v>3011</v>
      </c>
      <c r="D464" s="616" t="s">
        <v>3810</v>
      </c>
      <c r="E464" s="616" t="s">
        <v>3811</v>
      </c>
      <c r="F464" s="619">
        <v>1</v>
      </c>
      <c r="G464" s="619">
        <v>1653</v>
      </c>
      <c r="H464" s="619">
        <v>1</v>
      </c>
      <c r="I464" s="619">
        <v>1653</v>
      </c>
      <c r="J464" s="619"/>
      <c r="K464" s="619"/>
      <c r="L464" s="619"/>
      <c r="M464" s="619"/>
      <c r="N464" s="619">
        <v>1</v>
      </c>
      <c r="O464" s="619">
        <v>1734</v>
      </c>
      <c r="P464" s="640">
        <v>1.0490018148820326</v>
      </c>
      <c r="Q464" s="620">
        <v>1734</v>
      </c>
    </row>
    <row r="465" spans="1:17" ht="14.4" customHeight="1" x14ac:dyDescent="0.3">
      <c r="A465" s="615" t="s">
        <v>471</v>
      </c>
      <c r="B465" s="616" t="s">
        <v>3795</v>
      </c>
      <c r="C465" s="616" t="s">
        <v>3011</v>
      </c>
      <c r="D465" s="616" t="s">
        <v>3812</v>
      </c>
      <c r="E465" s="616" t="s">
        <v>3813</v>
      </c>
      <c r="F465" s="619"/>
      <c r="G465" s="619"/>
      <c r="H465" s="619"/>
      <c r="I465" s="619"/>
      <c r="J465" s="619"/>
      <c r="K465" s="619"/>
      <c r="L465" s="619"/>
      <c r="M465" s="619"/>
      <c r="N465" s="619">
        <v>6</v>
      </c>
      <c r="O465" s="619">
        <v>6006</v>
      </c>
      <c r="P465" s="640"/>
      <c r="Q465" s="620">
        <v>1001</v>
      </c>
    </row>
    <row r="466" spans="1:17" ht="14.4" customHeight="1" x14ac:dyDescent="0.3">
      <c r="A466" s="615" t="s">
        <v>471</v>
      </c>
      <c r="B466" s="616" t="s">
        <v>3795</v>
      </c>
      <c r="C466" s="616" t="s">
        <v>3011</v>
      </c>
      <c r="D466" s="616" t="s">
        <v>3814</v>
      </c>
      <c r="E466" s="616" t="s">
        <v>3815</v>
      </c>
      <c r="F466" s="619">
        <v>2</v>
      </c>
      <c r="G466" s="619">
        <v>3548</v>
      </c>
      <c r="H466" s="619">
        <v>1</v>
      </c>
      <c r="I466" s="619">
        <v>1774</v>
      </c>
      <c r="J466" s="619"/>
      <c r="K466" s="619"/>
      <c r="L466" s="619"/>
      <c r="M466" s="619"/>
      <c r="N466" s="619"/>
      <c r="O466" s="619"/>
      <c r="P466" s="640"/>
      <c r="Q466" s="620"/>
    </row>
    <row r="467" spans="1:17" ht="14.4" customHeight="1" x14ac:dyDescent="0.3">
      <c r="A467" s="615" t="s">
        <v>471</v>
      </c>
      <c r="B467" s="616" t="s">
        <v>3795</v>
      </c>
      <c r="C467" s="616" t="s">
        <v>3011</v>
      </c>
      <c r="D467" s="616" t="s">
        <v>3816</v>
      </c>
      <c r="E467" s="616" t="s">
        <v>3817</v>
      </c>
      <c r="F467" s="619"/>
      <c r="G467" s="619"/>
      <c r="H467" s="619"/>
      <c r="I467" s="619"/>
      <c r="J467" s="619"/>
      <c r="K467" s="619"/>
      <c r="L467" s="619"/>
      <c r="M467" s="619"/>
      <c r="N467" s="619">
        <v>1</v>
      </c>
      <c r="O467" s="619">
        <v>891</v>
      </c>
      <c r="P467" s="640"/>
      <c r="Q467" s="620">
        <v>891</v>
      </c>
    </row>
    <row r="468" spans="1:17" ht="14.4" customHeight="1" x14ac:dyDescent="0.3">
      <c r="A468" s="615" t="s">
        <v>471</v>
      </c>
      <c r="B468" s="616" t="s">
        <v>3795</v>
      </c>
      <c r="C468" s="616" t="s">
        <v>3011</v>
      </c>
      <c r="D468" s="616" t="s">
        <v>3818</v>
      </c>
      <c r="E468" s="616" t="s">
        <v>3819</v>
      </c>
      <c r="F468" s="619"/>
      <c r="G468" s="619"/>
      <c r="H468" s="619"/>
      <c r="I468" s="619"/>
      <c r="J468" s="619"/>
      <c r="K468" s="619"/>
      <c r="L468" s="619"/>
      <c r="M468" s="619"/>
      <c r="N468" s="619">
        <v>1</v>
      </c>
      <c r="O468" s="619">
        <v>1033</v>
      </c>
      <c r="P468" s="640"/>
      <c r="Q468" s="620">
        <v>1033</v>
      </c>
    </row>
    <row r="469" spans="1:17" ht="14.4" customHeight="1" x14ac:dyDescent="0.3">
      <c r="A469" s="615" t="s">
        <v>471</v>
      </c>
      <c r="B469" s="616" t="s">
        <v>3795</v>
      </c>
      <c r="C469" s="616" t="s">
        <v>3011</v>
      </c>
      <c r="D469" s="616" t="s">
        <v>3820</v>
      </c>
      <c r="E469" s="616" t="s">
        <v>3821</v>
      </c>
      <c r="F469" s="619">
        <v>1</v>
      </c>
      <c r="G469" s="619">
        <v>4983</v>
      </c>
      <c r="H469" s="619">
        <v>1</v>
      </c>
      <c r="I469" s="619">
        <v>4983</v>
      </c>
      <c r="J469" s="619"/>
      <c r="K469" s="619"/>
      <c r="L469" s="619"/>
      <c r="M469" s="619"/>
      <c r="N469" s="619"/>
      <c r="O469" s="619"/>
      <c r="P469" s="640"/>
      <c r="Q469" s="620"/>
    </row>
    <row r="470" spans="1:17" ht="14.4" customHeight="1" x14ac:dyDescent="0.3">
      <c r="A470" s="615" t="s">
        <v>471</v>
      </c>
      <c r="B470" s="616" t="s">
        <v>3822</v>
      </c>
      <c r="C470" s="616" t="s">
        <v>3011</v>
      </c>
      <c r="D470" s="616" t="s">
        <v>3039</v>
      </c>
      <c r="E470" s="616" t="s">
        <v>3040</v>
      </c>
      <c r="F470" s="619"/>
      <c r="G470" s="619"/>
      <c r="H470" s="619"/>
      <c r="I470" s="619"/>
      <c r="J470" s="619">
        <v>1</v>
      </c>
      <c r="K470" s="619">
        <v>1630</v>
      </c>
      <c r="L470" s="619"/>
      <c r="M470" s="619">
        <v>1630</v>
      </c>
      <c r="N470" s="619"/>
      <c r="O470" s="619"/>
      <c r="P470" s="640"/>
      <c r="Q470" s="620"/>
    </row>
    <row r="471" spans="1:17" ht="14.4" customHeight="1" x14ac:dyDescent="0.3">
      <c r="A471" s="615" t="s">
        <v>471</v>
      </c>
      <c r="B471" s="616" t="s">
        <v>3822</v>
      </c>
      <c r="C471" s="616" t="s">
        <v>3011</v>
      </c>
      <c r="D471" s="616" t="s">
        <v>3823</v>
      </c>
      <c r="E471" s="616" t="s">
        <v>3824</v>
      </c>
      <c r="F471" s="619"/>
      <c r="G471" s="619"/>
      <c r="H471" s="619"/>
      <c r="I471" s="619"/>
      <c r="J471" s="619">
        <v>1</v>
      </c>
      <c r="K471" s="619">
        <v>4547</v>
      </c>
      <c r="L471" s="619"/>
      <c r="M471" s="619">
        <v>4547</v>
      </c>
      <c r="N471" s="619"/>
      <c r="O471" s="619"/>
      <c r="P471" s="640"/>
      <c r="Q471" s="620"/>
    </row>
    <row r="472" spans="1:17" ht="14.4" customHeight="1" x14ac:dyDescent="0.3">
      <c r="A472" s="615" t="s">
        <v>471</v>
      </c>
      <c r="B472" s="616" t="s">
        <v>3825</v>
      </c>
      <c r="C472" s="616" t="s">
        <v>3011</v>
      </c>
      <c r="D472" s="616" t="s">
        <v>3826</v>
      </c>
      <c r="E472" s="616" t="s">
        <v>3827</v>
      </c>
      <c r="F472" s="619">
        <v>3</v>
      </c>
      <c r="G472" s="619">
        <v>237</v>
      </c>
      <c r="H472" s="619">
        <v>1</v>
      </c>
      <c r="I472" s="619">
        <v>79</v>
      </c>
      <c r="J472" s="619"/>
      <c r="K472" s="619"/>
      <c r="L472" s="619"/>
      <c r="M472" s="619"/>
      <c r="N472" s="619"/>
      <c r="O472" s="619"/>
      <c r="P472" s="640"/>
      <c r="Q472" s="620"/>
    </row>
    <row r="473" spans="1:17" ht="14.4" customHeight="1" x14ac:dyDescent="0.3">
      <c r="A473" s="615" t="s">
        <v>471</v>
      </c>
      <c r="B473" s="616" t="s">
        <v>3825</v>
      </c>
      <c r="C473" s="616" t="s">
        <v>3011</v>
      </c>
      <c r="D473" s="616" t="s">
        <v>3828</v>
      </c>
      <c r="E473" s="616" t="s">
        <v>3829</v>
      </c>
      <c r="F473" s="619">
        <v>2</v>
      </c>
      <c r="G473" s="619">
        <v>684</v>
      </c>
      <c r="H473" s="619">
        <v>1</v>
      </c>
      <c r="I473" s="619">
        <v>342</v>
      </c>
      <c r="J473" s="619">
        <v>1</v>
      </c>
      <c r="K473" s="619">
        <v>344</v>
      </c>
      <c r="L473" s="619">
        <v>0.50292397660818711</v>
      </c>
      <c r="M473" s="619">
        <v>344</v>
      </c>
      <c r="N473" s="619">
        <v>3</v>
      </c>
      <c r="O473" s="619">
        <v>1083</v>
      </c>
      <c r="P473" s="640">
        <v>1.5833333333333333</v>
      </c>
      <c r="Q473" s="620">
        <v>361</v>
      </c>
    </row>
    <row r="474" spans="1:17" ht="14.4" customHeight="1" x14ac:dyDescent="0.3">
      <c r="A474" s="615" t="s">
        <v>471</v>
      </c>
      <c r="B474" s="616" t="s">
        <v>3825</v>
      </c>
      <c r="C474" s="616" t="s">
        <v>3011</v>
      </c>
      <c r="D474" s="616" t="s">
        <v>3830</v>
      </c>
      <c r="E474" s="616" t="s">
        <v>3831</v>
      </c>
      <c r="F474" s="619"/>
      <c r="G474" s="619"/>
      <c r="H474" s="619"/>
      <c r="I474" s="619"/>
      <c r="J474" s="619">
        <v>1</v>
      </c>
      <c r="K474" s="619">
        <v>352</v>
      </c>
      <c r="L474" s="619"/>
      <c r="M474" s="619">
        <v>352</v>
      </c>
      <c r="N474" s="619"/>
      <c r="O474" s="619"/>
      <c r="P474" s="640"/>
      <c r="Q474" s="620"/>
    </row>
    <row r="475" spans="1:17" ht="14.4" customHeight="1" x14ac:dyDescent="0.3">
      <c r="A475" s="615" t="s">
        <v>471</v>
      </c>
      <c r="B475" s="616" t="s">
        <v>3825</v>
      </c>
      <c r="C475" s="616" t="s">
        <v>3011</v>
      </c>
      <c r="D475" s="616" t="s">
        <v>3832</v>
      </c>
      <c r="E475" s="616" t="s">
        <v>3833</v>
      </c>
      <c r="F475" s="619"/>
      <c r="G475" s="619"/>
      <c r="H475" s="619"/>
      <c r="I475" s="619"/>
      <c r="J475" s="619">
        <v>1</v>
      </c>
      <c r="K475" s="619">
        <v>924</v>
      </c>
      <c r="L475" s="619"/>
      <c r="M475" s="619">
        <v>924</v>
      </c>
      <c r="N475" s="619">
        <v>1</v>
      </c>
      <c r="O475" s="619">
        <v>980</v>
      </c>
      <c r="P475" s="640"/>
      <c r="Q475" s="620">
        <v>980</v>
      </c>
    </row>
    <row r="476" spans="1:17" ht="14.4" customHeight="1" x14ac:dyDescent="0.3">
      <c r="A476" s="615" t="s">
        <v>471</v>
      </c>
      <c r="B476" s="616" t="s">
        <v>3825</v>
      </c>
      <c r="C476" s="616" t="s">
        <v>3011</v>
      </c>
      <c r="D476" s="616" t="s">
        <v>3834</v>
      </c>
      <c r="E476" s="616" t="s">
        <v>3835</v>
      </c>
      <c r="F476" s="619">
        <v>1</v>
      </c>
      <c r="G476" s="619">
        <v>354</v>
      </c>
      <c r="H476" s="619">
        <v>1</v>
      </c>
      <c r="I476" s="619">
        <v>354</v>
      </c>
      <c r="J476" s="619"/>
      <c r="K476" s="619"/>
      <c r="L476" s="619"/>
      <c r="M476" s="619"/>
      <c r="N476" s="619">
        <v>1</v>
      </c>
      <c r="O476" s="619">
        <v>379</v>
      </c>
      <c r="P476" s="640">
        <v>1.0706214689265536</v>
      </c>
      <c r="Q476" s="620">
        <v>379</v>
      </c>
    </row>
    <row r="477" spans="1:17" ht="14.4" customHeight="1" x14ac:dyDescent="0.3">
      <c r="A477" s="615" t="s">
        <v>471</v>
      </c>
      <c r="B477" s="616" t="s">
        <v>3825</v>
      </c>
      <c r="C477" s="616" t="s">
        <v>3011</v>
      </c>
      <c r="D477" s="616" t="s">
        <v>3836</v>
      </c>
      <c r="E477" s="616" t="s">
        <v>3837</v>
      </c>
      <c r="F477" s="619">
        <v>2</v>
      </c>
      <c r="G477" s="619">
        <v>1364</v>
      </c>
      <c r="H477" s="619">
        <v>1</v>
      </c>
      <c r="I477" s="619">
        <v>682</v>
      </c>
      <c r="J477" s="619"/>
      <c r="K477" s="619"/>
      <c r="L477" s="619"/>
      <c r="M477" s="619"/>
      <c r="N477" s="619"/>
      <c r="O477" s="619"/>
      <c r="P477" s="640"/>
      <c r="Q477" s="620"/>
    </row>
    <row r="478" spans="1:17" ht="14.4" customHeight="1" x14ac:dyDescent="0.3">
      <c r="A478" s="615" t="s">
        <v>471</v>
      </c>
      <c r="B478" s="616" t="s">
        <v>3825</v>
      </c>
      <c r="C478" s="616" t="s">
        <v>3011</v>
      </c>
      <c r="D478" s="616" t="s">
        <v>3838</v>
      </c>
      <c r="E478" s="616" t="s">
        <v>3839</v>
      </c>
      <c r="F478" s="619">
        <v>1</v>
      </c>
      <c r="G478" s="619">
        <v>317</v>
      </c>
      <c r="H478" s="619">
        <v>1</v>
      </c>
      <c r="I478" s="619">
        <v>317</v>
      </c>
      <c r="J478" s="619"/>
      <c r="K478" s="619"/>
      <c r="L478" s="619"/>
      <c r="M478" s="619"/>
      <c r="N478" s="619">
        <v>1</v>
      </c>
      <c r="O478" s="619">
        <v>417</v>
      </c>
      <c r="P478" s="640">
        <v>1.3154574132492114</v>
      </c>
      <c r="Q478" s="620">
        <v>417</v>
      </c>
    </row>
    <row r="479" spans="1:17" ht="14.4" customHeight="1" x14ac:dyDescent="0.3">
      <c r="A479" s="615" t="s">
        <v>471</v>
      </c>
      <c r="B479" s="616" t="s">
        <v>3825</v>
      </c>
      <c r="C479" s="616" t="s">
        <v>3011</v>
      </c>
      <c r="D479" s="616" t="s">
        <v>3051</v>
      </c>
      <c r="E479" s="616" t="s">
        <v>3052</v>
      </c>
      <c r="F479" s="619">
        <v>1</v>
      </c>
      <c r="G479" s="619">
        <v>806</v>
      </c>
      <c r="H479" s="619">
        <v>1</v>
      </c>
      <c r="I479" s="619">
        <v>806</v>
      </c>
      <c r="J479" s="619"/>
      <c r="K479" s="619"/>
      <c r="L479" s="619"/>
      <c r="M479" s="619"/>
      <c r="N479" s="619"/>
      <c r="O479" s="619"/>
      <c r="P479" s="640"/>
      <c r="Q479" s="620"/>
    </row>
    <row r="480" spans="1:17" ht="14.4" customHeight="1" x14ac:dyDescent="0.3">
      <c r="A480" s="615" t="s">
        <v>471</v>
      </c>
      <c r="B480" s="616" t="s">
        <v>3825</v>
      </c>
      <c r="C480" s="616" t="s">
        <v>3011</v>
      </c>
      <c r="D480" s="616" t="s">
        <v>3840</v>
      </c>
      <c r="E480" s="616" t="s">
        <v>3841</v>
      </c>
      <c r="F480" s="619">
        <v>1</v>
      </c>
      <c r="G480" s="619">
        <v>2361</v>
      </c>
      <c r="H480" s="619">
        <v>1</v>
      </c>
      <c r="I480" s="619">
        <v>2361</v>
      </c>
      <c r="J480" s="619"/>
      <c r="K480" s="619"/>
      <c r="L480" s="619"/>
      <c r="M480" s="619"/>
      <c r="N480" s="619"/>
      <c r="O480" s="619"/>
      <c r="P480" s="640"/>
      <c r="Q480" s="620"/>
    </row>
    <row r="481" spans="1:17" ht="14.4" customHeight="1" x14ac:dyDescent="0.3">
      <c r="A481" s="615" t="s">
        <v>471</v>
      </c>
      <c r="B481" s="616" t="s">
        <v>3825</v>
      </c>
      <c r="C481" s="616" t="s">
        <v>3011</v>
      </c>
      <c r="D481" s="616" t="s">
        <v>3808</v>
      </c>
      <c r="E481" s="616" t="s">
        <v>3809</v>
      </c>
      <c r="F481" s="619">
        <v>1</v>
      </c>
      <c r="G481" s="619">
        <v>2632</v>
      </c>
      <c r="H481" s="619">
        <v>1</v>
      </c>
      <c r="I481" s="619">
        <v>2632</v>
      </c>
      <c r="J481" s="619"/>
      <c r="K481" s="619"/>
      <c r="L481" s="619"/>
      <c r="M481" s="619"/>
      <c r="N481" s="619"/>
      <c r="O481" s="619"/>
      <c r="P481" s="640"/>
      <c r="Q481" s="620"/>
    </row>
    <row r="482" spans="1:17" ht="14.4" customHeight="1" x14ac:dyDescent="0.3">
      <c r="A482" s="615" t="s">
        <v>471</v>
      </c>
      <c r="B482" s="616" t="s">
        <v>3825</v>
      </c>
      <c r="C482" s="616" t="s">
        <v>3011</v>
      </c>
      <c r="D482" s="616" t="s">
        <v>3842</v>
      </c>
      <c r="E482" s="616" t="s">
        <v>3843</v>
      </c>
      <c r="F482" s="619">
        <v>5</v>
      </c>
      <c r="G482" s="619">
        <v>12190</v>
      </c>
      <c r="H482" s="619">
        <v>1</v>
      </c>
      <c r="I482" s="619">
        <v>2438</v>
      </c>
      <c r="J482" s="619">
        <v>4</v>
      </c>
      <c r="K482" s="619">
        <v>9808</v>
      </c>
      <c r="L482" s="619">
        <v>0.80459392945036912</v>
      </c>
      <c r="M482" s="619">
        <v>2452</v>
      </c>
      <c r="N482" s="619">
        <v>7</v>
      </c>
      <c r="O482" s="619">
        <v>17927</v>
      </c>
      <c r="P482" s="640">
        <v>1.4706316652994258</v>
      </c>
      <c r="Q482" s="620">
        <v>2561</v>
      </c>
    </row>
    <row r="483" spans="1:17" ht="14.4" customHeight="1" x14ac:dyDescent="0.3">
      <c r="A483" s="615" t="s">
        <v>471</v>
      </c>
      <c r="B483" s="616" t="s">
        <v>3825</v>
      </c>
      <c r="C483" s="616" t="s">
        <v>3011</v>
      </c>
      <c r="D483" s="616" t="s">
        <v>3844</v>
      </c>
      <c r="E483" s="616" t="s">
        <v>3845</v>
      </c>
      <c r="F483" s="619">
        <v>2</v>
      </c>
      <c r="G483" s="619">
        <v>1210</v>
      </c>
      <c r="H483" s="619">
        <v>1</v>
      </c>
      <c r="I483" s="619">
        <v>605</v>
      </c>
      <c r="J483" s="619"/>
      <c r="K483" s="619"/>
      <c r="L483" s="619"/>
      <c r="M483" s="619"/>
      <c r="N483" s="619">
        <v>2</v>
      </c>
      <c r="O483" s="619">
        <v>1288</v>
      </c>
      <c r="P483" s="640">
        <v>1.0644628099173554</v>
      </c>
      <c r="Q483" s="620">
        <v>644</v>
      </c>
    </row>
    <row r="484" spans="1:17" ht="14.4" customHeight="1" x14ac:dyDescent="0.3">
      <c r="A484" s="615" t="s">
        <v>471</v>
      </c>
      <c r="B484" s="616" t="s">
        <v>3825</v>
      </c>
      <c r="C484" s="616" t="s">
        <v>3011</v>
      </c>
      <c r="D484" s="616" t="s">
        <v>3846</v>
      </c>
      <c r="E484" s="616" t="s">
        <v>3847</v>
      </c>
      <c r="F484" s="619"/>
      <c r="G484" s="619"/>
      <c r="H484" s="619"/>
      <c r="I484" s="619"/>
      <c r="J484" s="619">
        <v>1</v>
      </c>
      <c r="K484" s="619">
        <v>1475</v>
      </c>
      <c r="L484" s="619"/>
      <c r="M484" s="619">
        <v>1475</v>
      </c>
      <c r="N484" s="619"/>
      <c r="O484" s="619"/>
      <c r="P484" s="640"/>
      <c r="Q484" s="620"/>
    </row>
    <row r="485" spans="1:17" ht="14.4" customHeight="1" x14ac:dyDescent="0.3">
      <c r="A485" s="615" t="s">
        <v>471</v>
      </c>
      <c r="B485" s="616" t="s">
        <v>3825</v>
      </c>
      <c r="C485" s="616" t="s">
        <v>3011</v>
      </c>
      <c r="D485" s="616" t="s">
        <v>3848</v>
      </c>
      <c r="E485" s="616" t="s">
        <v>3849</v>
      </c>
      <c r="F485" s="619"/>
      <c r="G485" s="619"/>
      <c r="H485" s="619"/>
      <c r="I485" s="619"/>
      <c r="J485" s="619"/>
      <c r="K485" s="619"/>
      <c r="L485" s="619"/>
      <c r="M485" s="619"/>
      <c r="N485" s="619">
        <v>1</v>
      </c>
      <c r="O485" s="619">
        <v>3308</v>
      </c>
      <c r="P485" s="640"/>
      <c r="Q485" s="620">
        <v>3308</v>
      </c>
    </row>
    <row r="486" spans="1:17" ht="14.4" customHeight="1" x14ac:dyDescent="0.3">
      <c r="A486" s="615" t="s">
        <v>471</v>
      </c>
      <c r="B486" s="616" t="s">
        <v>3850</v>
      </c>
      <c r="C486" s="616" t="s">
        <v>3011</v>
      </c>
      <c r="D486" s="616" t="s">
        <v>3851</v>
      </c>
      <c r="E486" s="616" t="s">
        <v>3852</v>
      </c>
      <c r="F486" s="619">
        <v>1</v>
      </c>
      <c r="G486" s="619">
        <v>4985</v>
      </c>
      <c r="H486" s="619">
        <v>1</v>
      </c>
      <c r="I486" s="619">
        <v>4985</v>
      </c>
      <c r="J486" s="619"/>
      <c r="K486" s="619"/>
      <c r="L486" s="619"/>
      <c r="M486" s="619"/>
      <c r="N486" s="619"/>
      <c r="O486" s="619"/>
      <c r="P486" s="640"/>
      <c r="Q486" s="620"/>
    </row>
    <row r="487" spans="1:17" ht="14.4" customHeight="1" x14ac:dyDescent="0.3">
      <c r="A487" s="615" t="s">
        <v>471</v>
      </c>
      <c r="B487" s="616" t="s">
        <v>3850</v>
      </c>
      <c r="C487" s="616" t="s">
        <v>3011</v>
      </c>
      <c r="D487" s="616" t="s">
        <v>3853</v>
      </c>
      <c r="E487" s="616" t="s">
        <v>3854</v>
      </c>
      <c r="F487" s="619">
        <v>1</v>
      </c>
      <c r="G487" s="619">
        <v>5143</v>
      </c>
      <c r="H487" s="619">
        <v>1</v>
      </c>
      <c r="I487" s="619">
        <v>5143</v>
      </c>
      <c r="J487" s="619"/>
      <c r="K487" s="619"/>
      <c r="L487" s="619"/>
      <c r="M487" s="619"/>
      <c r="N487" s="619"/>
      <c r="O487" s="619"/>
      <c r="P487" s="640"/>
      <c r="Q487" s="620"/>
    </row>
    <row r="488" spans="1:17" ht="14.4" customHeight="1" x14ac:dyDescent="0.3">
      <c r="A488" s="615" t="s">
        <v>471</v>
      </c>
      <c r="B488" s="616" t="s">
        <v>3850</v>
      </c>
      <c r="C488" s="616" t="s">
        <v>3011</v>
      </c>
      <c r="D488" s="616" t="s">
        <v>3241</v>
      </c>
      <c r="E488" s="616" t="s">
        <v>3242</v>
      </c>
      <c r="F488" s="619">
        <v>1</v>
      </c>
      <c r="G488" s="619">
        <v>907</v>
      </c>
      <c r="H488" s="619">
        <v>1</v>
      </c>
      <c r="I488" s="619">
        <v>907</v>
      </c>
      <c r="J488" s="619">
        <v>1</v>
      </c>
      <c r="K488" s="619">
        <v>917</v>
      </c>
      <c r="L488" s="619">
        <v>1.0110253583241455</v>
      </c>
      <c r="M488" s="619">
        <v>917</v>
      </c>
      <c r="N488" s="619"/>
      <c r="O488" s="619"/>
      <c r="P488" s="640"/>
      <c r="Q488" s="620"/>
    </row>
    <row r="489" spans="1:17" ht="14.4" customHeight="1" x14ac:dyDescent="0.3">
      <c r="A489" s="615" t="s">
        <v>471</v>
      </c>
      <c r="B489" s="616" t="s">
        <v>3850</v>
      </c>
      <c r="C489" s="616" t="s">
        <v>3011</v>
      </c>
      <c r="D489" s="616" t="s">
        <v>3855</v>
      </c>
      <c r="E489" s="616" t="s">
        <v>3856</v>
      </c>
      <c r="F489" s="619"/>
      <c r="G489" s="619"/>
      <c r="H489" s="619"/>
      <c r="I489" s="619"/>
      <c r="J489" s="619">
        <v>1</v>
      </c>
      <c r="K489" s="619">
        <v>2176</v>
      </c>
      <c r="L489" s="619"/>
      <c r="M489" s="619">
        <v>2176</v>
      </c>
      <c r="N489" s="619"/>
      <c r="O489" s="619"/>
      <c r="P489" s="640"/>
      <c r="Q489" s="620"/>
    </row>
    <row r="490" spans="1:17" ht="14.4" customHeight="1" x14ac:dyDescent="0.3">
      <c r="A490" s="615" t="s">
        <v>471</v>
      </c>
      <c r="B490" s="616" t="s">
        <v>3850</v>
      </c>
      <c r="C490" s="616" t="s">
        <v>3011</v>
      </c>
      <c r="D490" s="616" t="s">
        <v>3857</v>
      </c>
      <c r="E490" s="616" t="s">
        <v>3858</v>
      </c>
      <c r="F490" s="619">
        <v>1</v>
      </c>
      <c r="G490" s="619">
        <v>109</v>
      </c>
      <c r="H490" s="619">
        <v>1</v>
      </c>
      <c r="I490" s="619">
        <v>109</v>
      </c>
      <c r="J490" s="619"/>
      <c r="K490" s="619"/>
      <c r="L490" s="619"/>
      <c r="M490" s="619"/>
      <c r="N490" s="619"/>
      <c r="O490" s="619"/>
      <c r="P490" s="640"/>
      <c r="Q490" s="620"/>
    </row>
    <row r="491" spans="1:17" ht="14.4" customHeight="1" x14ac:dyDescent="0.3">
      <c r="A491" s="615" t="s">
        <v>471</v>
      </c>
      <c r="B491" s="616" t="s">
        <v>3850</v>
      </c>
      <c r="C491" s="616" t="s">
        <v>3011</v>
      </c>
      <c r="D491" s="616" t="s">
        <v>3138</v>
      </c>
      <c r="E491" s="616" t="s">
        <v>3139</v>
      </c>
      <c r="F491" s="619">
        <v>1</v>
      </c>
      <c r="G491" s="619">
        <v>4340</v>
      </c>
      <c r="H491" s="619">
        <v>1</v>
      </c>
      <c r="I491" s="619">
        <v>4340</v>
      </c>
      <c r="J491" s="619"/>
      <c r="K491" s="619"/>
      <c r="L491" s="619"/>
      <c r="M491" s="619"/>
      <c r="N491" s="619"/>
      <c r="O491" s="619"/>
      <c r="P491" s="640"/>
      <c r="Q491" s="620"/>
    </row>
    <row r="492" spans="1:17" ht="14.4" customHeight="1" x14ac:dyDescent="0.3">
      <c r="A492" s="615" t="s">
        <v>471</v>
      </c>
      <c r="B492" s="616" t="s">
        <v>3850</v>
      </c>
      <c r="C492" s="616" t="s">
        <v>3011</v>
      </c>
      <c r="D492" s="616" t="s">
        <v>3859</v>
      </c>
      <c r="E492" s="616" t="s">
        <v>3860</v>
      </c>
      <c r="F492" s="619">
        <v>1</v>
      </c>
      <c r="G492" s="619">
        <v>1828</v>
      </c>
      <c r="H492" s="619">
        <v>1</v>
      </c>
      <c r="I492" s="619">
        <v>1828</v>
      </c>
      <c r="J492" s="619">
        <v>1</v>
      </c>
      <c r="K492" s="619">
        <v>1837</v>
      </c>
      <c r="L492" s="619">
        <v>1.0049234135667395</v>
      </c>
      <c r="M492" s="619">
        <v>1837</v>
      </c>
      <c r="N492" s="619"/>
      <c r="O492" s="619"/>
      <c r="P492" s="640"/>
      <c r="Q492" s="620"/>
    </row>
    <row r="493" spans="1:17" ht="14.4" customHeight="1" x14ac:dyDescent="0.3">
      <c r="A493" s="615" t="s">
        <v>471</v>
      </c>
      <c r="B493" s="616" t="s">
        <v>3861</v>
      </c>
      <c r="C493" s="616" t="s">
        <v>3011</v>
      </c>
      <c r="D493" s="616" t="s">
        <v>3862</v>
      </c>
      <c r="E493" s="616" t="s">
        <v>3863</v>
      </c>
      <c r="F493" s="619"/>
      <c r="G493" s="619"/>
      <c r="H493" s="619"/>
      <c r="I493" s="619"/>
      <c r="J493" s="619">
        <v>1</v>
      </c>
      <c r="K493" s="619">
        <v>254</v>
      </c>
      <c r="L493" s="619"/>
      <c r="M493" s="619">
        <v>254</v>
      </c>
      <c r="N493" s="619"/>
      <c r="O493" s="619"/>
      <c r="P493" s="640"/>
      <c r="Q493" s="620"/>
    </row>
    <row r="494" spans="1:17" ht="14.4" customHeight="1" x14ac:dyDescent="0.3">
      <c r="A494" s="615" t="s">
        <v>471</v>
      </c>
      <c r="B494" s="616" t="s">
        <v>3861</v>
      </c>
      <c r="C494" s="616" t="s">
        <v>3011</v>
      </c>
      <c r="D494" s="616" t="s">
        <v>3864</v>
      </c>
      <c r="E494" s="616" t="s">
        <v>3865</v>
      </c>
      <c r="F494" s="619">
        <v>1</v>
      </c>
      <c r="G494" s="619">
        <v>1139</v>
      </c>
      <c r="H494" s="619">
        <v>1</v>
      </c>
      <c r="I494" s="619">
        <v>1139</v>
      </c>
      <c r="J494" s="619"/>
      <c r="K494" s="619"/>
      <c r="L494" s="619"/>
      <c r="M494" s="619"/>
      <c r="N494" s="619"/>
      <c r="O494" s="619"/>
      <c r="P494" s="640"/>
      <c r="Q494" s="620"/>
    </row>
    <row r="495" spans="1:17" ht="14.4" customHeight="1" x14ac:dyDescent="0.3">
      <c r="A495" s="615" t="s">
        <v>471</v>
      </c>
      <c r="B495" s="616" t="s">
        <v>3861</v>
      </c>
      <c r="C495" s="616" t="s">
        <v>3011</v>
      </c>
      <c r="D495" s="616" t="s">
        <v>3866</v>
      </c>
      <c r="E495" s="616" t="s">
        <v>3867</v>
      </c>
      <c r="F495" s="619">
        <v>1</v>
      </c>
      <c r="G495" s="619">
        <v>2163</v>
      </c>
      <c r="H495" s="619">
        <v>1</v>
      </c>
      <c r="I495" s="619">
        <v>2163</v>
      </c>
      <c r="J495" s="619"/>
      <c r="K495" s="619"/>
      <c r="L495" s="619"/>
      <c r="M495" s="619"/>
      <c r="N495" s="619"/>
      <c r="O495" s="619"/>
      <c r="P495" s="640"/>
      <c r="Q495" s="620"/>
    </row>
    <row r="496" spans="1:17" ht="14.4" customHeight="1" x14ac:dyDescent="0.3">
      <c r="A496" s="615" t="s">
        <v>471</v>
      </c>
      <c r="B496" s="616" t="s">
        <v>3861</v>
      </c>
      <c r="C496" s="616" t="s">
        <v>3011</v>
      </c>
      <c r="D496" s="616" t="s">
        <v>3051</v>
      </c>
      <c r="E496" s="616" t="s">
        <v>3052</v>
      </c>
      <c r="F496" s="619">
        <v>1</v>
      </c>
      <c r="G496" s="619">
        <v>806</v>
      </c>
      <c r="H496" s="619">
        <v>1</v>
      </c>
      <c r="I496" s="619">
        <v>806</v>
      </c>
      <c r="J496" s="619">
        <v>1</v>
      </c>
      <c r="K496" s="619">
        <v>819</v>
      </c>
      <c r="L496" s="619">
        <v>1.0161290322580645</v>
      </c>
      <c r="M496" s="619">
        <v>819</v>
      </c>
      <c r="N496" s="619">
        <v>6</v>
      </c>
      <c r="O496" s="619">
        <v>5016</v>
      </c>
      <c r="P496" s="640">
        <v>6.2233250620347391</v>
      </c>
      <c r="Q496" s="620">
        <v>836</v>
      </c>
    </row>
    <row r="497" spans="1:17" ht="14.4" customHeight="1" x14ac:dyDescent="0.3">
      <c r="A497" s="615" t="s">
        <v>471</v>
      </c>
      <c r="B497" s="616" t="s">
        <v>3861</v>
      </c>
      <c r="C497" s="616" t="s">
        <v>3011</v>
      </c>
      <c r="D497" s="616" t="s">
        <v>3840</v>
      </c>
      <c r="E497" s="616" t="s">
        <v>3841</v>
      </c>
      <c r="F497" s="619"/>
      <c r="G497" s="619"/>
      <c r="H497" s="619"/>
      <c r="I497" s="619"/>
      <c r="J497" s="619"/>
      <c r="K497" s="619"/>
      <c r="L497" s="619"/>
      <c r="M497" s="619"/>
      <c r="N497" s="619">
        <v>1</v>
      </c>
      <c r="O497" s="619">
        <v>2500</v>
      </c>
      <c r="P497" s="640"/>
      <c r="Q497" s="620">
        <v>2500</v>
      </c>
    </row>
    <row r="498" spans="1:17" ht="14.4" customHeight="1" x14ac:dyDescent="0.3">
      <c r="A498" s="615" t="s">
        <v>471</v>
      </c>
      <c r="B498" s="616" t="s">
        <v>3861</v>
      </c>
      <c r="C498" s="616" t="s">
        <v>3011</v>
      </c>
      <c r="D498" s="616" t="s">
        <v>3868</v>
      </c>
      <c r="E498" s="616" t="s">
        <v>3869</v>
      </c>
      <c r="F498" s="619"/>
      <c r="G498" s="619"/>
      <c r="H498" s="619"/>
      <c r="I498" s="619"/>
      <c r="J498" s="619"/>
      <c r="K498" s="619"/>
      <c r="L498" s="619"/>
      <c r="M498" s="619"/>
      <c r="N498" s="619">
        <v>1</v>
      </c>
      <c r="O498" s="619">
        <v>3544</v>
      </c>
      <c r="P498" s="640"/>
      <c r="Q498" s="620">
        <v>3544</v>
      </c>
    </row>
    <row r="499" spans="1:17" ht="14.4" customHeight="1" x14ac:dyDescent="0.3">
      <c r="A499" s="615" t="s">
        <v>471</v>
      </c>
      <c r="B499" s="616" t="s">
        <v>3861</v>
      </c>
      <c r="C499" s="616" t="s">
        <v>3011</v>
      </c>
      <c r="D499" s="616" t="s">
        <v>3870</v>
      </c>
      <c r="E499" s="616" t="s">
        <v>3871</v>
      </c>
      <c r="F499" s="619"/>
      <c r="G499" s="619"/>
      <c r="H499" s="619"/>
      <c r="I499" s="619"/>
      <c r="J499" s="619"/>
      <c r="K499" s="619"/>
      <c r="L499" s="619"/>
      <c r="M499" s="619"/>
      <c r="N499" s="619">
        <v>1</v>
      </c>
      <c r="O499" s="619">
        <v>1641</v>
      </c>
      <c r="P499" s="640"/>
      <c r="Q499" s="620">
        <v>1641</v>
      </c>
    </row>
    <row r="500" spans="1:17" ht="14.4" customHeight="1" x14ac:dyDescent="0.3">
      <c r="A500" s="615" t="s">
        <v>471</v>
      </c>
      <c r="B500" s="616" t="s">
        <v>3861</v>
      </c>
      <c r="C500" s="616" t="s">
        <v>3011</v>
      </c>
      <c r="D500" s="616" t="s">
        <v>3804</v>
      </c>
      <c r="E500" s="616" t="s">
        <v>3805</v>
      </c>
      <c r="F500" s="619">
        <v>1</v>
      </c>
      <c r="G500" s="619">
        <v>66</v>
      </c>
      <c r="H500" s="619">
        <v>1</v>
      </c>
      <c r="I500" s="619">
        <v>66</v>
      </c>
      <c r="J500" s="619"/>
      <c r="K500" s="619"/>
      <c r="L500" s="619"/>
      <c r="M500" s="619"/>
      <c r="N500" s="619"/>
      <c r="O500" s="619"/>
      <c r="P500" s="640"/>
      <c r="Q500" s="620"/>
    </row>
    <row r="501" spans="1:17" ht="14.4" customHeight="1" x14ac:dyDescent="0.3">
      <c r="A501" s="615" t="s">
        <v>471</v>
      </c>
      <c r="B501" s="616" t="s">
        <v>3861</v>
      </c>
      <c r="C501" s="616" t="s">
        <v>3011</v>
      </c>
      <c r="D501" s="616" t="s">
        <v>3872</v>
      </c>
      <c r="E501" s="616" t="s">
        <v>3873</v>
      </c>
      <c r="F501" s="619"/>
      <c r="G501" s="619"/>
      <c r="H501" s="619"/>
      <c r="I501" s="619"/>
      <c r="J501" s="619"/>
      <c r="K501" s="619"/>
      <c r="L501" s="619"/>
      <c r="M501" s="619"/>
      <c r="N501" s="619">
        <v>1</v>
      </c>
      <c r="O501" s="619">
        <v>394</v>
      </c>
      <c r="P501" s="640"/>
      <c r="Q501" s="620">
        <v>394</v>
      </c>
    </row>
    <row r="502" spans="1:17" ht="14.4" customHeight="1" x14ac:dyDescent="0.3">
      <c r="A502" s="615" t="s">
        <v>471</v>
      </c>
      <c r="B502" s="616" t="s">
        <v>3861</v>
      </c>
      <c r="C502" s="616" t="s">
        <v>3011</v>
      </c>
      <c r="D502" s="616" t="s">
        <v>3874</v>
      </c>
      <c r="E502" s="616" t="s">
        <v>3875</v>
      </c>
      <c r="F502" s="619">
        <v>1</v>
      </c>
      <c r="G502" s="619">
        <v>4010</v>
      </c>
      <c r="H502" s="619">
        <v>1</v>
      </c>
      <c r="I502" s="619">
        <v>4010</v>
      </c>
      <c r="J502" s="619"/>
      <c r="K502" s="619"/>
      <c r="L502" s="619"/>
      <c r="M502" s="619"/>
      <c r="N502" s="619"/>
      <c r="O502" s="619"/>
      <c r="P502" s="640"/>
      <c r="Q502" s="620"/>
    </row>
    <row r="503" spans="1:17" ht="14.4" customHeight="1" x14ac:dyDescent="0.3">
      <c r="A503" s="615" t="s">
        <v>471</v>
      </c>
      <c r="B503" s="616" t="s">
        <v>3876</v>
      </c>
      <c r="C503" s="616" t="s">
        <v>3011</v>
      </c>
      <c r="D503" s="616" t="s">
        <v>3037</v>
      </c>
      <c r="E503" s="616" t="s">
        <v>3038</v>
      </c>
      <c r="F503" s="619"/>
      <c r="G503" s="619"/>
      <c r="H503" s="619"/>
      <c r="I503" s="619"/>
      <c r="J503" s="619">
        <v>1</v>
      </c>
      <c r="K503" s="619">
        <v>2073</v>
      </c>
      <c r="L503" s="619"/>
      <c r="M503" s="619">
        <v>2073</v>
      </c>
      <c r="N503" s="619">
        <v>2</v>
      </c>
      <c r="O503" s="619">
        <v>4290</v>
      </c>
      <c r="P503" s="640"/>
      <c r="Q503" s="620">
        <v>2145</v>
      </c>
    </row>
    <row r="504" spans="1:17" ht="14.4" customHeight="1" x14ac:dyDescent="0.3">
      <c r="A504" s="615" t="s">
        <v>471</v>
      </c>
      <c r="B504" s="616" t="s">
        <v>3876</v>
      </c>
      <c r="C504" s="616" t="s">
        <v>3011</v>
      </c>
      <c r="D504" s="616" t="s">
        <v>3877</v>
      </c>
      <c r="E504" s="616" t="s">
        <v>3878</v>
      </c>
      <c r="F504" s="619"/>
      <c r="G504" s="619"/>
      <c r="H504" s="619"/>
      <c r="I504" s="619"/>
      <c r="J504" s="619"/>
      <c r="K504" s="619"/>
      <c r="L504" s="619"/>
      <c r="M504" s="619"/>
      <c r="N504" s="619">
        <v>1</v>
      </c>
      <c r="O504" s="619">
        <v>538</v>
      </c>
      <c r="P504" s="640"/>
      <c r="Q504" s="620">
        <v>538</v>
      </c>
    </row>
    <row r="505" spans="1:17" ht="14.4" customHeight="1" x14ac:dyDescent="0.3">
      <c r="A505" s="615" t="s">
        <v>471</v>
      </c>
      <c r="B505" s="616" t="s">
        <v>3876</v>
      </c>
      <c r="C505" s="616" t="s">
        <v>3011</v>
      </c>
      <c r="D505" s="616" t="s">
        <v>3879</v>
      </c>
      <c r="E505" s="616" t="s">
        <v>3880</v>
      </c>
      <c r="F505" s="619"/>
      <c r="G505" s="619"/>
      <c r="H505" s="619"/>
      <c r="I505" s="619"/>
      <c r="J505" s="619"/>
      <c r="K505" s="619"/>
      <c r="L505" s="619"/>
      <c r="M505" s="619"/>
      <c r="N505" s="619">
        <v>1</v>
      </c>
      <c r="O505" s="619">
        <v>362</v>
      </c>
      <c r="P505" s="640"/>
      <c r="Q505" s="620">
        <v>362</v>
      </c>
    </row>
    <row r="506" spans="1:17" ht="14.4" customHeight="1" x14ac:dyDescent="0.3">
      <c r="A506" s="615" t="s">
        <v>471</v>
      </c>
      <c r="B506" s="616" t="s">
        <v>3876</v>
      </c>
      <c r="C506" s="616" t="s">
        <v>3011</v>
      </c>
      <c r="D506" s="616" t="s">
        <v>3053</v>
      </c>
      <c r="E506" s="616" t="s">
        <v>3054</v>
      </c>
      <c r="F506" s="619"/>
      <c r="G506" s="619"/>
      <c r="H506" s="619"/>
      <c r="I506" s="619"/>
      <c r="J506" s="619">
        <v>2</v>
      </c>
      <c r="K506" s="619">
        <v>7828</v>
      </c>
      <c r="L506" s="619"/>
      <c r="M506" s="619">
        <v>3914</v>
      </c>
      <c r="N506" s="619">
        <v>1</v>
      </c>
      <c r="O506" s="619">
        <v>4059</v>
      </c>
      <c r="P506" s="640"/>
      <c r="Q506" s="620">
        <v>4059</v>
      </c>
    </row>
    <row r="507" spans="1:17" ht="14.4" customHeight="1" x14ac:dyDescent="0.3">
      <c r="A507" s="615" t="s">
        <v>471</v>
      </c>
      <c r="B507" s="616" t="s">
        <v>3876</v>
      </c>
      <c r="C507" s="616" t="s">
        <v>3011</v>
      </c>
      <c r="D507" s="616" t="s">
        <v>3881</v>
      </c>
      <c r="E507" s="616" t="s">
        <v>3882</v>
      </c>
      <c r="F507" s="619"/>
      <c r="G507" s="619"/>
      <c r="H507" s="619"/>
      <c r="I507" s="619"/>
      <c r="J507" s="619"/>
      <c r="K507" s="619"/>
      <c r="L507" s="619"/>
      <c r="M507" s="619"/>
      <c r="N507" s="619">
        <v>1</v>
      </c>
      <c r="O507" s="619">
        <v>6333</v>
      </c>
      <c r="P507" s="640"/>
      <c r="Q507" s="620">
        <v>6333</v>
      </c>
    </row>
    <row r="508" spans="1:17" ht="14.4" customHeight="1" x14ac:dyDescent="0.3">
      <c r="A508" s="615" t="s">
        <v>471</v>
      </c>
      <c r="B508" s="616" t="s">
        <v>3876</v>
      </c>
      <c r="C508" s="616" t="s">
        <v>3011</v>
      </c>
      <c r="D508" s="616" t="s">
        <v>3883</v>
      </c>
      <c r="E508" s="616" t="s">
        <v>3884</v>
      </c>
      <c r="F508" s="619"/>
      <c r="G508" s="619"/>
      <c r="H508" s="619"/>
      <c r="I508" s="619"/>
      <c r="J508" s="619"/>
      <c r="K508" s="619"/>
      <c r="L508" s="619"/>
      <c r="M508" s="619"/>
      <c r="N508" s="619">
        <v>1</v>
      </c>
      <c r="O508" s="619">
        <v>2490</v>
      </c>
      <c r="P508" s="640"/>
      <c r="Q508" s="620">
        <v>2490</v>
      </c>
    </row>
    <row r="509" spans="1:17" ht="14.4" customHeight="1" x14ac:dyDescent="0.3">
      <c r="A509" s="615" t="s">
        <v>471</v>
      </c>
      <c r="B509" s="616" t="s">
        <v>3876</v>
      </c>
      <c r="C509" s="616" t="s">
        <v>3011</v>
      </c>
      <c r="D509" s="616" t="s">
        <v>3885</v>
      </c>
      <c r="E509" s="616" t="s">
        <v>3886</v>
      </c>
      <c r="F509" s="619"/>
      <c r="G509" s="619"/>
      <c r="H509" s="619"/>
      <c r="I509" s="619"/>
      <c r="J509" s="619"/>
      <c r="K509" s="619"/>
      <c r="L509" s="619"/>
      <c r="M509" s="619"/>
      <c r="N509" s="619">
        <v>1</v>
      </c>
      <c r="O509" s="619">
        <v>2538</v>
      </c>
      <c r="P509" s="640"/>
      <c r="Q509" s="620">
        <v>2538</v>
      </c>
    </row>
    <row r="510" spans="1:17" ht="14.4" customHeight="1" x14ac:dyDescent="0.3">
      <c r="A510" s="615" t="s">
        <v>471</v>
      </c>
      <c r="B510" s="616" t="s">
        <v>3876</v>
      </c>
      <c r="C510" s="616" t="s">
        <v>3011</v>
      </c>
      <c r="D510" s="616" t="s">
        <v>3887</v>
      </c>
      <c r="E510" s="616" t="s">
        <v>3888</v>
      </c>
      <c r="F510" s="619"/>
      <c r="G510" s="619"/>
      <c r="H510" s="619"/>
      <c r="I510" s="619"/>
      <c r="J510" s="619"/>
      <c r="K510" s="619"/>
      <c r="L510" s="619"/>
      <c r="M510" s="619"/>
      <c r="N510" s="619">
        <v>2</v>
      </c>
      <c r="O510" s="619">
        <v>518</v>
      </c>
      <c r="P510" s="640"/>
      <c r="Q510" s="620">
        <v>259</v>
      </c>
    </row>
    <row r="511" spans="1:17" ht="14.4" customHeight="1" x14ac:dyDescent="0.3">
      <c r="A511" s="615" t="s">
        <v>471</v>
      </c>
      <c r="B511" s="616" t="s">
        <v>3876</v>
      </c>
      <c r="C511" s="616" t="s">
        <v>3011</v>
      </c>
      <c r="D511" s="616" t="s">
        <v>3889</v>
      </c>
      <c r="E511" s="616" t="s">
        <v>3890</v>
      </c>
      <c r="F511" s="619"/>
      <c r="G511" s="619"/>
      <c r="H511" s="619"/>
      <c r="I511" s="619"/>
      <c r="J511" s="619"/>
      <c r="K511" s="619"/>
      <c r="L511" s="619"/>
      <c r="M511" s="619"/>
      <c r="N511" s="619">
        <v>2</v>
      </c>
      <c r="O511" s="619">
        <v>1182</v>
      </c>
      <c r="P511" s="640"/>
      <c r="Q511" s="620">
        <v>591</v>
      </c>
    </row>
    <row r="512" spans="1:17" ht="14.4" customHeight="1" x14ac:dyDescent="0.3">
      <c r="A512" s="615" t="s">
        <v>471</v>
      </c>
      <c r="B512" s="616" t="s">
        <v>3876</v>
      </c>
      <c r="C512" s="616" t="s">
        <v>3011</v>
      </c>
      <c r="D512" s="616" t="s">
        <v>3891</v>
      </c>
      <c r="E512" s="616" t="s">
        <v>3892</v>
      </c>
      <c r="F512" s="619"/>
      <c r="G512" s="619"/>
      <c r="H512" s="619"/>
      <c r="I512" s="619"/>
      <c r="J512" s="619">
        <v>2</v>
      </c>
      <c r="K512" s="619">
        <v>1518</v>
      </c>
      <c r="L512" s="619"/>
      <c r="M512" s="619">
        <v>759</v>
      </c>
      <c r="N512" s="619">
        <v>1</v>
      </c>
      <c r="O512" s="619">
        <v>767</v>
      </c>
      <c r="P512" s="640"/>
      <c r="Q512" s="620">
        <v>767</v>
      </c>
    </row>
    <row r="513" spans="1:17" ht="14.4" customHeight="1" x14ac:dyDescent="0.3">
      <c r="A513" s="615" t="s">
        <v>471</v>
      </c>
      <c r="B513" s="616" t="s">
        <v>3876</v>
      </c>
      <c r="C513" s="616" t="s">
        <v>3011</v>
      </c>
      <c r="D513" s="616" t="s">
        <v>3893</v>
      </c>
      <c r="E513" s="616" t="s">
        <v>3894</v>
      </c>
      <c r="F513" s="619"/>
      <c r="G513" s="619"/>
      <c r="H513" s="619"/>
      <c r="I513" s="619"/>
      <c r="J513" s="619"/>
      <c r="K513" s="619"/>
      <c r="L513" s="619"/>
      <c r="M513" s="619"/>
      <c r="N513" s="619">
        <v>3</v>
      </c>
      <c r="O513" s="619">
        <v>1086</v>
      </c>
      <c r="P513" s="640"/>
      <c r="Q513" s="620">
        <v>362</v>
      </c>
    </row>
    <row r="514" spans="1:17" ht="14.4" customHeight="1" x14ac:dyDescent="0.3">
      <c r="A514" s="615" t="s">
        <v>471</v>
      </c>
      <c r="B514" s="616" t="s">
        <v>3876</v>
      </c>
      <c r="C514" s="616" t="s">
        <v>3011</v>
      </c>
      <c r="D514" s="616" t="s">
        <v>3895</v>
      </c>
      <c r="E514" s="616" t="s">
        <v>3896</v>
      </c>
      <c r="F514" s="619">
        <v>1</v>
      </c>
      <c r="G514" s="619">
        <v>6067</v>
      </c>
      <c r="H514" s="619">
        <v>1</v>
      </c>
      <c r="I514" s="619">
        <v>6067</v>
      </c>
      <c r="J514" s="619"/>
      <c r="K514" s="619"/>
      <c r="L514" s="619"/>
      <c r="M514" s="619"/>
      <c r="N514" s="619"/>
      <c r="O514" s="619"/>
      <c r="P514" s="640"/>
      <c r="Q514" s="620"/>
    </row>
    <row r="515" spans="1:17" ht="14.4" customHeight="1" x14ac:dyDescent="0.3">
      <c r="A515" s="615" t="s">
        <v>471</v>
      </c>
      <c r="B515" s="616" t="s">
        <v>3876</v>
      </c>
      <c r="C515" s="616" t="s">
        <v>3011</v>
      </c>
      <c r="D515" s="616" t="s">
        <v>3897</v>
      </c>
      <c r="E515" s="616" t="s">
        <v>3898</v>
      </c>
      <c r="F515" s="619"/>
      <c r="G515" s="619"/>
      <c r="H515" s="619"/>
      <c r="I515" s="619"/>
      <c r="J515" s="619"/>
      <c r="K515" s="619"/>
      <c r="L515" s="619"/>
      <c r="M515" s="619"/>
      <c r="N515" s="619">
        <v>1</v>
      </c>
      <c r="O515" s="619">
        <v>3141</v>
      </c>
      <c r="P515" s="640"/>
      <c r="Q515" s="620">
        <v>3141</v>
      </c>
    </row>
    <row r="516" spans="1:17" ht="14.4" customHeight="1" x14ac:dyDescent="0.3">
      <c r="A516" s="615" t="s">
        <v>471</v>
      </c>
      <c r="B516" s="616" t="s">
        <v>3899</v>
      </c>
      <c r="C516" s="616" t="s">
        <v>3011</v>
      </c>
      <c r="D516" s="616" t="s">
        <v>3900</v>
      </c>
      <c r="E516" s="616" t="s">
        <v>3901</v>
      </c>
      <c r="F516" s="619"/>
      <c r="G516" s="619"/>
      <c r="H516" s="619"/>
      <c r="I516" s="619"/>
      <c r="J516" s="619">
        <v>1</v>
      </c>
      <c r="K516" s="619">
        <v>259</v>
      </c>
      <c r="L516" s="619"/>
      <c r="M516" s="619">
        <v>259</v>
      </c>
      <c r="N516" s="619">
        <v>1</v>
      </c>
      <c r="O516" s="619">
        <v>265</v>
      </c>
      <c r="P516" s="640"/>
      <c r="Q516" s="620">
        <v>265</v>
      </c>
    </row>
    <row r="517" spans="1:17" ht="14.4" customHeight="1" x14ac:dyDescent="0.3">
      <c r="A517" s="615" t="s">
        <v>471</v>
      </c>
      <c r="B517" s="616" t="s">
        <v>3899</v>
      </c>
      <c r="C517" s="616" t="s">
        <v>3011</v>
      </c>
      <c r="D517" s="616" t="s">
        <v>3902</v>
      </c>
      <c r="E517" s="616" t="s">
        <v>3903</v>
      </c>
      <c r="F517" s="619"/>
      <c r="G517" s="619"/>
      <c r="H517" s="619"/>
      <c r="I517" s="619"/>
      <c r="J517" s="619"/>
      <c r="K517" s="619"/>
      <c r="L517" s="619"/>
      <c r="M517" s="619"/>
      <c r="N517" s="619">
        <v>2</v>
      </c>
      <c r="O517" s="619">
        <v>698</v>
      </c>
      <c r="P517" s="640"/>
      <c r="Q517" s="620">
        <v>349</v>
      </c>
    </row>
    <row r="518" spans="1:17" ht="14.4" customHeight="1" x14ac:dyDescent="0.3">
      <c r="A518" s="615" t="s">
        <v>471</v>
      </c>
      <c r="B518" s="616" t="s">
        <v>3899</v>
      </c>
      <c r="C518" s="616" t="s">
        <v>3011</v>
      </c>
      <c r="D518" s="616" t="s">
        <v>3904</v>
      </c>
      <c r="E518" s="616" t="s">
        <v>3905</v>
      </c>
      <c r="F518" s="619"/>
      <c r="G518" s="619"/>
      <c r="H518" s="619"/>
      <c r="I518" s="619"/>
      <c r="J518" s="619"/>
      <c r="K518" s="619"/>
      <c r="L518" s="619"/>
      <c r="M518" s="619"/>
      <c r="N518" s="619">
        <v>2</v>
      </c>
      <c r="O518" s="619">
        <v>566</v>
      </c>
      <c r="P518" s="640"/>
      <c r="Q518" s="620">
        <v>283</v>
      </c>
    </row>
    <row r="519" spans="1:17" ht="14.4" customHeight="1" thickBot="1" x14ac:dyDescent="0.35">
      <c r="A519" s="621" t="s">
        <v>471</v>
      </c>
      <c r="B519" s="622" t="s">
        <v>3899</v>
      </c>
      <c r="C519" s="622" t="s">
        <v>3011</v>
      </c>
      <c r="D519" s="622" t="s">
        <v>3906</v>
      </c>
      <c r="E519" s="622" t="s">
        <v>3907</v>
      </c>
      <c r="F519" s="625"/>
      <c r="G519" s="625"/>
      <c r="H519" s="625"/>
      <c r="I519" s="625"/>
      <c r="J519" s="625"/>
      <c r="K519" s="625"/>
      <c r="L519" s="625"/>
      <c r="M519" s="625"/>
      <c r="N519" s="625">
        <v>2</v>
      </c>
      <c r="O519" s="625">
        <v>11194</v>
      </c>
      <c r="P519" s="633"/>
      <c r="Q519" s="626">
        <v>5597</v>
      </c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2">
    <tabColor theme="5" tint="0.39997558519241921"/>
    <pageSetUpPr fitToPage="1"/>
  </sheetPr>
  <dimension ref="A1:M46"/>
  <sheetViews>
    <sheetView showGridLines="0" showRowColHeaders="0" zoomScaleNormal="100" workbookViewId="0">
      <selection sqref="A1:M1"/>
    </sheetView>
  </sheetViews>
  <sheetFormatPr defaultColWidth="9.33203125" defaultRowHeight="14.4" customHeight="1" outlineLevelRow="1" x14ac:dyDescent="0.25"/>
  <cols>
    <col min="1" max="1" width="29.109375" style="338" customWidth="1"/>
    <col min="2" max="4" width="7.88671875" style="338" customWidth="1"/>
    <col min="5" max="5" width="7.88671875" style="347" customWidth="1"/>
    <col min="6" max="8" width="7.88671875" style="338" customWidth="1"/>
    <col min="9" max="9" width="7.88671875" style="348" customWidth="1"/>
    <col min="10" max="13" width="7.88671875" style="338" customWidth="1"/>
    <col min="14" max="16384" width="9.33203125" style="338"/>
  </cols>
  <sheetData>
    <row r="1" spans="1:13" ht="18.600000000000001" customHeight="1" thickBot="1" x14ac:dyDescent="0.4">
      <c r="A1" s="542" t="s">
        <v>122</v>
      </c>
      <c r="B1" s="511"/>
      <c r="C1" s="511"/>
      <c r="D1" s="511"/>
      <c r="E1" s="511"/>
      <c r="F1" s="511"/>
      <c r="G1" s="511"/>
      <c r="H1" s="511"/>
      <c r="I1" s="511"/>
      <c r="J1" s="511"/>
      <c r="K1" s="511"/>
      <c r="L1" s="511"/>
      <c r="M1" s="511"/>
    </row>
    <row r="2" spans="1:13" ht="14.4" customHeight="1" thickBot="1" x14ac:dyDescent="0.35">
      <c r="A2" s="360" t="s">
        <v>280</v>
      </c>
      <c r="B2" s="339"/>
      <c r="C2" s="339"/>
      <c r="D2" s="339"/>
      <c r="E2" s="339"/>
      <c r="F2" s="339"/>
      <c r="G2" s="339"/>
      <c r="H2" s="339"/>
      <c r="I2" s="339"/>
      <c r="J2" s="339"/>
      <c r="K2" s="339"/>
      <c r="L2" s="339"/>
      <c r="M2" s="339"/>
    </row>
    <row r="3" spans="1:13" ht="14.4" customHeight="1" thickBot="1" x14ac:dyDescent="0.35">
      <c r="A3" s="543" t="s">
        <v>57</v>
      </c>
      <c r="B3" s="513" t="s">
        <v>58</v>
      </c>
      <c r="C3" s="514"/>
      <c r="D3" s="514"/>
      <c r="E3" s="515"/>
      <c r="F3" s="513" t="s">
        <v>230</v>
      </c>
      <c r="G3" s="514"/>
      <c r="H3" s="514"/>
      <c r="I3" s="515"/>
      <c r="J3" s="108"/>
      <c r="K3" s="109"/>
      <c r="L3" s="108"/>
      <c r="M3" s="110"/>
    </row>
    <row r="4" spans="1:13" ht="14.4" customHeight="1" thickBot="1" x14ac:dyDescent="0.35">
      <c r="A4" s="544"/>
      <c r="B4" s="111">
        <v>2014</v>
      </c>
      <c r="C4" s="112">
        <v>2015</v>
      </c>
      <c r="D4" s="112">
        <v>2016</v>
      </c>
      <c r="E4" s="113" t="s">
        <v>2</v>
      </c>
      <c r="F4" s="111">
        <v>2014</v>
      </c>
      <c r="G4" s="112">
        <v>2015</v>
      </c>
      <c r="H4" s="112">
        <v>2016</v>
      </c>
      <c r="I4" s="113" t="s">
        <v>2</v>
      </c>
      <c r="J4" s="108"/>
      <c r="K4" s="108"/>
      <c r="L4" s="114" t="s">
        <v>59</v>
      </c>
      <c r="M4" s="115" t="s">
        <v>60</v>
      </c>
    </row>
    <row r="5" spans="1:13" ht="14.4" hidden="1" customHeight="1" outlineLevel="1" x14ac:dyDescent="0.3">
      <c r="A5" s="103" t="s">
        <v>150</v>
      </c>
      <c r="B5" s="106">
        <v>215.63499999999999</v>
      </c>
      <c r="C5" s="99">
        <v>114.681</v>
      </c>
      <c r="D5" s="99">
        <v>143.73500000000001</v>
      </c>
      <c r="E5" s="116">
        <v>0.66656618823474867</v>
      </c>
      <c r="F5" s="117">
        <v>27</v>
      </c>
      <c r="G5" s="99">
        <v>18</v>
      </c>
      <c r="H5" s="99">
        <v>22</v>
      </c>
      <c r="I5" s="118">
        <v>0.81481481481481477</v>
      </c>
      <c r="J5" s="108"/>
      <c r="K5" s="108"/>
      <c r="L5" s="7">
        <f>D5-B5</f>
        <v>-71.899999999999977</v>
      </c>
      <c r="M5" s="8">
        <f>H5-F5</f>
        <v>-5</v>
      </c>
    </row>
    <row r="6" spans="1:13" ht="14.4" hidden="1" customHeight="1" outlineLevel="1" x14ac:dyDescent="0.3">
      <c r="A6" s="104" t="s">
        <v>151</v>
      </c>
      <c r="B6" s="107">
        <v>22.402999999999999</v>
      </c>
      <c r="C6" s="98">
        <v>30.791</v>
      </c>
      <c r="D6" s="98">
        <v>35.753999999999998</v>
      </c>
      <c r="E6" s="119">
        <v>1.5959469713877605</v>
      </c>
      <c r="F6" s="120">
        <v>7</v>
      </c>
      <c r="G6" s="98">
        <v>5</v>
      </c>
      <c r="H6" s="98">
        <v>5</v>
      </c>
      <c r="I6" s="121">
        <v>0.7142857142857143</v>
      </c>
      <c r="J6" s="108"/>
      <c r="K6" s="108"/>
      <c r="L6" s="5">
        <f t="shared" ref="L6:L11" si="0">D6-B6</f>
        <v>13.350999999999999</v>
      </c>
      <c r="M6" s="6">
        <f t="shared" ref="M6:M13" si="1">H6-F6</f>
        <v>-2</v>
      </c>
    </row>
    <row r="7" spans="1:13" ht="14.4" hidden="1" customHeight="1" outlineLevel="1" x14ac:dyDescent="0.3">
      <c r="A7" s="104" t="s">
        <v>152</v>
      </c>
      <c r="B7" s="107">
        <v>113.834</v>
      </c>
      <c r="C7" s="98">
        <v>72.155000000000001</v>
      </c>
      <c r="D7" s="98">
        <v>78.400999999999996</v>
      </c>
      <c r="E7" s="119">
        <v>0.68873095911590554</v>
      </c>
      <c r="F7" s="120">
        <v>11</v>
      </c>
      <c r="G7" s="98">
        <v>8</v>
      </c>
      <c r="H7" s="98">
        <v>9</v>
      </c>
      <c r="I7" s="121">
        <v>0.81818181818181823</v>
      </c>
      <c r="J7" s="108"/>
      <c r="K7" s="108"/>
      <c r="L7" s="5">
        <f t="shared" si="0"/>
        <v>-35.433000000000007</v>
      </c>
      <c r="M7" s="6">
        <f t="shared" si="1"/>
        <v>-2</v>
      </c>
    </row>
    <row r="8" spans="1:13" ht="14.4" hidden="1" customHeight="1" outlineLevel="1" x14ac:dyDescent="0.3">
      <c r="A8" s="104" t="s">
        <v>153</v>
      </c>
      <c r="B8" s="107">
        <v>4.3070000000000004</v>
      </c>
      <c r="C8" s="98">
        <v>3.3860000000000001</v>
      </c>
      <c r="D8" s="98">
        <v>24.835999999999999</v>
      </c>
      <c r="E8" s="119">
        <v>5.7664267471557924</v>
      </c>
      <c r="F8" s="120">
        <v>2</v>
      </c>
      <c r="G8" s="98">
        <v>2</v>
      </c>
      <c r="H8" s="98">
        <v>3</v>
      </c>
      <c r="I8" s="121">
        <v>1.5</v>
      </c>
      <c r="J8" s="108"/>
      <c r="K8" s="108"/>
      <c r="L8" s="5">
        <f t="shared" si="0"/>
        <v>20.528999999999996</v>
      </c>
      <c r="M8" s="6">
        <f t="shared" si="1"/>
        <v>1</v>
      </c>
    </row>
    <row r="9" spans="1:13" ht="14.4" hidden="1" customHeight="1" outlineLevel="1" x14ac:dyDescent="0.3">
      <c r="A9" s="104" t="s">
        <v>154</v>
      </c>
      <c r="B9" s="107">
        <v>0</v>
      </c>
      <c r="C9" s="98">
        <v>0</v>
      </c>
      <c r="D9" s="98">
        <v>0</v>
      </c>
      <c r="E9" s="119" t="s">
        <v>473</v>
      </c>
      <c r="F9" s="120">
        <v>0</v>
      </c>
      <c r="G9" s="98">
        <v>0</v>
      </c>
      <c r="H9" s="98">
        <v>0</v>
      </c>
      <c r="I9" s="121" t="s">
        <v>473</v>
      </c>
      <c r="J9" s="108"/>
      <c r="K9" s="108"/>
      <c r="L9" s="5">
        <f t="shared" si="0"/>
        <v>0</v>
      </c>
      <c r="M9" s="6">
        <f t="shared" si="1"/>
        <v>0</v>
      </c>
    </row>
    <row r="10" spans="1:13" ht="14.4" hidden="1" customHeight="1" outlineLevel="1" x14ac:dyDescent="0.3">
      <c r="A10" s="104" t="s">
        <v>155</v>
      </c>
      <c r="B10" s="107">
        <v>29.966000000000001</v>
      </c>
      <c r="C10" s="98">
        <v>2.8460000000000001</v>
      </c>
      <c r="D10" s="98">
        <v>6.3609999999999998</v>
      </c>
      <c r="E10" s="119">
        <v>0.21227391043182273</v>
      </c>
      <c r="F10" s="120">
        <v>6</v>
      </c>
      <c r="G10" s="98">
        <v>3</v>
      </c>
      <c r="H10" s="98">
        <v>4</v>
      </c>
      <c r="I10" s="121">
        <v>0.66666666666666663</v>
      </c>
      <c r="J10" s="108"/>
      <c r="K10" s="108"/>
      <c r="L10" s="5">
        <f t="shared" si="0"/>
        <v>-23.605</v>
      </c>
      <c r="M10" s="6">
        <f t="shared" si="1"/>
        <v>-2</v>
      </c>
    </row>
    <row r="11" spans="1:13" ht="14.4" hidden="1" customHeight="1" outlineLevel="1" x14ac:dyDescent="0.3">
      <c r="A11" s="104" t="s">
        <v>156</v>
      </c>
      <c r="B11" s="107">
        <v>44.886000000000003</v>
      </c>
      <c r="C11" s="98">
        <v>22.53</v>
      </c>
      <c r="D11" s="98">
        <v>1.284</v>
      </c>
      <c r="E11" s="119">
        <v>2.8605801363454083E-2</v>
      </c>
      <c r="F11" s="120">
        <v>4</v>
      </c>
      <c r="G11" s="98">
        <v>2</v>
      </c>
      <c r="H11" s="98">
        <v>1</v>
      </c>
      <c r="I11" s="121">
        <v>0.25</v>
      </c>
      <c r="J11" s="108"/>
      <c r="K11" s="108"/>
      <c r="L11" s="5">
        <f t="shared" si="0"/>
        <v>-43.602000000000004</v>
      </c>
      <c r="M11" s="6">
        <f t="shared" si="1"/>
        <v>-3</v>
      </c>
    </row>
    <row r="12" spans="1:13" ht="14.4" hidden="1" customHeight="1" outlineLevel="1" thickBot="1" x14ac:dyDescent="0.35">
      <c r="A12" s="228" t="s">
        <v>186</v>
      </c>
      <c r="B12" s="229">
        <v>3.7829999999999999</v>
      </c>
      <c r="C12" s="230">
        <v>0</v>
      </c>
      <c r="D12" s="230">
        <v>1.907</v>
      </c>
      <c r="E12" s="231"/>
      <c r="F12" s="232">
        <v>1</v>
      </c>
      <c r="G12" s="230">
        <v>0</v>
      </c>
      <c r="H12" s="230">
        <v>1</v>
      </c>
      <c r="I12" s="233"/>
      <c r="J12" s="108"/>
      <c r="K12" s="108"/>
      <c r="L12" s="234">
        <f>D12-B12</f>
        <v>-1.8759999999999999</v>
      </c>
      <c r="M12" s="235">
        <f>H12-F12</f>
        <v>0</v>
      </c>
    </row>
    <row r="13" spans="1:13" ht="14.4" customHeight="1" collapsed="1" thickBot="1" x14ac:dyDescent="0.35">
      <c r="A13" s="105" t="s">
        <v>3</v>
      </c>
      <c r="B13" s="100">
        <f>SUM(B5:B12)</f>
        <v>434.81400000000002</v>
      </c>
      <c r="C13" s="101">
        <f>SUM(C5:C12)</f>
        <v>246.38900000000001</v>
      </c>
      <c r="D13" s="101">
        <f>SUM(D5:D12)</f>
        <v>292.27799999999996</v>
      </c>
      <c r="E13" s="122">
        <f>IF(OR(D13=0,B13=0),0,D13/B13)</f>
        <v>0.67219086781934334</v>
      </c>
      <c r="F13" s="123">
        <f>SUM(F5:F12)</f>
        <v>58</v>
      </c>
      <c r="G13" s="101">
        <f>SUM(G5:G12)</f>
        <v>38</v>
      </c>
      <c r="H13" s="101">
        <f>SUM(H5:H12)</f>
        <v>45</v>
      </c>
      <c r="I13" s="124">
        <f>IF(OR(H13=0,F13=0),0,H13/F13)</f>
        <v>0.77586206896551724</v>
      </c>
      <c r="J13" s="108"/>
      <c r="K13" s="108"/>
      <c r="L13" s="114">
        <f>D13-B13</f>
        <v>-142.53600000000006</v>
      </c>
      <c r="M13" s="125">
        <f t="shared" si="1"/>
        <v>-13</v>
      </c>
    </row>
    <row r="14" spans="1:13" ht="14.4" customHeight="1" x14ac:dyDescent="0.3">
      <c r="A14" s="126"/>
      <c r="B14" s="536"/>
      <c r="C14" s="536"/>
      <c r="D14" s="536"/>
      <c r="E14" s="536"/>
      <c r="F14" s="536"/>
      <c r="G14" s="536"/>
      <c r="H14" s="536"/>
      <c r="I14" s="536"/>
      <c r="J14" s="108"/>
      <c r="K14" s="108"/>
      <c r="L14" s="108"/>
      <c r="M14" s="110"/>
    </row>
    <row r="15" spans="1:13" ht="14.4" customHeight="1" thickBot="1" x14ac:dyDescent="0.35">
      <c r="A15" s="126"/>
      <c r="B15" s="340"/>
      <c r="C15" s="341"/>
      <c r="D15" s="341"/>
      <c r="E15" s="341"/>
      <c r="F15" s="340"/>
      <c r="G15" s="341"/>
      <c r="H15" s="341"/>
      <c r="I15" s="341"/>
      <c r="J15" s="108"/>
      <c r="K15" s="108"/>
      <c r="L15" s="108"/>
      <c r="M15" s="110"/>
    </row>
    <row r="16" spans="1:13" ht="14.4" customHeight="1" thickBot="1" x14ac:dyDescent="0.35">
      <c r="A16" s="531" t="s">
        <v>182</v>
      </c>
      <c r="B16" s="533" t="s">
        <v>58</v>
      </c>
      <c r="C16" s="534"/>
      <c r="D16" s="534"/>
      <c r="E16" s="535"/>
      <c r="F16" s="533" t="s">
        <v>230</v>
      </c>
      <c r="G16" s="534"/>
      <c r="H16" s="534"/>
      <c r="I16" s="535"/>
      <c r="J16" s="538" t="s">
        <v>160</v>
      </c>
      <c r="K16" s="539"/>
      <c r="L16" s="143"/>
      <c r="M16" s="143"/>
    </row>
    <row r="17" spans="1:13" ht="14.4" customHeight="1" thickBot="1" x14ac:dyDescent="0.35">
      <c r="A17" s="532"/>
      <c r="B17" s="127">
        <v>2014</v>
      </c>
      <c r="C17" s="128">
        <v>2015</v>
      </c>
      <c r="D17" s="128">
        <v>2016</v>
      </c>
      <c r="E17" s="129" t="s">
        <v>2</v>
      </c>
      <c r="F17" s="127">
        <v>2014</v>
      </c>
      <c r="G17" s="128">
        <v>2015</v>
      </c>
      <c r="H17" s="128">
        <v>2016</v>
      </c>
      <c r="I17" s="129" t="s">
        <v>2</v>
      </c>
      <c r="J17" s="540" t="s">
        <v>161</v>
      </c>
      <c r="K17" s="541"/>
      <c r="L17" s="130" t="s">
        <v>59</v>
      </c>
      <c r="M17" s="131" t="s">
        <v>60</v>
      </c>
    </row>
    <row r="18" spans="1:13" ht="14.4" hidden="1" customHeight="1" outlineLevel="1" x14ac:dyDescent="0.3">
      <c r="A18" s="103" t="s">
        <v>150</v>
      </c>
      <c r="B18" s="106">
        <v>211.922</v>
      </c>
      <c r="C18" s="99">
        <v>114.681</v>
      </c>
      <c r="D18" s="99">
        <v>143.73500000000001</v>
      </c>
      <c r="E18" s="116">
        <v>0.67824482592652025</v>
      </c>
      <c r="F18" s="106">
        <v>26</v>
      </c>
      <c r="G18" s="99">
        <v>18</v>
      </c>
      <c r="H18" s="99">
        <v>22</v>
      </c>
      <c r="I18" s="118">
        <v>0.84615384615384615</v>
      </c>
      <c r="J18" s="524">
        <v>0.91871999999999998</v>
      </c>
      <c r="K18" s="525"/>
      <c r="L18" s="132">
        <f>D18-B18</f>
        <v>-68.186999999999983</v>
      </c>
      <c r="M18" s="133">
        <f>H18-F18</f>
        <v>-4</v>
      </c>
    </row>
    <row r="19" spans="1:13" ht="14.4" hidden="1" customHeight="1" outlineLevel="1" x14ac:dyDescent="0.3">
      <c r="A19" s="104" t="s">
        <v>151</v>
      </c>
      <c r="B19" s="107">
        <v>22.402999999999999</v>
      </c>
      <c r="C19" s="98">
        <v>30.791</v>
      </c>
      <c r="D19" s="98">
        <v>35.753999999999998</v>
      </c>
      <c r="E19" s="119">
        <v>1.5959469713877605</v>
      </c>
      <c r="F19" s="107">
        <v>7</v>
      </c>
      <c r="G19" s="98">
        <v>5</v>
      </c>
      <c r="H19" s="98">
        <v>5</v>
      </c>
      <c r="I19" s="121">
        <v>0.7142857142857143</v>
      </c>
      <c r="J19" s="524">
        <v>0.99456</v>
      </c>
      <c r="K19" s="525"/>
      <c r="L19" s="134">
        <f t="shared" ref="L19:L26" si="2">D19-B19</f>
        <v>13.350999999999999</v>
      </c>
      <c r="M19" s="135">
        <f t="shared" ref="M19:M26" si="3">H19-F19</f>
        <v>-2</v>
      </c>
    </row>
    <row r="20" spans="1:13" ht="14.4" hidden="1" customHeight="1" outlineLevel="1" x14ac:dyDescent="0.3">
      <c r="A20" s="104" t="s">
        <v>152</v>
      </c>
      <c r="B20" s="107">
        <v>113.834</v>
      </c>
      <c r="C20" s="98">
        <v>72.155000000000001</v>
      </c>
      <c r="D20" s="98">
        <v>78.400999999999996</v>
      </c>
      <c r="E20" s="119">
        <v>0.68873095911590554</v>
      </c>
      <c r="F20" s="107">
        <v>11</v>
      </c>
      <c r="G20" s="98">
        <v>8</v>
      </c>
      <c r="H20" s="98">
        <v>9</v>
      </c>
      <c r="I20" s="121">
        <v>0.81818181818181823</v>
      </c>
      <c r="J20" s="524">
        <v>0.96671999999999991</v>
      </c>
      <c r="K20" s="525"/>
      <c r="L20" s="134">
        <f t="shared" si="2"/>
        <v>-35.433000000000007</v>
      </c>
      <c r="M20" s="135">
        <f t="shared" si="3"/>
        <v>-2</v>
      </c>
    </row>
    <row r="21" spans="1:13" ht="14.4" hidden="1" customHeight="1" outlineLevel="1" x14ac:dyDescent="0.3">
      <c r="A21" s="104" t="s">
        <v>153</v>
      </c>
      <c r="B21" s="107">
        <v>4.3070000000000004</v>
      </c>
      <c r="C21" s="98">
        <v>3.3860000000000001</v>
      </c>
      <c r="D21" s="98">
        <v>24.835999999999999</v>
      </c>
      <c r="E21" s="119">
        <v>5.7664267471557924</v>
      </c>
      <c r="F21" s="107">
        <v>2</v>
      </c>
      <c r="G21" s="98">
        <v>2</v>
      </c>
      <c r="H21" s="98">
        <v>3</v>
      </c>
      <c r="I21" s="121">
        <v>1.5</v>
      </c>
      <c r="J21" s="524">
        <v>1.11744</v>
      </c>
      <c r="K21" s="525"/>
      <c r="L21" s="134">
        <f t="shared" si="2"/>
        <v>20.528999999999996</v>
      </c>
      <c r="M21" s="135">
        <f t="shared" si="3"/>
        <v>1</v>
      </c>
    </row>
    <row r="22" spans="1:13" ht="14.4" hidden="1" customHeight="1" outlineLevel="1" x14ac:dyDescent="0.3">
      <c r="A22" s="104" t="s">
        <v>154</v>
      </c>
      <c r="B22" s="107">
        <v>0</v>
      </c>
      <c r="C22" s="98">
        <v>0</v>
      </c>
      <c r="D22" s="98">
        <v>0</v>
      </c>
      <c r="E22" s="119" t="s">
        <v>473</v>
      </c>
      <c r="F22" s="107">
        <v>0</v>
      </c>
      <c r="G22" s="98">
        <v>0</v>
      </c>
      <c r="H22" s="98">
        <v>0</v>
      </c>
      <c r="I22" s="121" t="s">
        <v>473</v>
      </c>
      <c r="J22" s="524">
        <v>0.96</v>
      </c>
      <c r="K22" s="525"/>
      <c r="L22" s="134">
        <f t="shared" si="2"/>
        <v>0</v>
      </c>
      <c r="M22" s="135">
        <f t="shared" si="3"/>
        <v>0</v>
      </c>
    </row>
    <row r="23" spans="1:13" ht="14.4" hidden="1" customHeight="1" outlineLevel="1" x14ac:dyDescent="0.3">
      <c r="A23" s="104" t="s">
        <v>155</v>
      </c>
      <c r="B23" s="107">
        <v>29.966000000000001</v>
      </c>
      <c r="C23" s="98">
        <v>2.8460000000000001</v>
      </c>
      <c r="D23" s="98">
        <v>6.3609999999999998</v>
      </c>
      <c r="E23" s="119">
        <v>0.21227391043182273</v>
      </c>
      <c r="F23" s="107">
        <v>6</v>
      </c>
      <c r="G23" s="98">
        <v>3</v>
      </c>
      <c r="H23" s="98">
        <v>4</v>
      </c>
      <c r="I23" s="121">
        <v>0.66666666666666663</v>
      </c>
      <c r="J23" s="524">
        <v>0.98495999999999995</v>
      </c>
      <c r="K23" s="525"/>
      <c r="L23" s="134">
        <f t="shared" si="2"/>
        <v>-23.605</v>
      </c>
      <c r="M23" s="135">
        <f t="shared" si="3"/>
        <v>-2</v>
      </c>
    </row>
    <row r="24" spans="1:13" ht="14.4" hidden="1" customHeight="1" outlineLevel="1" x14ac:dyDescent="0.3">
      <c r="A24" s="104" t="s">
        <v>156</v>
      </c>
      <c r="B24" s="107">
        <v>44.886000000000003</v>
      </c>
      <c r="C24" s="98">
        <v>22.53</v>
      </c>
      <c r="D24" s="98">
        <v>1.284</v>
      </c>
      <c r="E24" s="119">
        <v>2.8605801363454083E-2</v>
      </c>
      <c r="F24" s="107">
        <v>4</v>
      </c>
      <c r="G24" s="98">
        <v>2</v>
      </c>
      <c r="H24" s="98">
        <v>1</v>
      </c>
      <c r="I24" s="121">
        <v>0.25</v>
      </c>
      <c r="J24" s="524">
        <v>1.0147199999999998</v>
      </c>
      <c r="K24" s="525"/>
      <c r="L24" s="134">
        <f t="shared" si="2"/>
        <v>-43.602000000000004</v>
      </c>
      <c r="M24" s="135">
        <f t="shared" si="3"/>
        <v>-3</v>
      </c>
    </row>
    <row r="25" spans="1:13" ht="14.4" hidden="1" customHeight="1" outlineLevel="1" thickBot="1" x14ac:dyDescent="0.35">
      <c r="A25" s="228" t="s">
        <v>186</v>
      </c>
      <c r="B25" s="229">
        <v>3.7829999999999999</v>
      </c>
      <c r="C25" s="230">
        <v>0</v>
      </c>
      <c r="D25" s="230">
        <v>1.907</v>
      </c>
      <c r="E25" s="231"/>
      <c r="F25" s="229">
        <v>1</v>
      </c>
      <c r="G25" s="230">
        <v>0</v>
      </c>
      <c r="H25" s="230">
        <v>1</v>
      </c>
      <c r="I25" s="233"/>
      <c r="J25" s="342"/>
      <c r="K25" s="343"/>
      <c r="L25" s="236">
        <f>D25-B25</f>
        <v>-1.8759999999999999</v>
      </c>
      <c r="M25" s="237">
        <f>H25-F25</f>
        <v>0</v>
      </c>
    </row>
    <row r="26" spans="1:13" ht="14.4" customHeight="1" collapsed="1" thickBot="1" x14ac:dyDescent="0.35">
      <c r="A26" s="136" t="s">
        <v>3</v>
      </c>
      <c r="B26" s="137">
        <f>SUM(B18:B25)</f>
        <v>431.10100000000006</v>
      </c>
      <c r="C26" s="138">
        <f>SUM(C18:C25)</f>
        <v>246.38900000000001</v>
      </c>
      <c r="D26" s="138">
        <f>SUM(D18:D25)</f>
        <v>292.27799999999996</v>
      </c>
      <c r="E26" s="139">
        <f>IF(OR(D26=0,B26=0),0,D26/B26)</f>
        <v>0.67798033407484537</v>
      </c>
      <c r="F26" s="137">
        <f>SUM(F18:F25)</f>
        <v>57</v>
      </c>
      <c r="G26" s="138">
        <f>SUM(G18:G25)</f>
        <v>38</v>
      </c>
      <c r="H26" s="138">
        <f>SUM(H18:H25)</f>
        <v>45</v>
      </c>
      <c r="I26" s="140">
        <f>IF(OR(H26=0,F26=0),0,H26/F26)</f>
        <v>0.78947368421052633</v>
      </c>
      <c r="J26" s="108"/>
      <c r="K26" s="108"/>
      <c r="L26" s="130">
        <f t="shared" si="2"/>
        <v>-138.82300000000009</v>
      </c>
      <c r="M26" s="141">
        <f t="shared" si="3"/>
        <v>-12</v>
      </c>
    </row>
    <row r="27" spans="1:13" ht="14.4" customHeight="1" x14ac:dyDescent="0.3">
      <c r="A27" s="142"/>
      <c r="B27" s="536" t="s">
        <v>184</v>
      </c>
      <c r="C27" s="537"/>
      <c r="D27" s="537"/>
      <c r="E27" s="537"/>
      <c r="F27" s="536" t="s">
        <v>185</v>
      </c>
      <c r="G27" s="537"/>
      <c r="H27" s="537"/>
      <c r="I27" s="537"/>
      <c r="J27" s="143"/>
      <c r="K27" s="143"/>
      <c r="L27" s="143"/>
      <c r="M27" s="144"/>
    </row>
    <row r="28" spans="1:13" ht="14.4" customHeight="1" thickBot="1" x14ac:dyDescent="0.35">
      <c r="A28" s="142"/>
      <c r="B28" s="340"/>
      <c r="C28" s="341"/>
      <c r="D28" s="341"/>
      <c r="E28" s="341"/>
      <c r="F28" s="340"/>
      <c r="G28" s="341"/>
      <c r="H28" s="341"/>
      <c r="I28" s="341"/>
      <c r="J28" s="143"/>
      <c r="K28" s="143"/>
      <c r="L28" s="143"/>
      <c r="M28" s="144"/>
    </row>
    <row r="29" spans="1:13" ht="14.4" customHeight="1" thickBot="1" x14ac:dyDescent="0.35">
      <c r="A29" s="526" t="s">
        <v>183</v>
      </c>
      <c r="B29" s="528" t="s">
        <v>58</v>
      </c>
      <c r="C29" s="529"/>
      <c r="D29" s="529"/>
      <c r="E29" s="530"/>
      <c r="F29" s="529" t="s">
        <v>230</v>
      </c>
      <c r="G29" s="529"/>
      <c r="H29" s="529"/>
      <c r="I29" s="530"/>
      <c r="J29" s="143"/>
      <c r="K29" s="143"/>
      <c r="L29" s="143"/>
      <c r="M29" s="144"/>
    </row>
    <row r="30" spans="1:13" ht="14.4" customHeight="1" thickBot="1" x14ac:dyDescent="0.35">
      <c r="A30" s="527"/>
      <c r="B30" s="145">
        <v>2014</v>
      </c>
      <c r="C30" s="146">
        <v>2015</v>
      </c>
      <c r="D30" s="146">
        <v>2016</v>
      </c>
      <c r="E30" s="147" t="s">
        <v>2</v>
      </c>
      <c r="F30" s="146">
        <v>2014</v>
      </c>
      <c r="G30" s="146">
        <v>2015</v>
      </c>
      <c r="H30" s="146">
        <v>2016</v>
      </c>
      <c r="I30" s="147" t="s">
        <v>2</v>
      </c>
      <c r="J30" s="143"/>
      <c r="K30" s="143"/>
      <c r="L30" s="148" t="s">
        <v>59</v>
      </c>
      <c r="M30" s="149" t="s">
        <v>60</v>
      </c>
    </row>
    <row r="31" spans="1:13" ht="14.4" hidden="1" customHeight="1" outlineLevel="1" x14ac:dyDescent="0.3">
      <c r="A31" s="103" t="s">
        <v>150</v>
      </c>
      <c r="B31" s="106">
        <v>3.7130000000000001</v>
      </c>
      <c r="C31" s="99">
        <v>0</v>
      </c>
      <c r="D31" s="99">
        <v>0</v>
      </c>
      <c r="E31" s="116" t="s">
        <v>473</v>
      </c>
      <c r="F31" s="117">
        <v>1</v>
      </c>
      <c r="G31" s="99">
        <v>0</v>
      </c>
      <c r="H31" s="99">
        <v>0</v>
      </c>
      <c r="I31" s="118" t="s">
        <v>473</v>
      </c>
      <c r="J31" s="143"/>
      <c r="K31" s="143"/>
      <c r="L31" s="132">
        <f t="shared" ref="L31:L39" si="4">D31-B31</f>
        <v>-3.7130000000000001</v>
      </c>
      <c r="M31" s="133">
        <f t="shared" ref="M31:M39" si="5">H31-F31</f>
        <v>-1</v>
      </c>
    </row>
    <row r="32" spans="1:13" ht="14.4" hidden="1" customHeight="1" outlineLevel="1" x14ac:dyDescent="0.3">
      <c r="A32" s="104" t="s">
        <v>151</v>
      </c>
      <c r="B32" s="107">
        <v>0</v>
      </c>
      <c r="C32" s="98">
        <v>0</v>
      </c>
      <c r="D32" s="98">
        <v>0</v>
      </c>
      <c r="E32" s="119" t="s">
        <v>473</v>
      </c>
      <c r="F32" s="120">
        <v>0</v>
      </c>
      <c r="G32" s="98">
        <v>0</v>
      </c>
      <c r="H32" s="98">
        <v>0</v>
      </c>
      <c r="I32" s="121" t="s">
        <v>473</v>
      </c>
      <c r="J32" s="143"/>
      <c r="K32" s="143"/>
      <c r="L32" s="134">
        <f t="shared" si="4"/>
        <v>0</v>
      </c>
      <c r="M32" s="135">
        <f t="shared" si="5"/>
        <v>0</v>
      </c>
    </row>
    <row r="33" spans="1:13" ht="14.4" hidden="1" customHeight="1" outlineLevel="1" x14ac:dyDescent="0.3">
      <c r="A33" s="104" t="s">
        <v>152</v>
      </c>
      <c r="B33" s="107">
        <v>0</v>
      </c>
      <c r="C33" s="98">
        <v>0</v>
      </c>
      <c r="D33" s="98">
        <v>0</v>
      </c>
      <c r="E33" s="119" t="s">
        <v>473</v>
      </c>
      <c r="F33" s="120">
        <v>0</v>
      </c>
      <c r="G33" s="98">
        <v>0</v>
      </c>
      <c r="H33" s="98">
        <v>0</v>
      </c>
      <c r="I33" s="121" t="s">
        <v>473</v>
      </c>
      <c r="J33" s="143"/>
      <c r="K33" s="143"/>
      <c r="L33" s="134">
        <f t="shared" si="4"/>
        <v>0</v>
      </c>
      <c r="M33" s="135">
        <f t="shared" si="5"/>
        <v>0</v>
      </c>
    </row>
    <row r="34" spans="1:13" ht="14.4" hidden="1" customHeight="1" outlineLevel="1" x14ac:dyDescent="0.3">
      <c r="A34" s="104" t="s">
        <v>153</v>
      </c>
      <c r="B34" s="107">
        <v>0</v>
      </c>
      <c r="C34" s="98">
        <v>0</v>
      </c>
      <c r="D34" s="98">
        <v>0</v>
      </c>
      <c r="E34" s="119" t="s">
        <v>473</v>
      </c>
      <c r="F34" s="120">
        <v>0</v>
      </c>
      <c r="G34" s="98">
        <v>0</v>
      </c>
      <c r="H34" s="98">
        <v>0</v>
      </c>
      <c r="I34" s="121" t="s">
        <v>473</v>
      </c>
      <c r="J34" s="143"/>
      <c r="K34" s="143"/>
      <c r="L34" s="134">
        <f t="shared" si="4"/>
        <v>0</v>
      </c>
      <c r="M34" s="135">
        <f t="shared" si="5"/>
        <v>0</v>
      </c>
    </row>
    <row r="35" spans="1:13" ht="14.4" hidden="1" customHeight="1" outlineLevel="1" x14ac:dyDescent="0.3">
      <c r="A35" s="104" t="s">
        <v>154</v>
      </c>
      <c r="B35" s="107">
        <v>0</v>
      </c>
      <c r="C35" s="98">
        <v>0</v>
      </c>
      <c r="D35" s="98">
        <v>0</v>
      </c>
      <c r="E35" s="119" t="s">
        <v>473</v>
      </c>
      <c r="F35" s="120">
        <v>0</v>
      </c>
      <c r="G35" s="98">
        <v>0</v>
      </c>
      <c r="H35" s="98">
        <v>0</v>
      </c>
      <c r="I35" s="121" t="s">
        <v>473</v>
      </c>
      <c r="J35" s="143"/>
      <c r="K35" s="143"/>
      <c r="L35" s="134">
        <f t="shared" si="4"/>
        <v>0</v>
      </c>
      <c r="M35" s="135">
        <f t="shared" si="5"/>
        <v>0</v>
      </c>
    </row>
    <row r="36" spans="1:13" ht="14.4" hidden="1" customHeight="1" outlineLevel="1" x14ac:dyDescent="0.3">
      <c r="A36" s="104" t="s">
        <v>155</v>
      </c>
      <c r="B36" s="107">
        <v>0</v>
      </c>
      <c r="C36" s="98">
        <v>0</v>
      </c>
      <c r="D36" s="98">
        <v>0</v>
      </c>
      <c r="E36" s="119" t="s">
        <v>473</v>
      </c>
      <c r="F36" s="120">
        <v>0</v>
      </c>
      <c r="G36" s="98">
        <v>0</v>
      </c>
      <c r="H36" s="98">
        <v>0</v>
      </c>
      <c r="I36" s="121" t="s">
        <v>473</v>
      </c>
      <c r="J36" s="143"/>
      <c r="K36" s="143"/>
      <c r="L36" s="134">
        <f t="shared" si="4"/>
        <v>0</v>
      </c>
      <c r="M36" s="135">
        <f t="shared" si="5"/>
        <v>0</v>
      </c>
    </row>
    <row r="37" spans="1:13" ht="14.4" hidden="1" customHeight="1" outlineLevel="1" x14ac:dyDescent="0.3">
      <c r="A37" s="104" t="s">
        <v>156</v>
      </c>
      <c r="B37" s="107">
        <v>0</v>
      </c>
      <c r="C37" s="98">
        <v>0</v>
      </c>
      <c r="D37" s="98">
        <v>0</v>
      </c>
      <c r="E37" s="119" t="s">
        <v>473</v>
      </c>
      <c r="F37" s="120">
        <v>0</v>
      </c>
      <c r="G37" s="98">
        <v>0</v>
      </c>
      <c r="H37" s="98">
        <v>0</v>
      </c>
      <c r="I37" s="121" t="s">
        <v>473</v>
      </c>
      <c r="J37" s="143"/>
      <c r="K37" s="143"/>
      <c r="L37" s="134">
        <f t="shared" si="4"/>
        <v>0</v>
      </c>
      <c r="M37" s="135">
        <f t="shared" si="5"/>
        <v>0</v>
      </c>
    </row>
    <row r="38" spans="1:13" ht="14.4" hidden="1" customHeight="1" outlineLevel="1" thickBot="1" x14ac:dyDescent="0.35">
      <c r="A38" s="228" t="s">
        <v>186</v>
      </c>
      <c r="B38" s="229">
        <v>0</v>
      </c>
      <c r="C38" s="230">
        <v>0</v>
      </c>
      <c r="D38" s="230">
        <v>0</v>
      </c>
      <c r="E38" s="231" t="s">
        <v>473</v>
      </c>
      <c r="F38" s="232">
        <v>0</v>
      </c>
      <c r="G38" s="230">
        <v>0</v>
      </c>
      <c r="H38" s="230">
        <v>0</v>
      </c>
      <c r="I38" s="233" t="s">
        <v>473</v>
      </c>
      <c r="J38" s="143"/>
      <c r="K38" s="143"/>
      <c r="L38" s="236">
        <f>D38-B38</f>
        <v>0</v>
      </c>
      <c r="M38" s="237">
        <f>H38-F38</f>
        <v>0</v>
      </c>
    </row>
    <row r="39" spans="1:13" ht="14.4" customHeight="1" collapsed="1" thickBot="1" x14ac:dyDescent="0.35">
      <c r="A39" s="150" t="s">
        <v>3</v>
      </c>
      <c r="B39" s="102">
        <f>SUM(B31:B38)</f>
        <v>3.7130000000000001</v>
      </c>
      <c r="C39" s="151">
        <f>SUM(C31:C38)</f>
        <v>0</v>
      </c>
      <c r="D39" s="151">
        <f>SUM(D31:D38)</f>
        <v>0</v>
      </c>
      <c r="E39" s="152">
        <f>IF(OR(D39=0,B39=0),0,D39/B39)</f>
        <v>0</v>
      </c>
      <c r="F39" s="153">
        <f>SUM(F31:F38)</f>
        <v>1</v>
      </c>
      <c r="G39" s="151">
        <f>SUM(G31:G38)</f>
        <v>0</v>
      </c>
      <c r="H39" s="151">
        <f>SUM(H31:H38)</f>
        <v>0</v>
      </c>
      <c r="I39" s="154">
        <f>IF(OR(H39=0,F39=0),0,H39/F39)</f>
        <v>0</v>
      </c>
      <c r="J39" s="143"/>
      <c r="K39" s="143"/>
      <c r="L39" s="148">
        <f t="shared" si="4"/>
        <v>-3.7130000000000001</v>
      </c>
      <c r="M39" s="155">
        <f t="shared" si="5"/>
        <v>-1</v>
      </c>
    </row>
    <row r="40" spans="1:13" ht="14.4" customHeight="1" x14ac:dyDescent="0.25">
      <c r="A40" s="344"/>
      <c r="B40" s="344"/>
      <c r="C40" s="344"/>
      <c r="D40" s="344"/>
      <c r="E40" s="345"/>
      <c r="F40" s="344"/>
      <c r="G40" s="344"/>
      <c r="H40" s="344"/>
      <c r="I40" s="346"/>
      <c r="J40" s="344"/>
      <c r="K40" s="344"/>
      <c r="L40" s="344"/>
      <c r="M40" s="344"/>
    </row>
    <row r="41" spans="1:13" ht="14.4" customHeight="1" x14ac:dyDescent="0.3">
      <c r="A41" s="246" t="s">
        <v>231</v>
      </c>
      <c r="B41" s="344"/>
      <c r="C41" s="344"/>
      <c r="D41" s="344"/>
      <c r="E41" s="345"/>
      <c r="F41" s="344"/>
      <c r="G41" s="344"/>
      <c r="H41" s="344"/>
      <c r="I41" s="346"/>
      <c r="J41" s="344"/>
      <c r="K41" s="344"/>
      <c r="L41" s="344"/>
      <c r="M41" s="344"/>
    </row>
    <row r="42" spans="1:13" ht="14.4" customHeight="1" x14ac:dyDescent="0.25">
      <c r="A42" s="428" t="s">
        <v>275</v>
      </c>
    </row>
    <row r="43" spans="1:13" ht="14.4" customHeight="1" x14ac:dyDescent="0.25">
      <c r="A43" s="429" t="s">
        <v>276</v>
      </c>
    </row>
    <row r="44" spans="1:13" ht="14.4" customHeight="1" x14ac:dyDescent="0.25">
      <c r="A44" s="428" t="s">
        <v>277</v>
      </c>
    </row>
    <row r="45" spans="1:13" ht="14.4" customHeight="1" x14ac:dyDescent="0.25">
      <c r="A45" s="429" t="s">
        <v>278</v>
      </c>
    </row>
    <row r="46" spans="1:13" ht="14.4" customHeight="1" x14ac:dyDescent="0.3">
      <c r="A46" s="227" t="s">
        <v>245</v>
      </c>
    </row>
  </sheetData>
  <mergeCells count="23">
    <mergeCell ref="J16:K16"/>
    <mergeCell ref="J17:K17"/>
    <mergeCell ref="J18:K18"/>
    <mergeCell ref="A1:M1"/>
    <mergeCell ref="A3:A4"/>
    <mergeCell ref="B3:E3"/>
    <mergeCell ref="F3:I3"/>
    <mergeCell ref="B14:E14"/>
    <mergeCell ref="F14:I14"/>
    <mergeCell ref="A29:A30"/>
    <mergeCell ref="B29:E29"/>
    <mergeCell ref="F29:I29"/>
    <mergeCell ref="A16:A17"/>
    <mergeCell ref="B16:E16"/>
    <mergeCell ref="F16:I16"/>
    <mergeCell ref="B27:E27"/>
    <mergeCell ref="F27:I27"/>
    <mergeCell ref="J24:K24"/>
    <mergeCell ref="J19:K19"/>
    <mergeCell ref="J20:K20"/>
    <mergeCell ref="J21:K21"/>
    <mergeCell ref="J22:K22"/>
    <mergeCell ref="J23:K23"/>
  </mergeCells>
  <conditionalFormatting sqref="E18:E26">
    <cfRule type="cellIs" dxfId="17" priority="11" stopIfTrue="1" operator="lessThan">
      <formula>1</formula>
    </cfRule>
  </conditionalFormatting>
  <conditionalFormatting sqref="I18:I26">
    <cfRule type="cellIs" dxfId="16" priority="10" stopIfTrue="1" operator="lessThan">
      <formula>0.95</formula>
    </cfRule>
  </conditionalFormatting>
  <conditionalFormatting sqref="L5:M13 L18:M26 L31:M39">
    <cfRule type="cellIs" dxfId="15" priority="9" stopIfTrue="1" operator="lessThan">
      <formula>0</formula>
    </cfRule>
  </conditionalFormatting>
  <conditionalFormatting sqref="D31:D38 D5:D12 H5:H12 D18:D25 H18:H25 H31:H38">
    <cfRule type="dataBar" priority="8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{42AE6CD6-2D5D-4743-B35C-69F84FE26F98}</x14:id>
        </ext>
      </extLst>
    </cfRule>
  </conditionalFormatting>
  <conditionalFormatting sqref="D5:D12">
    <cfRule type="dataBar" priority="7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{A4EF560A-8599-4347-B851-343B92BCD5E1}</x14:id>
        </ext>
      </extLst>
    </cfRule>
  </conditionalFormatting>
  <conditionalFormatting sqref="H5:H12">
    <cfRule type="dataBar" priority="6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{C26992FC-93C6-46A0-A6FF-231000D745AA}</x14:id>
        </ext>
      </extLst>
    </cfRule>
  </conditionalFormatting>
  <conditionalFormatting sqref="D18:D25">
    <cfRule type="dataBar" priority="5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{6B84CA98-94F0-413A-8305-92901160F8F9}</x14:id>
        </ext>
      </extLst>
    </cfRule>
  </conditionalFormatting>
  <conditionalFormatting sqref="H18:H25">
    <cfRule type="dataBar" priority="4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{22330AD9-BF89-40A5-88DF-FF41314428B1}</x14:id>
        </ext>
      </extLst>
    </cfRule>
  </conditionalFormatting>
  <conditionalFormatting sqref="D31:D38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{1583B143-B462-4C73-A979-5D07CBCBE895}</x14:id>
        </ext>
      </extLst>
    </cfRule>
  </conditionalFormatting>
  <conditionalFormatting sqref="H31:H38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{DD197DDA-FC0B-4F23-81BF-C02D70CD23CB}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3" fitToHeight="0" orientation="portrait" r:id="rId1"/>
  <headerFooter alignWithMargins="0">
    <oddFooter>&amp;L&amp;F</oddFooter>
  </headerFooter>
  <ignoredErrors>
    <ignoredError sqref="E13 E26 E39" formula="1"/>
    <ignoredError sqref="B39:D39 F39:H39 B13:D13 F13:H13 B26:D26 F26:H26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42AE6CD6-2D5D-4743-B35C-69F84FE26F98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D31:D38 D5:D12 H5:H12 D18:D25 H18:H25 H31:H38</xm:sqref>
        </x14:conditionalFormatting>
        <x14:conditionalFormatting xmlns:xm="http://schemas.microsoft.com/office/excel/2006/main">
          <x14:cfRule type="dataBar" id="{A4EF560A-8599-4347-B851-343B92BCD5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D5:D12</xm:sqref>
        </x14:conditionalFormatting>
        <x14:conditionalFormatting xmlns:xm="http://schemas.microsoft.com/office/excel/2006/main">
          <x14:cfRule type="dataBar" id="{C26992FC-93C6-46A0-A6FF-231000D745AA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H5:H12</xm:sqref>
        </x14:conditionalFormatting>
        <x14:conditionalFormatting xmlns:xm="http://schemas.microsoft.com/office/excel/2006/main">
          <x14:cfRule type="dataBar" id="{6B84CA98-94F0-413A-8305-92901160F8F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D18:D25</xm:sqref>
        </x14:conditionalFormatting>
        <x14:conditionalFormatting xmlns:xm="http://schemas.microsoft.com/office/excel/2006/main">
          <x14:cfRule type="dataBar" id="{22330AD9-BF89-40A5-88DF-FF41314428B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H18:H25</xm:sqref>
        </x14:conditionalFormatting>
        <x14:conditionalFormatting xmlns:xm="http://schemas.microsoft.com/office/excel/2006/main">
          <x14:cfRule type="dataBar" id="{1583B143-B462-4C73-A979-5D07CBCBE8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D31:D38</xm:sqref>
        </x14:conditionalFormatting>
        <x14:conditionalFormatting xmlns:xm="http://schemas.microsoft.com/office/excel/2006/main">
          <x14:cfRule type="dataBar" id="{DD197DDA-FC0B-4F23-81BF-C02D70CD23CB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H31:H38</xm:sqref>
        </x14:conditionalFormatting>
      </x14:conditionalFormatting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3">
    <tabColor theme="0" tint="-0.249977111117893"/>
    <pageSetUpPr fitToPage="1"/>
  </sheetPr>
  <dimension ref="A1:M45"/>
  <sheetViews>
    <sheetView showGridLines="0" showRowColHeaders="0" zoomScaleNormal="100" workbookViewId="0">
      <selection sqref="A1:M1"/>
    </sheetView>
  </sheetViews>
  <sheetFormatPr defaultRowHeight="14.4" customHeight="1" x14ac:dyDescent="0.3"/>
  <cols>
    <col min="1" max="1" width="5.44140625" style="72" bestFit="1" customWidth="1"/>
    <col min="2" max="3" width="7.77734375" style="191" customWidth="1"/>
    <col min="4" max="5" width="7.77734375" style="72" customWidth="1"/>
    <col min="6" max="6" width="14.88671875" style="72" bestFit="1" customWidth="1"/>
    <col min="7" max="7" width="2" style="72" bestFit="1" customWidth="1"/>
    <col min="8" max="8" width="5.33203125" style="72" bestFit="1" customWidth="1"/>
    <col min="9" max="9" width="7.6640625" style="72" bestFit="1" customWidth="1"/>
    <col min="10" max="10" width="6.88671875" style="72" bestFit="1" customWidth="1"/>
    <col min="11" max="11" width="17.33203125" style="72" bestFit="1" customWidth="1"/>
    <col min="12" max="13" width="19.6640625" style="72" bestFit="1" customWidth="1"/>
    <col min="14" max="16384" width="8.88671875" style="72"/>
  </cols>
  <sheetData>
    <row r="1" spans="1:13" ht="18.600000000000001" customHeight="1" thickBot="1" x14ac:dyDescent="0.4">
      <c r="A1" s="484" t="s">
        <v>102</v>
      </c>
      <c r="B1" s="511"/>
      <c r="C1" s="511"/>
      <c r="D1" s="511"/>
      <c r="E1" s="511"/>
      <c r="F1" s="511"/>
      <c r="G1" s="511"/>
      <c r="H1" s="511"/>
      <c r="I1" s="511"/>
      <c r="J1" s="511"/>
      <c r="K1" s="511"/>
      <c r="L1" s="511"/>
      <c r="M1" s="511"/>
    </row>
    <row r="2" spans="1:13" ht="14.4" customHeight="1" x14ac:dyDescent="0.3">
      <c r="A2" s="360" t="s">
        <v>280</v>
      </c>
      <c r="B2" s="187"/>
      <c r="C2" s="187"/>
      <c r="D2" s="73"/>
      <c r="E2" s="73"/>
      <c r="F2" s="73"/>
      <c r="G2" s="73"/>
      <c r="H2" s="73"/>
      <c r="I2" s="73"/>
      <c r="J2" s="73"/>
      <c r="K2" s="73"/>
      <c r="L2" s="73"/>
      <c r="M2" s="73"/>
    </row>
    <row r="3" spans="1:13" ht="14.4" customHeight="1" x14ac:dyDescent="0.3">
      <c r="A3" s="71"/>
      <c r="B3" s="349"/>
      <c r="C3" s="349"/>
      <c r="D3" s="71"/>
      <c r="E3" s="71"/>
      <c r="F3" s="71"/>
      <c r="G3" s="71"/>
      <c r="H3" s="71"/>
      <c r="I3" s="71"/>
      <c r="J3" s="71"/>
      <c r="K3" s="71"/>
      <c r="L3" s="71"/>
      <c r="M3" s="71"/>
    </row>
    <row r="4" spans="1:13" ht="14.4" customHeight="1" x14ac:dyDescent="0.3">
      <c r="A4" s="71"/>
      <c r="B4" s="349"/>
      <c r="C4" s="349"/>
      <c r="D4" s="71"/>
      <c r="E4" s="71"/>
      <c r="F4" s="71"/>
      <c r="G4" s="71"/>
      <c r="H4" s="71"/>
      <c r="I4" s="71"/>
      <c r="J4" s="71"/>
      <c r="K4" s="71"/>
      <c r="L4" s="71"/>
      <c r="M4" s="71"/>
    </row>
    <row r="5" spans="1:13" ht="14.4" customHeight="1" x14ac:dyDescent="0.3">
      <c r="A5" s="71"/>
      <c r="B5" s="349"/>
      <c r="C5" s="349"/>
      <c r="D5" s="71"/>
      <c r="E5" s="71"/>
      <c r="F5" s="71"/>
      <c r="G5" s="71"/>
      <c r="H5" s="71"/>
      <c r="I5" s="71"/>
      <c r="J5" s="71"/>
      <c r="K5" s="71"/>
      <c r="L5" s="71"/>
      <c r="M5" s="71"/>
    </row>
    <row r="6" spans="1:13" ht="14.4" customHeight="1" x14ac:dyDescent="0.3">
      <c r="A6" s="71"/>
      <c r="B6" s="349"/>
      <c r="C6" s="349"/>
      <c r="D6" s="71"/>
      <c r="E6" s="71"/>
      <c r="F6" s="71"/>
      <c r="G6" s="71"/>
      <c r="H6" s="71"/>
      <c r="I6" s="71"/>
      <c r="J6" s="71"/>
      <c r="K6" s="71"/>
      <c r="L6" s="71"/>
      <c r="M6" s="71"/>
    </row>
    <row r="7" spans="1:13" ht="14.4" customHeight="1" x14ac:dyDescent="0.3">
      <c r="A7" s="71"/>
      <c r="B7" s="349"/>
      <c r="C7" s="349"/>
      <c r="D7" s="71"/>
      <c r="E7" s="71"/>
      <c r="F7" s="71"/>
      <c r="G7" s="71"/>
      <c r="H7" s="71"/>
      <c r="I7" s="71"/>
      <c r="J7" s="71"/>
      <c r="K7" s="71"/>
      <c r="L7" s="71"/>
      <c r="M7" s="71"/>
    </row>
    <row r="8" spans="1:13" ht="14.4" customHeight="1" x14ac:dyDescent="0.3">
      <c r="A8" s="71"/>
      <c r="B8" s="349"/>
      <c r="C8" s="349"/>
      <c r="D8" s="71"/>
      <c r="E8" s="71"/>
      <c r="F8" s="71"/>
      <c r="G8" s="71"/>
      <c r="H8" s="71"/>
      <c r="I8" s="71"/>
      <c r="J8" s="71"/>
      <c r="K8" s="71"/>
      <c r="L8" s="71"/>
      <c r="M8" s="71"/>
    </row>
    <row r="9" spans="1:13" ht="14.4" customHeight="1" x14ac:dyDescent="0.3">
      <c r="A9" s="71"/>
      <c r="B9" s="349"/>
      <c r="C9" s="349"/>
      <c r="D9" s="71"/>
      <c r="E9" s="71"/>
      <c r="F9" s="71"/>
      <c r="G9" s="71"/>
      <c r="H9" s="71"/>
      <c r="I9" s="71"/>
      <c r="J9" s="71"/>
      <c r="K9" s="71"/>
      <c r="L9" s="71"/>
      <c r="M9" s="71"/>
    </row>
    <row r="10" spans="1:13" ht="14.4" customHeight="1" x14ac:dyDescent="0.3">
      <c r="A10" s="71"/>
      <c r="B10" s="349"/>
      <c r="C10" s="349"/>
      <c r="D10" s="71"/>
      <c r="E10" s="71"/>
      <c r="F10" s="71"/>
      <c r="G10" s="71"/>
      <c r="H10" s="71"/>
      <c r="I10" s="71"/>
      <c r="J10" s="71"/>
      <c r="K10" s="71"/>
      <c r="L10" s="71"/>
      <c r="M10" s="71"/>
    </row>
    <row r="11" spans="1:13" ht="14.4" customHeight="1" x14ac:dyDescent="0.3">
      <c r="A11" s="71"/>
      <c r="B11" s="349"/>
      <c r="C11" s="349"/>
      <c r="D11" s="71"/>
      <c r="E11" s="71"/>
      <c r="F11" s="71"/>
      <c r="G11" s="71"/>
      <c r="H11" s="71"/>
      <c r="I11" s="71"/>
      <c r="J11" s="71"/>
      <c r="K11" s="71"/>
      <c r="L11" s="71"/>
      <c r="M11" s="71"/>
    </row>
    <row r="12" spans="1:13" ht="14.4" customHeight="1" x14ac:dyDescent="0.3">
      <c r="A12" s="71"/>
      <c r="B12" s="349"/>
      <c r="C12" s="349"/>
      <c r="D12" s="71"/>
      <c r="E12" s="71"/>
      <c r="F12" s="71"/>
      <c r="G12" s="71"/>
      <c r="H12" s="71"/>
      <c r="I12" s="71"/>
      <c r="J12" s="71"/>
      <c r="K12" s="71"/>
      <c r="L12" s="71"/>
      <c r="M12" s="71"/>
    </row>
    <row r="13" spans="1:13" ht="14.4" customHeight="1" x14ac:dyDescent="0.3">
      <c r="A13" s="71"/>
      <c r="B13" s="349"/>
      <c r="C13" s="349"/>
      <c r="D13" s="71"/>
      <c r="E13" s="71"/>
      <c r="F13" s="71"/>
      <c r="G13" s="71"/>
      <c r="H13" s="71"/>
      <c r="I13" s="71"/>
      <c r="J13" s="71"/>
      <c r="K13" s="71"/>
      <c r="L13" s="71"/>
      <c r="M13" s="71"/>
    </row>
    <row r="14" spans="1:13" ht="14.4" customHeight="1" x14ac:dyDescent="0.3">
      <c r="A14" s="71"/>
      <c r="B14" s="349"/>
      <c r="C14" s="349"/>
      <c r="D14" s="71"/>
      <c r="E14" s="71"/>
      <c r="F14" s="71"/>
      <c r="G14" s="71"/>
      <c r="H14" s="71"/>
      <c r="I14" s="71"/>
      <c r="J14" s="71"/>
      <c r="K14" s="71"/>
      <c r="L14" s="71"/>
      <c r="M14" s="71"/>
    </row>
    <row r="15" spans="1:13" ht="14.4" customHeight="1" x14ac:dyDescent="0.3">
      <c r="A15" s="71"/>
      <c r="B15" s="349"/>
      <c r="C15" s="349"/>
      <c r="D15" s="71"/>
      <c r="E15" s="71"/>
      <c r="F15" s="71"/>
      <c r="G15" s="71"/>
      <c r="H15" s="71"/>
      <c r="I15" s="71"/>
      <c r="J15" s="71"/>
      <c r="K15" s="71"/>
      <c r="L15" s="71"/>
      <c r="M15" s="71"/>
    </row>
    <row r="16" spans="1:13" ht="14.4" customHeight="1" x14ac:dyDescent="0.3">
      <c r="A16" s="71"/>
      <c r="B16" s="349"/>
      <c r="C16" s="349"/>
      <c r="D16" s="71"/>
      <c r="E16" s="71"/>
      <c r="F16" s="71"/>
      <c r="G16" s="71"/>
      <c r="H16" s="71"/>
      <c r="I16" s="71"/>
      <c r="J16" s="71"/>
      <c r="K16" s="71"/>
      <c r="L16" s="71"/>
      <c r="M16" s="71"/>
    </row>
    <row r="17" spans="1:13" ht="14.4" customHeight="1" x14ac:dyDescent="0.3">
      <c r="A17" s="71"/>
      <c r="B17" s="349"/>
      <c r="C17" s="349"/>
      <c r="D17" s="71"/>
      <c r="E17" s="71"/>
      <c r="F17" s="71"/>
      <c r="G17" s="71"/>
      <c r="H17" s="71"/>
      <c r="I17" s="71"/>
      <c r="J17" s="71"/>
      <c r="K17" s="71"/>
      <c r="L17" s="71"/>
      <c r="M17" s="71"/>
    </row>
    <row r="18" spans="1:13" ht="14.4" customHeight="1" x14ac:dyDescent="0.3">
      <c r="A18" s="71"/>
      <c r="B18" s="349"/>
      <c r="C18" s="349"/>
      <c r="D18" s="71"/>
      <c r="E18" s="71"/>
      <c r="F18" s="71"/>
      <c r="G18" s="71"/>
      <c r="H18" s="71"/>
      <c r="I18" s="71"/>
      <c r="J18" s="71"/>
      <c r="K18" s="71"/>
      <c r="L18" s="71"/>
      <c r="M18" s="71"/>
    </row>
    <row r="19" spans="1:13" ht="14.4" customHeight="1" x14ac:dyDescent="0.3">
      <c r="A19" s="71"/>
      <c r="B19" s="349"/>
      <c r="C19" s="349"/>
      <c r="D19" s="71"/>
      <c r="E19" s="71"/>
      <c r="F19" s="71"/>
      <c r="G19" s="71"/>
      <c r="H19" s="71"/>
      <c r="I19" s="71"/>
      <c r="J19" s="71"/>
      <c r="K19" s="71"/>
      <c r="L19" s="71"/>
      <c r="M19" s="71"/>
    </row>
    <row r="20" spans="1:13" ht="14.4" customHeight="1" x14ac:dyDescent="0.3">
      <c r="A20" s="71"/>
      <c r="B20" s="349"/>
      <c r="C20" s="349"/>
      <c r="D20" s="71"/>
      <c r="E20" s="71"/>
      <c r="F20" s="71"/>
      <c r="G20" s="71"/>
      <c r="H20" s="71"/>
      <c r="I20" s="71"/>
      <c r="J20" s="71"/>
      <c r="K20" s="71"/>
      <c r="L20" s="71"/>
      <c r="M20" s="71"/>
    </row>
    <row r="21" spans="1:13" ht="14.4" customHeight="1" x14ac:dyDescent="0.3">
      <c r="A21" s="71"/>
      <c r="B21" s="349"/>
      <c r="C21" s="349"/>
      <c r="D21" s="71"/>
      <c r="E21" s="71"/>
      <c r="F21" s="71"/>
      <c r="G21" s="71"/>
      <c r="H21" s="71"/>
      <c r="I21" s="71"/>
      <c r="J21" s="71"/>
      <c r="K21" s="71"/>
      <c r="L21" s="71"/>
      <c r="M21" s="71"/>
    </row>
    <row r="22" spans="1:13" ht="14.4" customHeight="1" x14ac:dyDescent="0.3">
      <c r="A22" s="71"/>
      <c r="B22" s="349"/>
      <c r="C22" s="349"/>
      <c r="D22" s="71"/>
      <c r="E22" s="71"/>
      <c r="F22" s="71"/>
      <c r="G22" s="71"/>
      <c r="H22" s="71"/>
      <c r="I22" s="71"/>
      <c r="J22" s="71"/>
      <c r="K22" s="71"/>
      <c r="L22" s="71"/>
      <c r="M22" s="71"/>
    </row>
    <row r="23" spans="1:13" ht="14.4" customHeight="1" x14ac:dyDescent="0.3">
      <c r="A23" s="71"/>
      <c r="B23" s="349"/>
      <c r="C23" s="349"/>
      <c r="D23" s="71"/>
      <c r="E23" s="71"/>
      <c r="F23" s="71"/>
      <c r="G23" s="71"/>
      <c r="H23" s="71"/>
      <c r="I23" s="71"/>
      <c r="J23" s="71"/>
      <c r="K23" s="71"/>
      <c r="L23" s="71"/>
      <c r="M23" s="71"/>
    </row>
    <row r="24" spans="1:13" ht="14.4" customHeight="1" x14ac:dyDescent="0.3">
      <c r="A24" s="71"/>
      <c r="B24" s="349"/>
      <c r="C24" s="349"/>
      <c r="D24" s="71"/>
      <c r="E24" s="71"/>
      <c r="F24" s="71"/>
      <c r="G24" s="71"/>
      <c r="H24" s="71"/>
      <c r="I24" s="71"/>
      <c r="J24" s="71"/>
      <c r="K24" s="71"/>
      <c r="L24" s="71"/>
      <c r="M24" s="71"/>
    </row>
    <row r="25" spans="1:13" ht="14.4" customHeight="1" x14ac:dyDescent="0.3">
      <c r="A25" s="71"/>
      <c r="B25" s="349"/>
      <c r="C25" s="349"/>
      <c r="D25" s="71"/>
      <c r="E25" s="71"/>
      <c r="F25" s="71"/>
      <c r="G25" s="71"/>
      <c r="H25" s="71"/>
      <c r="I25" s="71"/>
      <c r="J25" s="71"/>
      <c r="K25" s="71"/>
      <c r="L25" s="71"/>
      <c r="M25" s="71"/>
    </row>
    <row r="26" spans="1:13" ht="14.4" customHeight="1" x14ac:dyDescent="0.3">
      <c r="A26" s="71"/>
      <c r="B26" s="349"/>
      <c r="C26" s="349"/>
      <c r="D26" s="71"/>
      <c r="E26" s="71"/>
      <c r="F26" s="71"/>
      <c r="G26" s="71"/>
      <c r="H26" s="71"/>
      <c r="I26" s="71"/>
      <c r="J26" s="71"/>
      <c r="K26" s="71"/>
      <c r="L26" s="71"/>
      <c r="M26" s="71"/>
    </row>
    <row r="27" spans="1:13" ht="14.4" customHeight="1" x14ac:dyDescent="0.3">
      <c r="A27" s="71"/>
      <c r="B27" s="349"/>
      <c r="C27" s="349"/>
      <c r="D27" s="71"/>
      <c r="E27" s="71"/>
      <c r="F27" s="71"/>
      <c r="G27" s="71"/>
      <c r="H27" s="71"/>
      <c r="I27" s="71"/>
      <c r="J27" s="71"/>
      <c r="K27" s="71"/>
      <c r="L27" s="71"/>
      <c r="M27" s="71"/>
    </row>
    <row r="28" spans="1:13" ht="14.4" customHeight="1" x14ac:dyDescent="0.3">
      <c r="A28" s="71"/>
      <c r="B28" s="349"/>
      <c r="C28" s="349"/>
      <c r="D28" s="71"/>
      <c r="E28" s="71"/>
      <c r="F28" s="71"/>
      <c r="G28" s="71"/>
      <c r="H28" s="71"/>
      <c r="I28" s="71"/>
      <c r="J28" s="71"/>
      <c r="K28" s="71"/>
      <c r="L28" s="71"/>
      <c r="M28" s="71"/>
    </row>
    <row r="29" spans="1:13" ht="14.4" customHeight="1" x14ac:dyDescent="0.3">
      <c r="A29" s="71"/>
      <c r="B29" s="349"/>
      <c r="C29" s="349"/>
      <c r="D29" s="71"/>
      <c r="E29" s="71"/>
      <c r="F29" s="71"/>
      <c r="G29" s="71"/>
      <c r="H29" s="71"/>
      <c r="I29" s="71"/>
      <c r="J29" s="71"/>
      <c r="K29" s="71"/>
      <c r="L29" s="71"/>
      <c r="M29" s="71"/>
    </row>
    <row r="30" spans="1:13" ht="14.4" customHeight="1" thickBot="1" x14ac:dyDescent="0.35">
      <c r="A30" s="71"/>
      <c r="B30" s="349"/>
      <c r="C30" s="349"/>
      <c r="D30" s="71"/>
      <c r="E30" s="71"/>
      <c r="F30" s="71"/>
      <c r="G30" s="71"/>
      <c r="H30" s="71"/>
      <c r="I30" s="71"/>
      <c r="J30" s="71"/>
      <c r="K30" s="71"/>
      <c r="L30" s="71"/>
      <c r="M30" s="71"/>
    </row>
    <row r="31" spans="1:13" ht="14.4" customHeight="1" x14ac:dyDescent="0.3">
      <c r="A31" s="164"/>
      <c r="B31" s="545" t="s">
        <v>70</v>
      </c>
      <c r="C31" s="546"/>
      <c r="D31" s="546"/>
      <c r="E31" s="547"/>
      <c r="F31" s="156" t="s">
        <v>70</v>
      </c>
      <c r="G31" s="74"/>
      <c r="H31" s="74"/>
      <c r="I31" s="71"/>
      <c r="J31" s="71"/>
      <c r="K31" s="71"/>
      <c r="L31" s="71"/>
      <c r="M31" s="71"/>
    </row>
    <row r="32" spans="1:13" ht="14.4" customHeight="1" thickBot="1" x14ac:dyDescent="0.35">
      <c r="A32" s="165" t="s">
        <v>54</v>
      </c>
      <c r="B32" s="157" t="s">
        <v>73</v>
      </c>
      <c r="C32" s="158" t="s">
        <v>74</v>
      </c>
      <c r="D32" s="158" t="s">
        <v>75</v>
      </c>
      <c r="E32" s="159" t="s">
        <v>2</v>
      </c>
      <c r="F32" s="160" t="s">
        <v>76</v>
      </c>
      <c r="G32" s="350"/>
      <c r="H32" s="350" t="s">
        <v>103</v>
      </c>
      <c r="I32" s="71"/>
      <c r="J32" s="71"/>
      <c r="K32" s="71"/>
      <c r="L32" s="71"/>
      <c r="M32" s="71"/>
    </row>
    <row r="33" spans="1:13" ht="14.4" customHeight="1" x14ac:dyDescent="0.3">
      <c r="A33" s="161" t="s">
        <v>90</v>
      </c>
      <c r="B33" s="188">
        <v>76</v>
      </c>
      <c r="C33" s="188">
        <v>83</v>
      </c>
      <c r="D33" s="75">
        <f>IF(C33="","",C33-B33)</f>
        <v>7</v>
      </c>
      <c r="E33" s="76">
        <f>IF(C33="","",C33/B33)</f>
        <v>1.0921052631578947</v>
      </c>
      <c r="F33" s="77">
        <v>38</v>
      </c>
      <c r="G33" s="350">
        <v>0</v>
      </c>
      <c r="H33" s="351">
        <v>1</v>
      </c>
      <c r="I33" s="71"/>
      <c r="J33" s="71"/>
      <c r="K33" s="71"/>
      <c r="L33" s="71"/>
      <c r="M33" s="71"/>
    </row>
    <row r="34" spans="1:13" ht="14.4" customHeight="1" x14ac:dyDescent="0.3">
      <c r="A34" s="162" t="s">
        <v>91</v>
      </c>
      <c r="B34" s="189">
        <v>177</v>
      </c>
      <c r="C34" s="189">
        <v>155</v>
      </c>
      <c r="D34" s="78">
        <f t="shared" ref="D34:D45" si="0">IF(C34="","",C34-B34)</f>
        <v>-22</v>
      </c>
      <c r="E34" s="79">
        <f t="shared" ref="E34:E45" si="1">IF(C34="","",C34/B34)</f>
        <v>0.87570621468926557</v>
      </c>
      <c r="F34" s="80">
        <v>45</v>
      </c>
      <c r="G34" s="350">
        <v>1</v>
      </c>
      <c r="H34" s="351">
        <v>1</v>
      </c>
      <c r="I34" s="71"/>
      <c r="J34" s="71"/>
      <c r="K34" s="71"/>
      <c r="L34" s="71"/>
      <c r="M34" s="71"/>
    </row>
    <row r="35" spans="1:13" ht="14.4" customHeight="1" x14ac:dyDescent="0.3">
      <c r="A35" s="162" t="s">
        <v>92</v>
      </c>
      <c r="B35" s="189">
        <v>339</v>
      </c>
      <c r="C35" s="189">
        <v>242</v>
      </c>
      <c r="D35" s="78">
        <f t="shared" si="0"/>
        <v>-97</v>
      </c>
      <c r="E35" s="79">
        <f t="shared" si="1"/>
        <v>0.71386430678466073</v>
      </c>
      <c r="F35" s="80">
        <v>60</v>
      </c>
      <c r="G35" s="352"/>
      <c r="H35" s="352"/>
      <c r="I35" s="71"/>
      <c r="J35" s="71"/>
      <c r="K35" s="71"/>
      <c r="L35" s="71"/>
      <c r="M35" s="71"/>
    </row>
    <row r="36" spans="1:13" ht="14.4" customHeight="1" x14ac:dyDescent="0.3">
      <c r="A36" s="162" t="s">
        <v>93</v>
      </c>
      <c r="B36" s="189">
        <v>557</v>
      </c>
      <c r="C36" s="189">
        <v>419</v>
      </c>
      <c r="D36" s="78">
        <f t="shared" si="0"/>
        <v>-138</v>
      </c>
      <c r="E36" s="79">
        <f t="shared" si="1"/>
        <v>0.75224416517055659</v>
      </c>
      <c r="F36" s="80">
        <v>110</v>
      </c>
      <c r="G36" s="352"/>
      <c r="H36" s="352"/>
      <c r="I36" s="71"/>
      <c r="J36" s="71"/>
      <c r="K36" s="71"/>
      <c r="L36" s="71"/>
      <c r="M36" s="71"/>
    </row>
    <row r="37" spans="1:13" ht="14.4" customHeight="1" x14ac:dyDescent="0.3">
      <c r="A37" s="162" t="s">
        <v>94</v>
      </c>
      <c r="B37" s="189">
        <v>540</v>
      </c>
      <c r="C37" s="189">
        <v>444</v>
      </c>
      <c r="D37" s="78">
        <f t="shared" si="0"/>
        <v>-96</v>
      </c>
      <c r="E37" s="79">
        <f t="shared" si="1"/>
        <v>0.82222222222222219</v>
      </c>
      <c r="F37" s="80">
        <v>123</v>
      </c>
      <c r="G37" s="352"/>
      <c r="H37" s="352"/>
      <c r="I37" s="71"/>
      <c r="J37" s="71"/>
      <c r="K37" s="71"/>
      <c r="L37" s="71"/>
      <c r="M37" s="71"/>
    </row>
    <row r="38" spans="1:13" ht="14.4" customHeight="1" x14ac:dyDescent="0.3">
      <c r="A38" s="162" t="s">
        <v>95</v>
      </c>
      <c r="B38" s="189">
        <v>569</v>
      </c>
      <c r="C38" s="189">
        <v>481</v>
      </c>
      <c r="D38" s="78">
        <f t="shared" si="0"/>
        <v>-88</v>
      </c>
      <c r="E38" s="79">
        <f t="shared" si="1"/>
        <v>0.84534270650263621</v>
      </c>
      <c r="F38" s="80">
        <v>127</v>
      </c>
      <c r="G38" s="352"/>
      <c r="H38" s="352"/>
      <c r="I38" s="71"/>
      <c r="J38" s="71"/>
      <c r="K38" s="71"/>
      <c r="L38" s="71"/>
      <c r="M38" s="71"/>
    </row>
    <row r="39" spans="1:13" ht="14.4" customHeight="1" x14ac:dyDescent="0.3">
      <c r="A39" s="162" t="s">
        <v>96</v>
      </c>
      <c r="B39" s="189">
        <v>622</v>
      </c>
      <c r="C39" s="189">
        <v>496</v>
      </c>
      <c r="D39" s="78">
        <f t="shared" si="0"/>
        <v>-126</v>
      </c>
      <c r="E39" s="79">
        <f t="shared" si="1"/>
        <v>0.797427652733119</v>
      </c>
      <c r="F39" s="80">
        <v>127</v>
      </c>
      <c r="G39" s="352"/>
      <c r="H39" s="352"/>
      <c r="I39" s="71"/>
      <c r="J39" s="71"/>
      <c r="K39" s="71"/>
      <c r="L39" s="71"/>
      <c r="M39" s="71"/>
    </row>
    <row r="40" spans="1:13" ht="14.4" customHeight="1" x14ac:dyDescent="0.3">
      <c r="A40" s="162" t="s">
        <v>97</v>
      </c>
      <c r="B40" s="189"/>
      <c r="C40" s="189"/>
      <c r="D40" s="78" t="str">
        <f t="shared" si="0"/>
        <v/>
      </c>
      <c r="E40" s="79" t="str">
        <f t="shared" si="1"/>
        <v/>
      </c>
      <c r="F40" s="80"/>
      <c r="G40" s="352"/>
      <c r="H40" s="352"/>
      <c r="I40" s="71"/>
      <c r="J40" s="71"/>
      <c r="K40" s="71"/>
      <c r="L40" s="71"/>
      <c r="M40" s="71"/>
    </row>
    <row r="41" spans="1:13" ht="14.4" customHeight="1" x14ac:dyDescent="0.3">
      <c r="A41" s="162" t="s">
        <v>98</v>
      </c>
      <c r="B41" s="189"/>
      <c r="C41" s="189"/>
      <c r="D41" s="78" t="str">
        <f t="shared" si="0"/>
        <v/>
      </c>
      <c r="E41" s="79" t="str">
        <f t="shared" si="1"/>
        <v/>
      </c>
      <c r="F41" s="80"/>
      <c r="G41" s="352"/>
      <c r="H41" s="352"/>
      <c r="I41" s="71"/>
      <c r="J41" s="71"/>
      <c r="K41" s="71"/>
      <c r="L41" s="71"/>
      <c r="M41" s="71"/>
    </row>
    <row r="42" spans="1:13" ht="14.4" customHeight="1" x14ac:dyDescent="0.3">
      <c r="A42" s="162" t="s">
        <v>99</v>
      </c>
      <c r="B42" s="189"/>
      <c r="C42" s="189"/>
      <c r="D42" s="78" t="str">
        <f t="shared" si="0"/>
        <v/>
      </c>
      <c r="E42" s="79" t="str">
        <f t="shared" si="1"/>
        <v/>
      </c>
      <c r="F42" s="80"/>
      <c r="G42" s="352"/>
      <c r="H42" s="352"/>
      <c r="I42" s="71"/>
      <c r="J42" s="71"/>
      <c r="K42" s="71"/>
      <c r="L42" s="71"/>
      <c r="M42" s="71"/>
    </row>
    <row r="43" spans="1:13" ht="14.4" customHeight="1" x14ac:dyDescent="0.3">
      <c r="A43" s="162" t="s">
        <v>100</v>
      </c>
      <c r="B43" s="189"/>
      <c r="C43" s="189"/>
      <c r="D43" s="78" t="str">
        <f t="shared" si="0"/>
        <v/>
      </c>
      <c r="E43" s="79" t="str">
        <f t="shared" si="1"/>
        <v/>
      </c>
      <c r="F43" s="80"/>
      <c r="G43" s="352"/>
      <c r="H43" s="352"/>
      <c r="I43" s="71"/>
      <c r="J43" s="71"/>
      <c r="K43" s="71"/>
      <c r="L43" s="71"/>
      <c r="M43" s="71"/>
    </row>
    <row r="44" spans="1:13" ht="14.4" customHeight="1" x14ac:dyDescent="0.3">
      <c r="A44" s="162" t="s">
        <v>101</v>
      </c>
      <c r="B44" s="189"/>
      <c r="C44" s="189"/>
      <c r="D44" s="78" t="str">
        <f t="shared" si="0"/>
        <v/>
      </c>
      <c r="E44" s="79" t="str">
        <f t="shared" si="1"/>
        <v/>
      </c>
      <c r="F44" s="80"/>
      <c r="G44" s="352"/>
      <c r="H44" s="352"/>
      <c r="I44" s="71"/>
      <c r="J44" s="71"/>
      <c r="K44" s="71"/>
      <c r="L44" s="71"/>
      <c r="M44" s="71"/>
    </row>
    <row r="45" spans="1:13" ht="14.4" customHeight="1" thickBot="1" x14ac:dyDescent="0.35">
      <c r="A45" s="163" t="s">
        <v>104</v>
      </c>
      <c r="B45" s="190"/>
      <c r="C45" s="190"/>
      <c r="D45" s="81" t="str">
        <f t="shared" si="0"/>
        <v/>
      </c>
      <c r="E45" s="82" t="str">
        <f t="shared" si="1"/>
        <v/>
      </c>
      <c r="F45" s="83"/>
      <c r="G45" s="352"/>
      <c r="H45" s="352"/>
      <c r="I45" s="71"/>
      <c r="J45" s="71"/>
      <c r="K45" s="71"/>
      <c r="L45" s="71"/>
      <c r="M45" s="71"/>
    </row>
  </sheetData>
  <mergeCells count="2">
    <mergeCell ref="A1:M1"/>
    <mergeCell ref="B31:E31"/>
  </mergeCells>
  <conditionalFormatting sqref="E33:E45">
    <cfRule type="cellIs" dxfId="14" priority="2" operator="greaterThan">
      <formula>1</formula>
    </cfRule>
  </conditionalFormatting>
  <conditionalFormatting sqref="F33:F45">
    <cfRule type="cellIs" dxfId="13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77" fitToHeight="0" orientation="portrait" r:id="rId1"/>
  <headerFooter alignWithMargins="0"/>
  <ignoredErrors>
    <ignoredError sqref="A45" twoDigitTextYear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8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259" bestFit="1" customWidth="1"/>
    <col min="2" max="2" width="11.6640625" style="259" hidden="1" customWidth="1"/>
    <col min="3" max="4" width="11" style="261" customWidth="1"/>
    <col min="5" max="5" width="11" style="262" customWidth="1"/>
    <col min="6" max="16384" width="8.88671875" style="259"/>
  </cols>
  <sheetData>
    <row r="1" spans="1:5" ht="18.600000000000001" thickBot="1" x14ac:dyDescent="0.4">
      <c r="A1" s="454" t="s">
        <v>136</v>
      </c>
      <c r="B1" s="454"/>
      <c r="C1" s="455"/>
      <c r="D1" s="455"/>
      <c r="E1" s="455"/>
    </row>
    <row r="2" spans="1:5" ht="14.4" customHeight="1" thickBot="1" x14ac:dyDescent="0.35">
      <c r="A2" s="360" t="s">
        <v>280</v>
      </c>
      <c r="B2" s="260"/>
    </row>
    <row r="3" spans="1:5" ht="14.4" customHeight="1" thickBot="1" x14ac:dyDescent="0.35">
      <c r="A3" s="263"/>
      <c r="C3" s="264" t="s">
        <v>118</v>
      </c>
      <c r="D3" s="265" t="s">
        <v>81</v>
      </c>
      <c r="E3" s="266" t="s">
        <v>83</v>
      </c>
    </row>
    <row r="4" spans="1:5" ht="14.4" customHeight="1" thickBot="1" x14ac:dyDescent="0.35">
      <c r="A4" s="267" t="str">
        <f>HYPERLINK("#HI!A1","NÁKLADY CELKEM (v tisících Kč)")</f>
        <v>NÁKLADY CELKEM (v tisících Kč)</v>
      </c>
      <c r="B4" s="268"/>
      <c r="C4" s="269">
        <f ca="1">IF(ISERROR(VLOOKUP("Náklady celkem",INDIRECT("HI!$A:$G"),6,0)),0,VLOOKUP("Náklady celkem",INDIRECT("HI!$A:$G"),6,0))</f>
        <v>35759.250550818666</v>
      </c>
      <c r="D4" s="269">
        <f ca="1">IF(ISERROR(VLOOKUP("Náklady celkem",INDIRECT("HI!$A:$G"),5,0)),0,VLOOKUP("Náklady celkem",INDIRECT("HI!$A:$G"),5,0))</f>
        <v>37246.376030000014</v>
      </c>
      <c r="E4" s="270">
        <f ca="1">IF(C4=0,0,D4/C4)</f>
        <v>1.0415871545481061</v>
      </c>
    </row>
    <row r="5" spans="1:5" ht="14.4" customHeight="1" x14ac:dyDescent="0.3">
      <c r="A5" s="271" t="s">
        <v>169</v>
      </c>
      <c r="B5" s="272"/>
      <c r="C5" s="273"/>
      <c r="D5" s="273"/>
      <c r="E5" s="274"/>
    </row>
    <row r="6" spans="1:5" ht="14.4" customHeight="1" x14ac:dyDescent="0.3">
      <c r="A6" s="275" t="s">
        <v>174</v>
      </c>
      <c r="B6" s="276"/>
      <c r="C6" s="277"/>
      <c r="D6" s="277"/>
      <c r="E6" s="274"/>
    </row>
    <row r="7" spans="1:5" ht="14.4" customHeight="1" x14ac:dyDescent="0.3">
      <c r="A7" s="444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276" t="s">
        <v>123</v>
      </c>
      <c r="C7" s="277">
        <f>IF(ISERROR(HI!F5),"",HI!F5)</f>
        <v>5483.502005612645</v>
      </c>
      <c r="D7" s="277">
        <f>IF(ISERROR(HI!E5),"",HI!E5)</f>
        <v>5934.8068600000024</v>
      </c>
      <c r="E7" s="274">
        <f t="shared" ref="E7:E13" si="0">IF(C7=0,0,D7/C7)</f>
        <v>1.0823023049732496</v>
      </c>
    </row>
    <row r="8" spans="1:5" ht="14.4" customHeight="1" x14ac:dyDescent="0.3">
      <c r="A8" s="444" t="str">
        <f>HYPERLINK("#'LŽ PL'!A1","Plnění pozitivního listu (min. 90%)")</f>
        <v>Plnění pozitivního listu (min. 90%)</v>
      </c>
      <c r="B8" s="276" t="s">
        <v>167</v>
      </c>
      <c r="C8" s="278">
        <v>0.9</v>
      </c>
      <c r="D8" s="278">
        <f>IF(ISERROR(VLOOKUP("celkem",'LŽ PL'!$A:$F,5,0)),0,VLOOKUP("celkem",'LŽ PL'!$A:$F,5,0))</f>
        <v>0.97477541206242557</v>
      </c>
      <c r="E8" s="274">
        <f t="shared" si="0"/>
        <v>1.0830837911804729</v>
      </c>
    </row>
    <row r="9" spans="1:5" ht="14.4" customHeight="1" x14ac:dyDescent="0.3">
      <c r="A9" s="444" t="str">
        <f>HYPERLINK("#'LŽ Statim'!A1","Podíl statimových žádanek (max. 30%)")</f>
        <v>Podíl statimových žádanek (max. 30%)</v>
      </c>
      <c r="B9" s="442" t="s">
        <v>242</v>
      </c>
      <c r="C9" s="443">
        <v>0.3</v>
      </c>
      <c r="D9" s="443">
        <f>IF('LŽ Statim'!G3="",0,'LŽ Statim'!G3)</f>
        <v>0.19576129392080313</v>
      </c>
      <c r="E9" s="274">
        <f>IF(C9=0,0,D9/C9)</f>
        <v>0.65253764640267709</v>
      </c>
    </row>
    <row r="10" spans="1:5" ht="14.4" customHeight="1" x14ac:dyDescent="0.3">
      <c r="A10" s="279" t="s">
        <v>170</v>
      </c>
      <c r="B10" s="276"/>
      <c r="C10" s="277"/>
      <c r="D10" s="277"/>
      <c r="E10" s="274"/>
    </row>
    <row r="11" spans="1:5" ht="14.4" customHeight="1" x14ac:dyDescent="0.3">
      <c r="A11" s="279" t="s">
        <v>171</v>
      </c>
      <c r="B11" s="276"/>
      <c r="C11" s="277"/>
      <c r="D11" s="277"/>
      <c r="E11" s="274"/>
    </row>
    <row r="12" spans="1:5" ht="14.4" customHeight="1" x14ac:dyDescent="0.3">
      <c r="A12" s="280" t="s">
        <v>175</v>
      </c>
      <c r="B12" s="276"/>
      <c r="C12" s="273"/>
      <c r="D12" s="273"/>
      <c r="E12" s="274"/>
    </row>
    <row r="13" spans="1:5" ht="14.4" customHeight="1" x14ac:dyDescent="0.3">
      <c r="A13" s="281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3" s="276" t="s">
        <v>123</v>
      </c>
      <c r="C13" s="277">
        <f>IF(ISERROR(HI!F6),"",HI!F6)</f>
        <v>2280.8335392457939</v>
      </c>
      <c r="D13" s="277">
        <f>IF(ISERROR(HI!E6),"",HI!E6)</f>
        <v>2224.3153900000011</v>
      </c>
      <c r="E13" s="274">
        <f t="shared" si="0"/>
        <v>0.97522039716038122</v>
      </c>
    </row>
    <row r="14" spans="1:5" ht="14.4" customHeight="1" thickBot="1" x14ac:dyDescent="0.35">
      <c r="A14" s="282" t="str">
        <f>HYPERLINK("#HI!A1","Osobní náklady")</f>
        <v>Osobní náklady</v>
      </c>
      <c r="B14" s="276"/>
      <c r="C14" s="273">
        <f ca="1">IF(ISERROR(VLOOKUP("Osobní náklady (Kč) *",INDIRECT("HI!$A:$G"),6,0)),0,VLOOKUP("Osobní náklady (Kč) *",INDIRECT("HI!$A:$G"),6,0))</f>
        <v>22720.473864561838</v>
      </c>
      <c r="D14" s="273">
        <f ca="1">IF(ISERROR(VLOOKUP("Osobní náklady (Kč) *",INDIRECT("HI!$A:$G"),5,0)),0,VLOOKUP("Osobní náklady (Kč) *",INDIRECT("HI!$A:$G"),5,0))</f>
        <v>24185.272260000009</v>
      </c>
      <c r="E14" s="274">
        <f ca="1">IF(C14=0,0,D14/C14)</f>
        <v>1.0644704157215172</v>
      </c>
    </row>
    <row r="15" spans="1:5" ht="14.4" customHeight="1" thickBot="1" x14ac:dyDescent="0.35">
      <c r="A15" s="286"/>
      <c r="B15" s="287"/>
      <c r="C15" s="288"/>
      <c r="D15" s="288"/>
      <c r="E15" s="289"/>
    </row>
    <row r="16" spans="1:5" ht="14.4" customHeight="1" thickBot="1" x14ac:dyDescent="0.35">
      <c r="A16" s="290" t="str">
        <f>HYPERLINK("#HI!A1","VÝNOSY CELKEM (v tisících)")</f>
        <v>VÝNOSY CELKEM (v tisících)</v>
      </c>
      <c r="B16" s="291"/>
      <c r="C16" s="292">
        <f ca="1">IF(ISERROR(VLOOKUP("Výnosy celkem",INDIRECT("HI!$A:$G"),6,0)),0,VLOOKUP("Výnosy celkem",INDIRECT("HI!$A:$G"),6,0))</f>
        <v>13044.42</v>
      </c>
      <c r="D16" s="292">
        <f ca="1">IF(ISERROR(VLOOKUP("Výnosy celkem",INDIRECT("HI!$A:$G"),5,0)),0,VLOOKUP("Výnosy celkem",INDIRECT("HI!$A:$G"),5,0))</f>
        <v>8768.3399999999983</v>
      </c>
      <c r="E16" s="293">
        <f t="shared" ref="E16:E25" ca="1" si="1">IF(C16=0,0,D16/C16)</f>
        <v>0.67219086781934334</v>
      </c>
    </row>
    <row r="17" spans="1:5" ht="14.4" customHeight="1" x14ac:dyDescent="0.3">
      <c r="A17" s="294" t="str">
        <f>HYPERLINK("#HI!A1","Ambulance (body za výkony + Kč za ZUM a ZULP)")</f>
        <v>Ambulance (body za výkony + Kč za ZUM a ZULP)</v>
      </c>
      <c r="B17" s="272"/>
      <c r="C17" s="273">
        <f ca="1">IF(ISERROR(VLOOKUP("Ambulance *",INDIRECT("HI!$A:$G"),6,0)),0,VLOOKUP("Ambulance *",INDIRECT("HI!$A:$G"),6,0))</f>
        <v>0</v>
      </c>
      <c r="D17" s="273">
        <f ca="1">IF(ISERROR(VLOOKUP("Ambulance *",INDIRECT("HI!$A:$G"),5,0)),0,VLOOKUP("Ambulance *",INDIRECT("HI!$A:$G"),5,0))</f>
        <v>0</v>
      </c>
      <c r="E17" s="274">
        <f t="shared" ca="1" si="1"/>
        <v>0</v>
      </c>
    </row>
    <row r="18" spans="1:5" ht="14.4" customHeight="1" x14ac:dyDescent="0.3">
      <c r="A18" s="295" t="str">
        <f>HYPERLINK("#'ZV Vykáz.-H'!A1","Zdravotní výkony vykázané u hospitalizovaných pacientů (max. 85 %)")</f>
        <v>Zdravotní výkony vykázané u hospitalizovaných pacientů (max. 85 %)</v>
      </c>
      <c r="B18" s="259" t="s">
        <v>138</v>
      </c>
      <c r="C18" s="278">
        <v>0.85</v>
      </c>
      <c r="D18" s="278">
        <f>IF(ISERROR(VLOOKUP("Celkem:",'ZV Vykáz.-H'!$A:$S,7,0)),"",VLOOKUP("Celkem:",'ZV Vykáz.-H'!$A:$S,7,0))</f>
        <v>1.0611338698249826</v>
      </c>
      <c r="E18" s="274">
        <f t="shared" si="1"/>
        <v>1.2483927880293912</v>
      </c>
    </row>
    <row r="19" spans="1:5" ht="14.4" customHeight="1" x14ac:dyDescent="0.3">
      <c r="A19" s="296" t="str">
        <f>HYPERLINK("#HI!A1","Hospitalizace (casemix * 30000)")</f>
        <v>Hospitalizace (casemix * 30000)</v>
      </c>
      <c r="B19" s="276"/>
      <c r="C19" s="273">
        <f ca="1">IF(ISERROR(VLOOKUP("Hospitalizace *",INDIRECT("HI!$A:$G"),6,0)),0,VLOOKUP("Hospitalizace *",INDIRECT("HI!$A:$G"),6,0))</f>
        <v>13044.42</v>
      </c>
      <c r="D19" s="273">
        <f ca="1">IF(ISERROR(VLOOKUP("Hospitalizace *",INDIRECT("HI!$A:$G"),5,0)),0,VLOOKUP("Hospitalizace *",INDIRECT("HI!$A:$G"),5,0))</f>
        <v>8768.3399999999983</v>
      </c>
      <c r="E19" s="274">
        <f ca="1">IF(C19=0,0,D19/C19)</f>
        <v>0.67219086781934334</v>
      </c>
    </row>
    <row r="20" spans="1:5" ht="14.4" customHeight="1" x14ac:dyDescent="0.3">
      <c r="A20" s="295" t="str">
        <f>HYPERLINK("#'CaseMix'!A1","Casemix (min. 100 %)")</f>
        <v>Casemix (min. 100 %)</v>
      </c>
      <c r="B20" s="276" t="s">
        <v>58</v>
      </c>
      <c r="C20" s="278">
        <v>1</v>
      </c>
      <c r="D20" s="278">
        <f>IF(ISERROR(VLOOKUP("Celkem",CaseMix!A:M,5,0)),0,VLOOKUP("Celkem",CaseMix!A:M,5,0))</f>
        <v>0.67219086781934334</v>
      </c>
      <c r="E20" s="274">
        <f t="shared" si="1"/>
        <v>0.67219086781934334</v>
      </c>
    </row>
    <row r="21" spans="1:5" ht="14.4" customHeight="1" x14ac:dyDescent="0.3">
      <c r="A21" s="297" t="str">
        <f>HYPERLINK("#'CaseMix'!A1","DRG mimo vyjmenované baze")</f>
        <v>DRG mimo vyjmenované baze</v>
      </c>
      <c r="B21" s="276" t="s">
        <v>58</v>
      </c>
      <c r="C21" s="278">
        <v>1</v>
      </c>
      <c r="D21" s="278">
        <f>IF(ISERROR(CaseMix!E26),"",CaseMix!E26)</f>
        <v>0.67798033407484537</v>
      </c>
      <c r="E21" s="274">
        <f t="shared" si="1"/>
        <v>0.67798033407484537</v>
      </c>
    </row>
    <row r="22" spans="1:5" ht="14.4" customHeight="1" x14ac:dyDescent="0.3">
      <c r="A22" s="297" t="str">
        <f>HYPERLINK("#'CaseMix'!A1","Vyjmenované baze DRG")</f>
        <v>Vyjmenované baze DRG</v>
      </c>
      <c r="B22" s="276" t="s">
        <v>58</v>
      </c>
      <c r="C22" s="278">
        <v>1</v>
      </c>
      <c r="D22" s="278">
        <f>IF(ISERROR(CaseMix!E39),"",CaseMix!E39)</f>
        <v>0</v>
      </c>
      <c r="E22" s="274">
        <f t="shared" si="1"/>
        <v>0</v>
      </c>
    </row>
    <row r="23" spans="1:5" ht="14.4" customHeight="1" x14ac:dyDescent="0.3">
      <c r="A23" s="295" t="str">
        <f>HYPERLINK("#'CaseMix'!A1","Počet hospitalizací ukončených na pracovišti (min. 95 %)")</f>
        <v>Počet hospitalizací ukončených na pracovišti (min. 95 %)</v>
      </c>
      <c r="B23" s="276" t="s">
        <v>58</v>
      </c>
      <c r="C23" s="278">
        <v>0.95</v>
      </c>
      <c r="D23" s="278">
        <f>IF(ISERROR(CaseMix!I13),"",CaseMix!I13)</f>
        <v>0.77586206896551724</v>
      </c>
      <c r="E23" s="274">
        <f t="shared" si="1"/>
        <v>0.81669691470054451</v>
      </c>
    </row>
    <row r="24" spans="1:5" ht="14.4" customHeight="1" x14ac:dyDescent="0.3">
      <c r="A24" s="295" t="str">
        <f>HYPERLINK("#'ALOS'!A1","Průměrná délka hospitalizace (max. 100 % republikového průměru)")</f>
        <v>Průměrná délka hospitalizace (max. 100 % republikového průměru)</v>
      </c>
      <c r="B24" s="276" t="s">
        <v>73</v>
      </c>
      <c r="C24" s="278">
        <v>1</v>
      </c>
      <c r="D24" s="298">
        <f>IF(ISERROR(INDEX(ALOS!$E:$E,COUNT(ALOS!$E:$E)+32)),0,INDEX(ALOS!$E:$E,COUNT(ALOS!$E:$E)+32))</f>
        <v>0.797427652733119</v>
      </c>
      <c r="E24" s="274">
        <f t="shared" si="1"/>
        <v>0.797427652733119</v>
      </c>
    </row>
    <row r="25" spans="1:5" ht="27.6" x14ac:dyDescent="0.3">
      <c r="A25" s="299" t="str">
        <f>HYPERLINK("#'ZV Vyžád.'!A1","Zdravotní výkony (vybraných odborností) vyžádané v rámci hospitalizace (95 % při splnění casemixu 100 %, při nesplnění casemixu 100 % snížení limitu o dvojnásobek procentních bodů, o který nebylo dosaženo casemixu 100 %)")</f>
        <v>Zdravotní výkony (vybraných odborností) vyžádané v rámci hospitalizace (95 % při splnění casemixu 100 %, při nesplnění casemixu 100 % snížení limitu o dvojnásobek procentních bodů, o který nebylo dosaženo casemixu 100 %)</v>
      </c>
      <c r="B25" s="276" t="s">
        <v>135</v>
      </c>
      <c r="C25" s="278">
        <f>IF(E20&gt;1,95%,95%-2*ABS(C20-D20))</f>
        <v>0.29438173563868664</v>
      </c>
      <c r="D25" s="278">
        <f>IF(ISERROR(VLOOKUP("Celkem:",'ZV Vyžád.'!$A:$M,7,0)),"",VLOOKUP("Celkem:",'ZV Vyžád.'!$A:$M,7,0))</f>
        <v>1.1146656878607697</v>
      </c>
      <c r="E25" s="274">
        <f t="shared" si="1"/>
        <v>3.7864634687420606</v>
      </c>
    </row>
    <row r="26" spans="1:5" ht="14.4" customHeight="1" thickBot="1" x14ac:dyDescent="0.35">
      <c r="A26" s="300" t="s">
        <v>172</v>
      </c>
      <c r="B26" s="283"/>
      <c r="C26" s="284"/>
      <c r="D26" s="284"/>
      <c r="E26" s="285"/>
    </row>
    <row r="27" spans="1:5" ht="14.4" customHeight="1" thickBot="1" x14ac:dyDescent="0.35">
      <c r="A27" s="301"/>
      <c r="B27" s="302"/>
      <c r="C27" s="303"/>
      <c r="D27" s="303"/>
      <c r="E27" s="304"/>
    </row>
    <row r="28" spans="1:5" ht="14.4" customHeight="1" thickBot="1" x14ac:dyDescent="0.35">
      <c r="A28" s="305" t="s">
        <v>173</v>
      </c>
      <c r="B28" s="306"/>
      <c r="C28" s="307"/>
      <c r="D28" s="307"/>
      <c r="E28" s="308"/>
    </row>
  </sheetData>
  <mergeCells count="1">
    <mergeCell ref="A1:E1"/>
  </mergeCells>
  <conditionalFormatting sqref="E20:E23 E16 E8">
    <cfRule type="iconSet" priority="21">
      <iconSet iconSet="3Symbols2">
        <cfvo type="percent" val="0"/>
        <cfvo type="num" val="1"/>
        <cfvo type="num" val="1"/>
      </iconSet>
    </cfRule>
  </conditionalFormatting>
  <conditionalFormatting sqref="E5">
    <cfRule type="cellIs" dxfId="73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2">
    <cfRule type="cellIs" dxfId="72" priority="15" operator="greaterThan">
      <formula>1</formula>
    </cfRule>
    <cfRule type="iconSet" priority="16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71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7">
    <cfRule type="cellIs" dxfId="70" priority="9" operator="lessThan">
      <formula>1</formula>
    </cfRule>
    <cfRule type="iconSet" priority="10">
      <iconSet iconSet="3Symbols2">
        <cfvo type="percent" val="0"/>
        <cfvo type="num" val="1"/>
        <cfvo type="num" val="1"/>
      </iconSet>
    </cfRule>
  </conditionalFormatting>
  <conditionalFormatting sqref="E19">
    <cfRule type="cellIs" dxfId="69" priority="7" operator="lessThan">
      <formula>1</formula>
    </cfRule>
    <cfRule type="iconSet" priority="8">
      <iconSet iconSet="3Symbols2">
        <cfvo type="percent" val="0"/>
        <cfvo type="num" val="1"/>
        <cfvo type="num" val="1"/>
      </iconSet>
    </cfRule>
  </conditionalFormatting>
  <conditionalFormatting sqref="E6">
    <cfRule type="cellIs" dxfId="68" priority="5" operator="greaterThan">
      <formula>1</formula>
    </cfRule>
    <cfRule type="iconSet" priority="6">
      <iconSet iconSet="3Symbols2" reverse="1">
        <cfvo type="percent" val="0"/>
        <cfvo type="num" val="1"/>
        <cfvo type="num" val="1"/>
      </iconSet>
    </cfRule>
  </conditionalFormatting>
  <conditionalFormatting sqref="E16 E20:E23 E8">
    <cfRule type="cellIs" dxfId="67" priority="20" operator="lessThan">
      <formula>1</formula>
    </cfRule>
  </conditionalFormatting>
  <conditionalFormatting sqref="E9">
    <cfRule type="cellIs" dxfId="66" priority="3" operator="greaterThan">
      <formula>1</formula>
    </cfRule>
    <cfRule type="iconSet" priority="4">
      <iconSet iconSet="3Symbols2" reverse="1">
        <cfvo type="percent" val="0"/>
        <cfvo type="num" val="1"/>
        <cfvo type="num" val="1"/>
      </iconSet>
    </cfRule>
  </conditionalFormatting>
  <conditionalFormatting sqref="E24:E25 E4 E7 E13 E18">
    <cfRule type="cellIs" dxfId="65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4">
    <tabColor theme="0" tint="-0.249977111117893"/>
    <pageSetUpPr fitToPage="1"/>
  </sheetPr>
  <dimension ref="A1:W82"/>
  <sheetViews>
    <sheetView showGridLines="0" showRowColHeaders="0" zoomScaleNormal="100" workbookViewId="0">
      <pane ySplit="4" topLeftCell="A5" activePane="bottomLeft" state="frozen"/>
      <selection sqref="A1:N1"/>
      <selection pane="bottomLeft" sqref="A1:W1"/>
    </sheetView>
  </sheetViews>
  <sheetFormatPr defaultRowHeight="14.4" customHeight="1" x14ac:dyDescent="0.3"/>
  <cols>
    <col min="1" max="1" width="6.109375" style="87" customWidth="1"/>
    <col min="2" max="2" width="6.5546875" style="201" customWidth="1"/>
    <col min="3" max="3" width="5.88671875" style="201" customWidth="1"/>
    <col min="4" max="4" width="7.6640625" style="201" customWidth="1"/>
    <col min="5" max="5" width="6.5546875" style="90" customWidth="1"/>
    <col min="6" max="6" width="5.88671875" style="90" customWidth="1"/>
    <col min="7" max="7" width="7.6640625" style="90" customWidth="1"/>
    <col min="8" max="8" width="6.6640625" style="90" bestFit="1" customWidth="1"/>
    <col min="9" max="9" width="6" style="90" bestFit="1" customWidth="1"/>
    <col min="10" max="10" width="7.77734375" style="90" bestFit="1" customWidth="1"/>
    <col min="11" max="11" width="9.109375" style="90" bestFit="1" customWidth="1"/>
    <col min="12" max="12" width="3.88671875" style="90" bestFit="1" customWidth="1"/>
    <col min="13" max="13" width="4.33203125" style="90" bestFit="1" customWidth="1"/>
    <col min="14" max="14" width="5.44140625" style="90" bestFit="1" customWidth="1"/>
    <col min="15" max="15" width="4" style="90" bestFit="1" customWidth="1"/>
    <col min="16" max="16" width="55.44140625" style="84" customWidth="1"/>
    <col min="17" max="17" width="7.88671875" style="88" bestFit="1" customWidth="1"/>
    <col min="18" max="18" width="6" style="88" bestFit="1" customWidth="1"/>
    <col min="19" max="19" width="9.5546875" style="201" customWidth="1"/>
    <col min="20" max="20" width="9.6640625" style="201" customWidth="1"/>
    <col min="21" max="21" width="7.6640625" style="201" bestFit="1" customWidth="1"/>
    <col min="22" max="22" width="6.109375" style="91" bestFit="1" customWidth="1"/>
    <col min="23" max="23" width="17.21875" style="89" bestFit="1" customWidth="1"/>
    <col min="24" max="16384" width="8.88671875" style="84"/>
  </cols>
  <sheetData>
    <row r="1" spans="1:23" s="302" customFormat="1" ht="18.600000000000001" customHeight="1" thickBot="1" x14ac:dyDescent="0.4">
      <c r="A1" s="510" t="s">
        <v>4058</v>
      </c>
      <c r="B1" s="455"/>
      <c r="C1" s="455"/>
      <c r="D1" s="455"/>
      <c r="E1" s="455"/>
      <c r="F1" s="455"/>
      <c r="G1" s="455"/>
      <c r="H1" s="455"/>
      <c r="I1" s="455"/>
      <c r="J1" s="455"/>
      <c r="K1" s="455"/>
      <c r="L1" s="455"/>
      <c r="M1" s="455"/>
      <c r="N1" s="455"/>
      <c r="O1" s="455"/>
      <c r="P1" s="455"/>
      <c r="Q1" s="455"/>
      <c r="R1" s="455"/>
      <c r="S1" s="455"/>
      <c r="T1" s="455"/>
      <c r="U1" s="455"/>
      <c r="V1" s="455"/>
      <c r="W1" s="455"/>
    </row>
    <row r="2" spans="1:23" ht="14.4" customHeight="1" thickBot="1" x14ac:dyDescent="0.35">
      <c r="A2" s="360" t="s">
        <v>280</v>
      </c>
      <c r="B2" s="354"/>
      <c r="C2" s="354"/>
      <c r="D2" s="354"/>
      <c r="E2" s="354"/>
      <c r="F2" s="354"/>
      <c r="G2" s="354"/>
      <c r="H2" s="354"/>
      <c r="I2" s="354"/>
      <c r="J2" s="354"/>
      <c r="K2" s="354"/>
      <c r="L2" s="354"/>
      <c r="M2" s="354"/>
      <c r="N2" s="354"/>
      <c r="O2" s="354"/>
      <c r="P2" s="353"/>
      <c r="Q2" s="353"/>
      <c r="R2" s="353"/>
      <c r="S2" s="354"/>
      <c r="T2" s="354"/>
      <c r="U2" s="354"/>
      <c r="V2" s="353"/>
      <c r="W2" s="355"/>
    </row>
    <row r="3" spans="1:23" s="85" customFormat="1" ht="14.4" customHeight="1" x14ac:dyDescent="0.3">
      <c r="A3" s="554" t="s">
        <v>62</v>
      </c>
      <c r="B3" s="555">
        <v>2014</v>
      </c>
      <c r="C3" s="556"/>
      <c r="D3" s="557"/>
      <c r="E3" s="555">
        <v>2015</v>
      </c>
      <c r="F3" s="556"/>
      <c r="G3" s="557"/>
      <c r="H3" s="555">
        <v>2016</v>
      </c>
      <c r="I3" s="556"/>
      <c r="J3" s="557"/>
      <c r="K3" s="558" t="s">
        <v>63</v>
      </c>
      <c r="L3" s="550" t="s">
        <v>64</v>
      </c>
      <c r="M3" s="550" t="s">
        <v>65</v>
      </c>
      <c r="N3" s="550" t="s">
        <v>66</v>
      </c>
      <c r="O3" s="252" t="s">
        <v>67</v>
      </c>
      <c r="P3" s="551" t="s">
        <v>68</v>
      </c>
      <c r="Q3" s="552" t="s">
        <v>69</v>
      </c>
      <c r="R3" s="553"/>
      <c r="S3" s="548" t="s">
        <v>70</v>
      </c>
      <c r="T3" s="549"/>
      <c r="U3" s="549"/>
      <c r="V3" s="549"/>
      <c r="W3" s="202" t="s">
        <v>70</v>
      </c>
    </row>
    <row r="4" spans="1:23" s="86" customFormat="1" ht="14.4" customHeight="1" thickBot="1" x14ac:dyDescent="0.35">
      <c r="A4" s="741"/>
      <c r="B4" s="742" t="s">
        <v>71</v>
      </c>
      <c r="C4" s="743" t="s">
        <v>59</v>
      </c>
      <c r="D4" s="744" t="s">
        <v>72</v>
      </c>
      <c r="E4" s="742" t="s">
        <v>71</v>
      </c>
      <c r="F4" s="743" t="s">
        <v>59</v>
      </c>
      <c r="G4" s="744" t="s">
        <v>72</v>
      </c>
      <c r="H4" s="742" t="s">
        <v>71</v>
      </c>
      <c r="I4" s="743" t="s">
        <v>59</v>
      </c>
      <c r="J4" s="744" t="s">
        <v>72</v>
      </c>
      <c r="K4" s="745"/>
      <c r="L4" s="746"/>
      <c r="M4" s="746"/>
      <c r="N4" s="746"/>
      <c r="O4" s="747"/>
      <c r="P4" s="748"/>
      <c r="Q4" s="749" t="s">
        <v>60</v>
      </c>
      <c r="R4" s="750" t="s">
        <v>59</v>
      </c>
      <c r="S4" s="751" t="s">
        <v>73</v>
      </c>
      <c r="T4" s="752" t="s">
        <v>74</v>
      </c>
      <c r="U4" s="752" t="s">
        <v>75</v>
      </c>
      <c r="V4" s="753" t="s">
        <v>2</v>
      </c>
      <c r="W4" s="754" t="s">
        <v>76</v>
      </c>
    </row>
    <row r="5" spans="1:23" ht="14.4" customHeight="1" x14ac:dyDescent="0.3">
      <c r="A5" s="782" t="s">
        <v>3909</v>
      </c>
      <c r="B5" s="755">
        <v>1</v>
      </c>
      <c r="C5" s="756">
        <v>30.36</v>
      </c>
      <c r="D5" s="757">
        <v>115</v>
      </c>
      <c r="E5" s="758"/>
      <c r="F5" s="759"/>
      <c r="G5" s="760"/>
      <c r="H5" s="761"/>
      <c r="I5" s="759"/>
      <c r="J5" s="760"/>
      <c r="K5" s="762">
        <v>13.87</v>
      </c>
      <c r="L5" s="761">
        <v>11</v>
      </c>
      <c r="M5" s="761">
        <v>72</v>
      </c>
      <c r="N5" s="763">
        <v>24</v>
      </c>
      <c r="O5" s="761" t="s">
        <v>3910</v>
      </c>
      <c r="P5" s="764" t="s">
        <v>3911</v>
      </c>
      <c r="Q5" s="765">
        <f>H5-B5</f>
        <v>-1</v>
      </c>
      <c r="R5" s="765">
        <f>I5-C5</f>
        <v>-30.36</v>
      </c>
      <c r="S5" s="378" t="str">
        <f>IF(H5=0,"",H5*N5)</f>
        <v/>
      </c>
      <c r="T5" s="378" t="str">
        <f>IF(H5=0,"",H5*J5)</f>
        <v/>
      </c>
      <c r="U5" s="378" t="str">
        <f>IF(H5=0,"",T5-S5)</f>
        <v/>
      </c>
      <c r="V5" s="766" t="str">
        <f>IF(H5=0,"",T5/S5)</f>
        <v/>
      </c>
      <c r="W5" s="767"/>
    </row>
    <row r="6" spans="1:23" ht="14.4" customHeight="1" x14ac:dyDescent="0.3">
      <c r="A6" s="783" t="s">
        <v>3912</v>
      </c>
      <c r="B6" s="736"/>
      <c r="C6" s="738"/>
      <c r="D6" s="739"/>
      <c r="E6" s="734">
        <v>1</v>
      </c>
      <c r="F6" s="719">
        <v>7.77</v>
      </c>
      <c r="G6" s="720">
        <v>21</v>
      </c>
      <c r="H6" s="726">
        <v>3</v>
      </c>
      <c r="I6" s="727">
        <v>27.42</v>
      </c>
      <c r="J6" s="728">
        <v>10.3</v>
      </c>
      <c r="K6" s="722">
        <v>7.77</v>
      </c>
      <c r="L6" s="721">
        <v>5</v>
      </c>
      <c r="M6" s="721">
        <v>45</v>
      </c>
      <c r="N6" s="723">
        <v>15</v>
      </c>
      <c r="O6" s="721" t="s">
        <v>3910</v>
      </c>
      <c r="P6" s="735" t="s">
        <v>3913</v>
      </c>
      <c r="Q6" s="724">
        <f t="shared" ref="Q6:R69" si="0">H6-B6</f>
        <v>3</v>
      </c>
      <c r="R6" s="724">
        <f t="shared" si="0"/>
        <v>27.42</v>
      </c>
      <c r="S6" s="736">
        <f t="shared" ref="S6:S69" si="1">IF(H6=0,"",H6*N6)</f>
        <v>45</v>
      </c>
      <c r="T6" s="736">
        <f t="shared" ref="T6:T69" si="2">IF(H6=0,"",H6*J6)</f>
        <v>30.900000000000002</v>
      </c>
      <c r="U6" s="736">
        <f t="shared" ref="U6:U69" si="3">IF(H6=0,"",T6-S6)</f>
        <v>-14.099999999999998</v>
      </c>
      <c r="V6" s="737">
        <f t="shared" ref="V6:V69" si="4">IF(H6=0,"",T6/S6)</f>
        <v>0.68666666666666676</v>
      </c>
      <c r="W6" s="725">
        <v>3</v>
      </c>
    </row>
    <row r="7" spans="1:23" ht="14.4" customHeight="1" x14ac:dyDescent="0.3">
      <c r="A7" s="783" t="s">
        <v>3914</v>
      </c>
      <c r="B7" s="716">
        <v>1</v>
      </c>
      <c r="C7" s="717">
        <v>54.7</v>
      </c>
      <c r="D7" s="718">
        <v>62</v>
      </c>
      <c r="E7" s="734"/>
      <c r="F7" s="719"/>
      <c r="G7" s="720"/>
      <c r="H7" s="721"/>
      <c r="I7" s="719"/>
      <c r="J7" s="720"/>
      <c r="K7" s="722">
        <v>52.63</v>
      </c>
      <c r="L7" s="721">
        <v>43</v>
      </c>
      <c r="M7" s="721">
        <v>225</v>
      </c>
      <c r="N7" s="723">
        <v>75</v>
      </c>
      <c r="O7" s="721" t="s">
        <v>3910</v>
      </c>
      <c r="P7" s="735" t="s">
        <v>3915</v>
      </c>
      <c r="Q7" s="724">
        <f t="shared" si="0"/>
        <v>-1</v>
      </c>
      <c r="R7" s="724">
        <f t="shared" si="0"/>
        <v>-54.7</v>
      </c>
      <c r="S7" s="736" t="str">
        <f t="shared" si="1"/>
        <v/>
      </c>
      <c r="T7" s="736" t="str">
        <f t="shared" si="2"/>
        <v/>
      </c>
      <c r="U7" s="736" t="str">
        <f t="shared" si="3"/>
        <v/>
      </c>
      <c r="V7" s="737" t="str">
        <f t="shared" si="4"/>
        <v/>
      </c>
      <c r="W7" s="725"/>
    </row>
    <row r="8" spans="1:23" ht="14.4" customHeight="1" x14ac:dyDescent="0.3">
      <c r="A8" s="783" t="s">
        <v>3916</v>
      </c>
      <c r="B8" s="736">
        <v>1</v>
      </c>
      <c r="C8" s="738">
        <v>64.31</v>
      </c>
      <c r="D8" s="739">
        <v>206</v>
      </c>
      <c r="E8" s="734">
        <v>1</v>
      </c>
      <c r="F8" s="719">
        <v>37.18</v>
      </c>
      <c r="G8" s="720">
        <v>64</v>
      </c>
      <c r="H8" s="726">
        <v>2</v>
      </c>
      <c r="I8" s="727">
        <v>70.12</v>
      </c>
      <c r="J8" s="729">
        <v>50</v>
      </c>
      <c r="K8" s="722">
        <v>33.15</v>
      </c>
      <c r="L8" s="721">
        <v>22</v>
      </c>
      <c r="M8" s="721">
        <v>135</v>
      </c>
      <c r="N8" s="723">
        <v>45</v>
      </c>
      <c r="O8" s="721" t="s">
        <v>3910</v>
      </c>
      <c r="P8" s="735" t="s">
        <v>3917</v>
      </c>
      <c r="Q8" s="724">
        <f t="shared" si="0"/>
        <v>1</v>
      </c>
      <c r="R8" s="724">
        <f t="shared" si="0"/>
        <v>5.8100000000000023</v>
      </c>
      <c r="S8" s="736">
        <f t="shared" si="1"/>
        <v>90</v>
      </c>
      <c r="T8" s="736">
        <f t="shared" si="2"/>
        <v>100</v>
      </c>
      <c r="U8" s="736">
        <f t="shared" si="3"/>
        <v>10</v>
      </c>
      <c r="V8" s="737">
        <f t="shared" si="4"/>
        <v>1.1111111111111112</v>
      </c>
      <c r="W8" s="725">
        <v>24</v>
      </c>
    </row>
    <row r="9" spans="1:23" ht="14.4" customHeight="1" x14ac:dyDescent="0.3">
      <c r="A9" s="783" t="s">
        <v>3918</v>
      </c>
      <c r="B9" s="736"/>
      <c r="C9" s="738"/>
      <c r="D9" s="739"/>
      <c r="E9" s="726">
        <v>1</v>
      </c>
      <c r="F9" s="727">
        <v>16.850000000000001</v>
      </c>
      <c r="G9" s="728">
        <v>15</v>
      </c>
      <c r="H9" s="721"/>
      <c r="I9" s="719"/>
      <c r="J9" s="720"/>
      <c r="K9" s="722">
        <v>22.92</v>
      </c>
      <c r="L9" s="721">
        <v>22</v>
      </c>
      <c r="M9" s="721">
        <v>117</v>
      </c>
      <c r="N9" s="723">
        <v>39</v>
      </c>
      <c r="O9" s="721" t="s">
        <v>3910</v>
      </c>
      <c r="P9" s="735" t="s">
        <v>3917</v>
      </c>
      <c r="Q9" s="724">
        <f t="shared" si="0"/>
        <v>0</v>
      </c>
      <c r="R9" s="724">
        <f t="shared" si="0"/>
        <v>0</v>
      </c>
      <c r="S9" s="736" t="str">
        <f t="shared" si="1"/>
        <v/>
      </c>
      <c r="T9" s="736" t="str">
        <f t="shared" si="2"/>
        <v/>
      </c>
      <c r="U9" s="736" t="str">
        <f t="shared" si="3"/>
        <v/>
      </c>
      <c r="V9" s="737" t="str">
        <f t="shared" si="4"/>
        <v/>
      </c>
      <c r="W9" s="725"/>
    </row>
    <row r="10" spans="1:23" ht="14.4" customHeight="1" x14ac:dyDescent="0.3">
      <c r="A10" s="783" t="s">
        <v>3919</v>
      </c>
      <c r="B10" s="736">
        <v>2</v>
      </c>
      <c r="C10" s="738">
        <v>40.950000000000003</v>
      </c>
      <c r="D10" s="739">
        <v>27</v>
      </c>
      <c r="E10" s="726">
        <v>4</v>
      </c>
      <c r="F10" s="727">
        <v>81.36</v>
      </c>
      <c r="G10" s="728">
        <v>30.3</v>
      </c>
      <c r="H10" s="721"/>
      <c r="I10" s="719"/>
      <c r="J10" s="720"/>
      <c r="K10" s="722">
        <v>20.34</v>
      </c>
      <c r="L10" s="721">
        <v>11</v>
      </c>
      <c r="M10" s="721">
        <v>87</v>
      </c>
      <c r="N10" s="723">
        <v>29</v>
      </c>
      <c r="O10" s="721" t="s">
        <v>3910</v>
      </c>
      <c r="P10" s="735" t="s">
        <v>3911</v>
      </c>
      <c r="Q10" s="724">
        <f t="shared" si="0"/>
        <v>-2</v>
      </c>
      <c r="R10" s="724">
        <f t="shared" si="0"/>
        <v>-40.950000000000003</v>
      </c>
      <c r="S10" s="736" t="str">
        <f t="shared" si="1"/>
        <v/>
      </c>
      <c r="T10" s="736" t="str">
        <f t="shared" si="2"/>
        <v/>
      </c>
      <c r="U10" s="736" t="str">
        <f t="shared" si="3"/>
        <v/>
      </c>
      <c r="V10" s="737" t="str">
        <f t="shared" si="4"/>
        <v/>
      </c>
      <c r="W10" s="725"/>
    </row>
    <row r="11" spans="1:23" ht="14.4" customHeight="1" x14ac:dyDescent="0.3">
      <c r="A11" s="783" t="s">
        <v>3920</v>
      </c>
      <c r="B11" s="736">
        <v>6</v>
      </c>
      <c r="C11" s="738">
        <v>75.89</v>
      </c>
      <c r="D11" s="739">
        <v>16.7</v>
      </c>
      <c r="E11" s="734">
        <v>1</v>
      </c>
      <c r="F11" s="719">
        <v>12.65</v>
      </c>
      <c r="G11" s="720">
        <v>16</v>
      </c>
      <c r="H11" s="726">
        <v>8</v>
      </c>
      <c r="I11" s="727">
        <v>113.9</v>
      </c>
      <c r="J11" s="729">
        <v>26.4</v>
      </c>
      <c r="K11" s="722">
        <v>12.65</v>
      </c>
      <c r="L11" s="721">
        <v>5</v>
      </c>
      <c r="M11" s="721">
        <v>60</v>
      </c>
      <c r="N11" s="723">
        <v>20</v>
      </c>
      <c r="O11" s="721" t="s">
        <v>3910</v>
      </c>
      <c r="P11" s="735" t="s">
        <v>3913</v>
      </c>
      <c r="Q11" s="724">
        <f t="shared" si="0"/>
        <v>2</v>
      </c>
      <c r="R11" s="724">
        <f t="shared" si="0"/>
        <v>38.010000000000005</v>
      </c>
      <c r="S11" s="736">
        <f t="shared" si="1"/>
        <v>160</v>
      </c>
      <c r="T11" s="736">
        <f t="shared" si="2"/>
        <v>211.2</v>
      </c>
      <c r="U11" s="736">
        <f t="shared" si="3"/>
        <v>51.199999999999989</v>
      </c>
      <c r="V11" s="737">
        <f t="shared" si="4"/>
        <v>1.3199999999999998</v>
      </c>
      <c r="W11" s="725">
        <v>68</v>
      </c>
    </row>
    <row r="12" spans="1:23" ht="14.4" customHeight="1" x14ac:dyDescent="0.3">
      <c r="A12" s="783" t="s">
        <v>3921</v>
      </c>
      <c r="B12" s="736"/>
      <c r="C12" s="738"/>
      <c r="D12" s="739"/>
      <c r="E12" s="726">
        <v>1</v>
      </c>
      <c r="F12" s="727">
        <v>3.57</v>
      </c>
      <c r="G12" s="728">
        <v>3</v>
      </c>
      <c r="H12" s="721"/>
      <c r="I12" s="719"/>
      <c r="J12" s="720"/>
      <c r="K12" s="722">
        <v>4.5999999999999996</v>
      </c>
      <c r="L12" s="721">
        <v>4</v>
      </c>
      <c r="M12" s="721">
        <v>39</v>
      </c>
      <c r="N12" s="723">
        <v>13</v>
      </c>
      <c r="O12" s="721" t="s">
        <v>3910</v>
      </c>
      <c r="P12" s="735" t="s">
        <v>3922</v>
      </c>
      <c r="Q12" s="724">
        <f t="shared" si="0"/>
        <v>0</v>
      </c>
      <c r="R12" s="724">
        <f t="shared" si="0"/>
        <v>0</v>
      </c>
      <c r="S12" s="736" t="str">
        <f t="shared" si="1"/>
        <v/>
      </c>
      <c r="T12" s="736" t="str">
        <f t="shared" si="2"/>
        <v/>
      </c>
      <c r="U12" s="736" t="str">
        <f t="shared" si="3"/>
        <v/>
      </c>
      <c r="V12" s="737" t="str">
        <f t="shared" si="4"/>
        <v/>
      </c>
      <c r="W12" s="725"/>
    </row>
    <row r="13" spans="1:23" ht="14.4" customHeight="1" x14ac:dyDescent="0.3">
      <c r="A13" s="783" t="s">
        <v>3923</v>
      </c>
      <c r="B13" s="736"/>
      <c r="C13" s="738"/>
      <c r="D13" s="739"/>
      <c r="E13" s="726">
        <v>1</v>
      </c>
      <c r="F13" s="727">
        <v>2.0099999999999998</v>
      </c>
      <c r="G13" s="728">
        <v>2</v>
      </c>
      <c r="H13" s="721"/>
      <c r="I13" s="719"/>
      <c r="J13" s="720"/>
      <c r="K13" s="722">
        <v>2.2200000000000002</v>
      </c>
      <c r="L13" s="721">
        <v>3</v>
      </c>
      <c r="M13" s="721">
        <v>30</v>
      </c>
      <c r="N13" s="723">
        <v>10</v>
      </c>
      <c r="O13" s="721" t="s">
        <v>3910</v>
      </c>
      <c r="P13" s="735" t="s">
        <v>3924</v>
      </c>
      <c r="Q13" s="724">
        <f t="shared" si="0"/>
        <v>0</v>
      </c>
      <c r="R13" s="724">
        <f t="shared" si="0"/>
        <v>0</v>
      </c>
      <c r="S13" s="736" t="str">
        <f t="shared" si="1"/>
        <v/>
      </c>
      <c r="T13" s="736" t="str">
        <f t="shared" si="2"/>
        <v/>
      </c>
      <c r="U13" s="736" t="str">
        <f t="shared" si="3"/>
        <v/>
      </c>
      <c r="V13" s="737" t="str">
        <f t="shared" si="4"/>
        <v/>
      </c>
      <c r="W13" s="725"/>
    </row>
    <row r="14" spans="1:23" ht="14.4" customHeight="1" x14ac:dyDescent="0.3">
      <c r="A14" s="783" t="s">
        <v>3925</v>
      </c>
      <c r="B14" s="736"/>
      <c r="C14" s="738"/>
      <c r="D14" s="739"/>
      <c r="E14" s="734"/>
      <c r="F14" s="719"/>
      <c r="G14" s="720"/>
      <c r="H14" s="726">
        <v>1</v>
      </c>
      <c r="I14" s="727">
        <v>2.2999999999999998</v>
      </c>
      <c r="J14" s="729">
        <v>36</v>
      </c>
      <c r="K14" s="722">
        <v>1.0900000000000001</v>
      </c>
      <c r="L14" s="721">
        <v>3</v>
      </c>
      <c r="M14" s="721">
        <v>27</v>
      </c>
      <c r="N14" s="723">
        <v>9</v>
      </c>
      <c r="O14" s="721" t="s">
        <v>3910</v>
      </c>
      <c r="P14" s="735" t="s">
        <v>3926</v>
      </c>
      <c r="Q14" s="724">
        <f t="shared" si="0"/>
        <v>1</v>
      </c>
      <c r="R14" s="724">
        <f t="shared" si="0"/>
        <v>2.2999999999999998</v>
      </c>
      <c r="S14" s="736">
        <f t="shared" si="1"/>
        <v>9</v>
      </c>
      <c r="T14" s="736">
        <f t="shared" si="2"/>
        <v>36</v>
      </c>
      <c r="U14" s="736">
        <f t="shared" si="3"/>
        <v>27</v>
      </c>
      <c r="V14" s="737">
        <f t="shared" si="4"/>
        <v>4</v>
      </c>
      <c r="W14" s="725">
        <v>27</v>
      </c>
    </row>
    <row r="15" spans="1:23" ht="14.4" customHeight="1" x14ac:dyDescent="0.3">
      <c r="A15" s="783" t="s">
        <v>3927</v>
      </c>
      <c r="B15" s="716">
        <v>1</v>
      </c>
      <c r="C15" s="717">
        <v>2.41</v>
      </c>
      <c r="D15" s="718">
        <v>3</v>
      </c>
      <c r="E15" s="734"/>
      <c r="F15" s="719"/>
      <c r="G15" s="720"/>
      <c r="H15" s="721"/>
      <c r="I15" s="719"/>
      <c r="J15" s="720"/>
      <c r="K15" s="722">
        <v>2.38</v>
      </c>
      <c r="L15" s="721">
        <v>3</v>
      </c>
      <c r="M15" s="721">
        <v>30</v>
      </c>
      <c r="N15" s="723">
        <v>10</v>
      </c>
      <c r="O15" s="721" t="s">
        <v>3910</v>
      </c>
      <c r="P15" s="735" t="s">
        <v>3928</v>
      </c>
      <c r="Q15" s="724">
        <f t="shared" si="0"/>
        <v>-1</v>
      </c>
      <c r="R15" s="724">
        <f t="shared" si="0"/>
        <v>-2.41</v>
      </c>
      <c r="S15" s="736" t="str">
        <f t="shared" si="1"/>
        <v/>
      </c>
      <c r="T15" s="736" t="str">
        <f t="shared" si="2"/>
        <v/>
      </c>
      <c r="U15" s="736" t="str">
        <f t="shared" si="3"/>
        <v/>
      </c>
      <c r="V15" s="737" t="str">
        <f t="shared" si="4"/>
        <v/>
      </c>
      <c r="W15" s="725"/>
    </row>
    <row r="16" spans="1:23" ht="14.4" customHeight="1" x14ac:dyDescent="0.3">
      <c r="A16" s="783" t="s">
        <v>3929</v>
      </c>
      <c r="B16" s="736"/>
      <c r="C16" s="738"/>
      <c r="D16" s="739"/>
      <c r="E16" s="734"/>
      <c r="F16" s="719"/>
      <c r="G16" s="720"/>
      <c r="H16" s="726">
        <v>1</v>
      </c>
      <c r="I16" s="727">
        <v>0.52</v>
      </c>
      <c r="J16" s="728">
        <v>2</v>
      </c>
      <c r="K16" s="722">
        <v>0.51</v>
      </c>
      <c r="L16" s="721">
        <v>2</v>
      </c>
      <c r="M16" s="721">
        <v>18</v>
      </c>
      <c r="N16" s="723">
        <v>6</v>
      </c>
      <c r="O16" s="721" t="s">
        <v>3910</v>
      </c>
      <c r="P16" s="735" t="s">
        <v>3930</v>
      </c>
      <c r="Q16" s="724">
        <f t="shared" si="0"/>
        <v>1</v>
      </c>
      <c r="R16" s="724">
        <f t="shared" si="0"/>
        <v>0.52</v>
      </c>
      <c r="S16" s="736">
        <f t="shared" si="1"/>
        <v>6</v>
      </c>
      <c r="T16" s="736">
        <f t="shared" si="2"/>
        <v>2</v>
      </c>
      <c r="U16" s="736">
        <f t="shared" si="3"/>
        <v>-4</v>
      </c>
      <c r="V16" s="737">
        <f t="shared" si="4"/>
        <v>0.33333333333333331</v>
      </c>
      <c r="W16" s="725"/>
    </row>
    <row r="17" spans="1:23" ht="14.4" customHeight="1" x14ac:dyDescent="0.3">
      <c r="A17" s="783" t="s">
        <v>3931</v>
      </c>
      <c r="B17" s="716">
        <v>2</v>
      </c>
      <c r="C17" s="717">
        <v>2.79</v>
      </c>
      <c r="D17" s="718">
        <v>2.5</v>
      </c>
      <c r="E17" s="734"/>
      <c r="F17" s="719"/>
      <c r="G17" s="720"/>
      <c r="H17" s="721">
        <v>1</v>
      </c>
      <c r="I17" s="719">
        <v>1.84</v>
      </c>
      <c r="J17" s="729">
        <v>13</v>
      </c>
      <c r="K17" s="722">
        <v>1.67</v>
      </c>
      <c r="L17" s="721">
        <v>3</v>
      </c>
      <c r="M17" s="721">
        <v>27</v>
      </c>
      <c r="N17" s="723">
        <v>9</v>
      </c>
      <c r="O17" s="721" t="s">
        <v>3910</v>
      </c>
      <c r="P17" s="735" t="s">
        <v>3932</v>
      </c>
      <c r="Q17" s="724">
        <f t="shared" si="0"/>
        <v>-1</v>
      </c>
      <c r="R17" s="724">
        <f t="shared" si="0"/>
        <v>-0.95</v>
      </c>
      <c r="S17" s="736">
        <f t="shared" si="1"/>
        <v>9</v>
      </c>
      <c r="T17" s="736">
        <f t="shared" si="2"/>
        <v>13</v>
      </c>
      <c r="U17" s="736">
        <f t="shared" si="3"/>
        <v>4</v>
      </c>
      <c r="V17" s="737">
        <f t="shared" si="4"/>
        <v>1.4444444444444444</v>
      </c>
      <c r="W17" s="725">
        <v>4</v>
      </c>
    </row>
    <row r="18" spans="1:23" ht="14.4" customHeight="1" x14ac:dyDescent="0.3">
      <c r="A18" s="783" t="s">
        <v>3933</v>
      </c>
      <c r="B18" s="716">
        <v>1</v>
      </c>
      <c r="C18" s="717">
        <v>0.84</v>
      </c>
      <c r="D18" s="718">
        <v>17</v>
      </c>
      <c r="E18" s="734"/>
      <c r="F18" s="719"/>
      <c r="G18" s="720"/>
      <c r="H18" s="721"/>
      <c r="I18" s="719"/>
      <c r="J18" s="720"/>
      <c r="K18" s="722">
        <v>0.84</v>
      </c>
      <c r="L18" s="721">
        <v>3</v>
      </c>
      <c r="M18" s="721">
        <v>30</v>
      </c>
      <c r="N18" s="723">
        <v>10</v>
      </c>
      <c r="O18" s="721" t="s">
        <v>3910</v>
      </c>
      <c r="P18" s="735" t="s">
        <v>3934</v>
      </c>
      <c r="Q18" s="724">
        <f t="shared" si="0"/>
        <v>-1</v>
      </c>
      <c r="R18" s="724">
        <f t="shared" si="0"/>
        <v>-0.84</v>
      </c>
      <c r="S18" s="736" t="str">
        <f t="shared" si="1"/>
        <v/>
      </c>
      <c r="T18" s="736" t="str">
        <f t="shared" si="2"/>
        <v/>
      </c>
      <c r="U18" s="736" t="str">
        <f t="shared" si="3"/>
        <v/>
      </c>
      <c r="V18" s="737" t="str">
        <f t="shared" si="4"/>
        <v/>
      </c>
      <c r="W18" s="725"/>
    </row>
    <row r="19" spans="1:23" ht="14.4" customHeight="1" x14ac:dyDescent="0.3">
      <c r="A19" s="783" t="s">
        <v>3935</v>
      </c>
      <c r="B19" s="716">
        <v>2</v>
      </c>
      <c r="C19" s="717">
        <v>1.0900000000000001</v>
      </c>
      <c r="D19" s="718">
        <v>3</v>
      </c>
      <c r="E19" s="734">
        <v>1</v>
      </c>
      <c r="F19" s="719">
        <v>0.42</v>
      </c>
      <c r="G19" s="720">
        <v>2</v>
      </c>
      <c r="H19" s="721"/>
      <c r="I19" s="719"/>
      <c r="J19" s="720"/>
      <c r="K19" s="722">
        <v>0.42</v>
      </c>
      <c r="L19" s="721">
        <v>1</v>
      </c>
      <c r="M19" s="721">
        <v>5</v>
      </c>
      <c r="N19" s="723">
        <v>2</v>
      </c>
      <c r="O19" s="721" t="s">
        <v>3910</v>
      </c>
      <c r="P19" s="735" t="s">
        <v>3936</v>
      </c>
      <c r="Q19" s="724">
        <f t="shared" si="0"/>
        <v>-2</v>
      </c>
      <c r="R19" s="724">
        <f t="shared" si="0"/>
        <v>-1.0900000000000001</v>
      </c>
      <c r="S19" s="736" t="str">
        <f t="shared" si="1"/>
        <v/>
      </c>
      <c r="T19" s="736" t="str">
        <f t="shared" si="2"/>
        <v/>
      </c>
      <c r="U19" s="736" t="str">
        <f t="shared" si="3"/>
        <v/>
      </c>
      <c r="V19" s="737" t="str">
        <f t="shared" si="4"/>
        <v/>
      </c>
      <c r="W19" s="725"/>
    </row>
    <row r="20" spans="1:23" ht="14.4" customHeight="1" x14ac:dyDescent="0.3">
      <c r="A20" s="783" t="s">
        <v>3937</v>
      </c>
      <c r="B20" s="716">
        <v>3</v>
      </c>
      <c r="C20" s="717">
        <v>12.18</v>
      </c>
      <c r="D20" s="718">
        <v>2.2999999999999998</v>
      </c>
      <c r="E20" s="734"/>
      <c r="F20" s="719"/>
      <c r="G20" s="720"/>
      <c r="H20" s="721">
        <v>1</v>
      </c>
      <c r="I20" s="719">
        <v>4.3600000000000003</v>
      </c>
      <c r="J20" s="720">
        <v>3</v>
      </c>
      <c r="K20" s="722">
        <v>5.41</v>
      </c>
      <c r="L20" s="721">
        <v>4</v>
      </c>
      <c r="M20" s="721">
        <v>33</v>
      </c>
      <c r="N20" s="723">
        <v>11</v>
      </c>
      <c r="O20" s="721" t="s">
        <v>3910</v>
      </c>
      <c r="P20" s="735" t="s">
        <v>3938</v>
      </c>
      <c r="Q20" s="724">
        <f t="shared" si="0"/>
        <v>-2</v>
      </c>
      <c r="R20" s="724">
        <f t="shared" si="0"/>
        <v>-7.8199999999999994</v>
      </c>
      <c r="S20" s="736">
        <f t="shared" si="1"/>
        <v>11</v>
      </c>
      <c r="T20" s="736">
        <f t="shared" si="2"/>
        <v>3</v>
      </c>
      <c r="U20" s="736">
        <f t="shared" si="3"/>
        <v>-8</v>
      </c>
      <c r="V20" s="737">
        <f t="shared" si="4"/>
        <v>0.27272727272727271</v>
      </c>
      <c r="W20" s="725"/>
    </row>
    <row r="21" spans="1:23" ht="14.4" customHeight="1" x14ac:dyDescent="0.3">
      <c r="A21" s="784" t="s">
        <v>3939</v>
      </c>
      <c r="B21" s="768"/>
      <c r="C21" s="769"/>
      <c r="D21" s="730"/>
      <c r="E21" s="770">
        <v>1</v>
      </c>
      <c r="F21" s="771">
        <v>7.26</v>
      </c>
      <c r="G21" s="731">
        <v>6</v>
      </c>
      <c r="H21" s="772"/>
      <c r="I21" s="771"/>
      <c r="J21" s="731"/>
      <c r="K21" s="773">
        <v>7.26</v>
      </c>
      <c r="L21" s="772">
        <v>4</v>
      </c>
      <c r="M21" s="772">
        <v>39</v>
      </c>
      <c r="N21" s="774">
        <v>13</v>
      </c>
      <c r="O21" s="772" t="s">
        <v>3910</v>
      </c>
      <c r="P21" s="775" t="s">
        <v>3940</v>
      </c>
      <c r="Q21" s="776">
        <f t="shared" si="0"/>
        <v>0</v>
      </c>
      <c r="R21" s="776">
        <f t="shared" si="0"/>
        <v>0</v>
      </c>
      <c r="S21" s="777" t="str">
        <f t="shared" si="1"/>
        <v/>
      </c>
      <c r="T21" s="777" t="str">
        <f t="shared" si="2"/>
        <v/>
      </c>
      <c r="U21" s="777" t="str">
        <f t="shared" si="3"/>
        <v/>
      </c>
      <c r="V21" s="778" t="str">
        <f t="shared" si="4"/>
        <v/>
      </c>
      <c r="W21" s="732"/>
    </row>
    <row r="22" spans="1:23" ht="14.4" customHeight="1" x14ac:dyDescent="0.3">
      <c r="A22" s="784" t="s">
        <v>3941</v>
      </c>
      <c r="B22" s="768">
        <v>3</v>
      </c>
      <c r="C22" s="769">
        <v>23.36</v>
      </c>
      <c r="D22" s="730">
        <v>5.3</v>
      </c>
      <c r="E22" s="770"/>
      <c r="F22" s="771"/>
      <c r="G22" s="731"/>
      <c r="H22" s="772">
        <v>2</v>
      </c>
      <c r="I22" s="771">
        <v>14.05</v>
      </c>
      <c r="J22" s="731">
        <v>3.5</v>
      </c>
      <c r="K22" s="773">
        <v>9.31</v>
      </c>
      <c r="L22" s="772">
        <v>5</v>
      </c>
      <c r="M22" s="772">
        <v>48</v>
      </c>
      <c r="N22" s="774">
        <v>16</v>
      </c>
      <c r="O22" s="772" t="s">
        <v>3910</v>
      </c>
      <c r="P22" s="775" t="s">
        <v>3942</v>
      </c>
      <c r="Q22" s="776">
        <f t="shared" si="0"/>
        <v>-1</v>
      </c>
      <c r="R22" s="776">
        <f t="shared" si="0"/>
        <v>-9.3099999999999987</v>
      </c>
      <c r="S22" s="777">
        <f t="shared" si="1"/>
        <v>32</v>
      </c>
      <c r="T22" s="777">
        <f t="shared" si="2"/>
        <v>7</v>
      </c>
      <c r="U22" s="777">
        <f t="shared" si="3"/>
        <v>-25</v>
      </c>
      <c r="V22" s="778">
        <f t="shared" si="4"/>
        <v>0.21875</v>
      </c>
      <c r="W22" s="732"/>
    </row>
    <row r="23" spans="1:23" ht="14.4" customHeight="1" x14ac:dyDescent="0.3">
      <c r="A23" s="783" t="s">
        <v>3943</v>
      </c>
      <c r="B23" s="716">
        <v>1</v>
      </c>
      <c r="C23" s="717">
        <v>4.2300000000000004</v>
      </c>
      <c r="D23" s="718">
        <v>3</v>
      </c>
      <c r="E23" s="734"/>
      <c r="F23" s="719"/>
      <c r="G23" s="720"/>
      <c r="H23" s="721"/>
      <c r="I23" s="719"/>
      <c r="J23" s="720"/>
      <c r="K23" s="722">
        <v>4.2300000000000004</v>
      </c>
      <c r="L23" s="721">
        <v>2</v>
      </c>
      <c r="M23" s="721">
        <v>21</v>
      </c>
      <c r="N23" s="723">
        <v>7</v>
      </c>
      <c r="O23" s="721" t="s">
        <v>3910</v>
      </c>
      <c r="P23" s="735" t="s">
        <v>3944</v>
      </c>
      <c r="Q23" s="724">
        <f t="shared" si="0"/>
        <v>-1</v>
      </c>
      <c r="R23" s="724">
        <f t="shared" si="0"/>
        <v>-4.2300000000000004</v>
      </c>
      <c r="S23" s="736" t="str">
        <f t="shared" si="1"/>
        <v/>
      </c>
      <c r="T23" s="736" t="str">
        <f t="shared" si="2"/>
        <v/>
      </c>
      <c r="U23" s="736" t="str">
        <f t="shared" si="3"/>
        <v/>
      </c>
      <c r="V23" s="737" t="str">
        <f t="shared" si="4"/>
        <v/>
      </c>
      <c r="W23" s="725"/>
    </row>
    <row r="24" spans="1:23" ht="14.4" customHeight="1" x14ac:dyDescent="0.3">
      <c r="A24" s="783" t="s">
        <v>3945</v>
      </c>
      <c r="B24" s="736">
        <v>1</v>
      </c>
      <c r="C24" s="738">
        <v>2.12</v>
      </c>
      <c r="D24" s="739">
        <v>5</v>
      </c>
      <c r="E24" s="726">
        <v>1</v>
      </c>
      <c r="F24" s="727">
        <v>7.22</v>
      </c>
      <c r="G24" s="728">
        <v>40</v>
      </c>
      <c r="H24" s="721">
        <v>1</v>
      </c>
      <c r="I24" s="719">
        <v>1.49</v>
      </c>
      <c r="J24" s="720">
        <v>2</v>
      </c>
      <c r="K24" s="722">
        <v>2.12</v>
      </c>
      <c r="L24" s="721">
        <v>3</v>
      </c>
      <c r="M24" s="721">
        <v>24</v>
      </c>
      <c r="N24" s="723">
        <v>8</v>
      </c>
      <c r="O24" s="721" t="s">
        <v>3910</v>
      </c>
      <c r="P24" s="735" t="s">
        <v>3946</v>
      </c>
      <c r="Q24" s="724">
        <f t="shared" si="0"/>
        <v>0</v>
      </c>
      <c r="R24" s="724">
        <f t="shared" si="0"/>
        <v>-0.63000000000000012</v>
      </c>
      <c r="S24" s="736">
        <f t="shared" si="1"/>
        <v>8</v>
      </c>
      <c r="T24" s="736">
        <f t="shared" si="2"/>
        <v>2</v>
      </c>
      <c r="U24" s="736">
        <f t="shared" si="3"/>
        <v>-6</v>
      </c>
      <c r="V24" s="737">
        <f t="shared" si="4"/>
        <v>0.25</v>
      </c>
      <c r="W24" s="725"/>
    </row>
    <row r="25" spans="1:23" ht="14.4" customHeight="1" x14ac:dyDescent="0.3">
      <c r="A25" s="784" t="s">
        <v>3947</v>
      </c>
      <c r="B25" s="777"/>
      <c r="C25" s="779"/>
      <c r="D25" s="740"/>
      <c r="E25" s="780">
        <v>1</v>
      </c>
      <c r="F25" s="781">
        <v>1.58</v>
      </c>
      <c r="G25" s="733">
        <v>2</v>
      </c>
      <c r="H25" s="772">
        <v>1</v>
      </c>
      <c r="I25" s="771">
        <v>2.2200000000000002</v>
      </c>
      <c r="J25" s="731">
        <v>3</v>
      </c>
      <c r="K25" s="773">
        <v>2.86</v>
      </c>
      <c r="L25" s="772">
        <v>4</v>
      </c>
      <c r="M25" s="772">
        <v>36</v>
      </c>
      <c r="N25" s="774">
        <v>12</v>
      </c>
      <c r="O25" s="772" t="s">
        <v>3910</v>
      </c>
      <c r="P25" s="775" t="s">
        <v>3948</v>
      </c>
      <c r="Q25" s="776">
        <f t="shared" si="0"/>
        <v>1</v>
      </c>
      <c r="R25" s="776">
        <f t="shared" si="0"/>
        <v>2.2200000000000002</v>
      </c>
      <c r="S25" s="777">
        <f t="shared" si="1"/>
        <v>12</v>
      </c>
      <c r="T25" s="777">
        <f t="shared" si="2"/>
        <v>3</v>
      </c>
      <c r="U25" s="777">
        <f t="shared" si="3"/>
        <v>-9</v>
      </c>
      <c r="V25" s="778">
        <f t="shared" si="4"/>
        <v>0.25</v>
      </c>
      <c r="W25" s="732"/>
    </row>
    <row r="26" spans="1:23" ht="14.4" customHeight="1" x14ac:dyDescent="0.3">
      <c r="A26" s="784" t="s">
        <v>3949</v>
      </c>
      <c r="B26" s="777">
        <v>2</v>
      </c>
      <c r="C26" s="779">
        <v>6.75</v>
      </c>
      <c r="D26" s="740">
        <v>3</v>
      </c>
      <c r="E26" s="780">
        <v>1</v>
      </c>
      <c r="F26" s="781">
        <v>3.81</v>
      </c>
      <c r="G26" s="733">
        <v>6</v>
      </c>
      <c r="H26" s="772"/>
      <c r="I26" s="771"/>
      <c r="J26" s="731"/>
      <c r="K26" s="773">
        <v>3.81</v>
      </c>
      <c r="L26" s="772">
        <v>4</v>
      </c>
      <c r="M26" s="772">
        <v>39</v>
      </c>
      <c r="N26" s="774">
        <v>13</v>
      </c>
      <c r="O26" s="772" t="s">
        <v>3910</v>
      </c>
      <c r="P26" s="775" t="s">
        <v>3950</v>
      </c>
      <c r="Q26" s="776">
        <f t="shared" si="0"/>
        <v>-2</v>
      </c>
      <c r="R26" s="776">
        <f t="shared" si="0"/>
        <v>-6.75</v>
      </c>
      <c r="S26" s="777" t="str">
        <f t="shared" si="1"/>
        <v/>
      </c>
      <c r="T26" s="777" t="str">
        <f t="shared" si="2"/>
        <v/>
      </c>
      <c r="U26" s="777" t="str">
        <f t="shared" si="3"/>
        <v/>
      </c>
      <c r="V26" s="778" t="str">
        <f t="shared" si="4"/>
        <v/>
      </c>
      <c r="W26" s="732"/>
    </row>
    <row r="27" spans="1:23" ht="14.4" customHeight="1" x14ac:dyDescent="0.3">
      <c r="A27" s="783" t="s">
        <v>3951</v>
      </c>
      <c r="B27" s="736"/>
      <c r="C27" s="738"/>
      <c r="D27" s="739"/>
      <c r="E27" s="734"/>
      <c r="F27" s="719"/>
      <c r="G27" s="720"/>
      <c r="H27" s="726">
        <v>1</v>
      </c>
      <c r="I27" s="727">
        <v>1.23</v>
      </c>
      <c r="J27" s="728">
        <v>6</v>
      </c>
      <c r="K27" s="722">
        <v>1.23</v>
      </c>
      <c r="L27" s="721">
        <v>2</v>
      </c>
      <c r="M27" s="721">
        <v>21</v>
      </c>
      <c r="N27" s="723">
        <v>7</v>
      </c>
      <c r="O27" s="721" t="s">
        <v>3910</v>
      </c>
      <c r="P27" s="735" t="s">
        <v>3952</v>
      </c>
      <c r="Q27" s="724">
        <f t="shared" si="0"/>
        <v>1</v>
      </c>
      <c r="R27" s="724">
        <f t="shared" si="0"/>
        <v>1.23</v>
      </c>
      <c r="S27" s="736">
        <f t="shared" si="1"/>
        <v>7</v>
      </c>
      <c r="T27" s="736">
        <f t="shared" si="2"/>
        <v>6</v>
      </c>
      <c r="U27" s="736">
        <f t="shared" si="3"/>
        <v>-1</v>
      </c>
      <c r="V27" s="737">
        <f t="shared" si="4"/>
        <v>0.8571428571428571</v>
      </c>
      <c r="W27" s="725"/>
    </row>
    <row r="28" spans="1:23" ht="14.4" customHeight="1" x14ac:dyDescent="0.3">
      <c r="A28" s="783" t="s">
        <v>3953</v>
      </c>
      <c r="B28" s="736"/>
      <c r="C28" s="738"/>
      <c r="D28" s="739"/>
      <c r="E28" s="734"/>
      <c r="F28" s="719"/>
      <c r="G28" s="720"/>
      <c r="H28" s="726">
        <v>1</v>
      </c>
      <c r="I28" s="727">
        <v>0.2</v>
      </c>
      <c r="J28" s="728">
        <v>1</v>
      </c>
      <c r="K28" s="722">
        <v>0.54</v>
      </c>
      <c r="L28" s="721">
        <v>3</v>
      </c>
      <c r="M28" s="721">
        <v>24</v>
      </c>
      <c r="N28" s="723">
        <v>8</v>
      </c>
      <c r="O28" s="721" t="s">
        <v>3910</v>
      </c>
      <c r="P28" s="735" t="s">
        <v>3954</v>
      </c>
      <c r="Q28" s="724">
        <f t="shared" si="0"/>
        <v>1</v>
      </c>
      <c r="R28" s="724">
        <f t="shared" si="0"/>
        <v>0.2</v>
      </c>
      <c r="S28" s="736">
        <f t="shared" si="1"/>
        <v>8</v>
      </c>
      <c r="T28" s="736">
        <f t="shared" si="2"/>
        <v>1</v>
      </c>
      <c r="U28" s="736">
        <f t="shared" si="3"/>
        <v>-7</v>
      </c>
      <c r="V28" s="737">
        <f t="shared" si="4"/>
        <v>0.125</v>
      </c>
      <c r="W28" s="725"/>
    </row>
    <row r="29" spans="1:23" ht="14.4" customHeight="1" x14ac:dyDescent="0.3">
      <c r="A29" s="783" t="s">
        <v>3955</v>
      </c>
      <c r="B29" s="736"/>
      <c r="C29" s="738"/>
      <c r="D29" s="739"/>
      <c r="E29" s="734"/>
      <c r="F29" s="719"/>
      <c r="G29" s="720"/>
      <c r="H29" s="726">
        <v>1</v>
      </c>
      <c r="I29" s="727">
        <v>0.86</v>
      </c>
      <c r="J29" s="728">
        <v>7</v>
      </c>
      <c r="K29" s="722">
        <v>0.78</v>
      </c>
      <c r="L29" s="721">
        <v>3</v>
      </c>
      <c r="M29" s="721">
        <v>24</v>
      </c>
      <c r="N29" s="723">
        <v>8</v>
      </c>
      <c r="O29" s="721" t="s">
        <v>3910</v>
      </c>
      <c r="P29" s="735" t="s">
        <v>3956</v>
      </c>
      <c r="Q29" s="724">
        <f t="shared" si="0"/>
        <v>1</v>
      </c>
      <c r="R29" s="724">
        <f t="shared" si="0"/>
        <v>0.86</v>
      </c>
      <c r="S29" s="736">
        <f t="shared" si="1"/>
        <v>8</v>
      </c>
      <c r="T29" s="736">
        <f t="shared" si="2"/>
        <v>7</v>
      </c>
      <c r="U29" s="736">
        <f t="shared" si="3"/>
        <v>-1</v>
      </c>
      <c r="V29" s="737">
        <f t="shared" si="4"/>
        <v>0.875</v>
      </c>
      <c r="W29" s="725"/>
    </row>
    <row r="30" spans="1:23" ht="14.4" customHeight="1" x14ac:dyDescent="0.3">
      <c r="A30" s="783" t="s">
        <v>3957</v>
      </c>
      <c r="B30" s="736"/>
      <c r="C30" s="738"/>
      <c r="D30" s="739"/>
      <c r="E30" s="734"/>
      <c r="F30" s="719"/>
      <c r="G30" s="720"/>
      <c r="H30" s="726">
        <v>1</v>
      </c>
      <c r="I30" s="727">
        <v>4.2699999999999996</v>
      </c>
      <c r="J30" s="728">
        <v>2</v>
      </c>
      <c r="K30" s="722">
        <v>4.2699999999999996</v>
      </c>
      <c r="L30" s="721">
        <v>2</v>
      </c>
      <c r="M30" s="721">
        <v>21</v>
      </c>
      <c r="N30" s="723">
        <v>7</v>
      </c>
      <c r="O30" s="721" t="s">
        <v>3910</v>
      </c>
      <c r="P30" s="735" t="s">
        <v>3958</v>
      </c>
      <c r="Q30" s="724">
        <f t="shared" si="0"/>
        <v>1</v>
      </c>
      <c r="R30" s="724">
        <f t="shared" si="0"/>
        <v>4.2699999999999996</v>
      </c>
      <c r="S30" s="736">
        <f t="shared" si="1"/>
        <v>7</v>
      </c>
      <c r="T30" s="736">
        <f t="shared" si="2"/>
        <v>2</v>
      </c>
      <c r="U30" s="736">
        <f t="shared" si="3"/>
        <v>-5</v>
      </c>
      <c r="V30" s="737">
        <f t="shared" si="4"/>
        <v>0.2857142857142857</v>
      </c>
      <c r="W30" s="725"/>
    </row>
    <row r="31" spans="1:23" ht="14.4" customHeight="1" x14ac:dyDescent="0.3">
      <c r="A31" s="783" t="s">
        <v>3959</v>
      </c>
      <c r="B31" s="716">
        <v>1</v>
      </c>
      <c r="C31" s="717">
        <v>2.0499999999999998</v>
      </c>
      <c r="D31" s="718">
        <v>2</v>
      </c>
      <c r="E31" s="734"/>
      <c r="F31" s="719"/>
      <c r="G31" s="720"/>
      <c r="H31" s="721"/>
      <c r="I31" s="719"/>
      <c r="J31" s="720"/>
      <c r="K31" s="722">
        <v>2.0499999999999998</v>
      </c>
      <c r="L31" s="721">
        <v>2</v>
      </c>
      <c r="M31" s="721">
        <v>15</v>
      </c>
      <c r="N31" s="723">
        <v>5</v>
      </c>
      <c r="O31" s="721" t="s">
        <v>3910</v>
      </c>
      <c r="P31" s="735" t="s">
        <v>3960</v>
      </c>
      <c r="Q31" s="724">
        <f t="shared" si="0"/>
        <v>-1</v>
      </c>
      <c r="R31" s="724">
        <f t="shared" si="0"/>
        <v>-2.0499999999999998</v>
      </c>
      <c r="S31" s="736" t="str">
        <f t="shared" si="1"/>
        <v/>
      </c>
      <c r="T31" s="736" t="str">
        <f t="shared" si="2"/>
        <v/>
      </c>
      <c r="U31" s="736" t="str">
        <f t="shared" si="3"/>
        <v/>
      </c>
      <c r="V31" s="737" t="str">
        <f t="shared" si="4"/>
        <v/>
      </c>
      <c r="W31" s="725"/>
    </row>
    <row r="32" spans="1:23" ht="14.4" customHeight="1" x14ac:dyDescent="0.3">
      <c r="A32" s="784" t="s">
        <v>3961</v>
      </c>
      <c r="B32" s="768">
        <v>2</v>
      </c>
      <c r="C32" s="769">
        <v>4.78</v>
      </c>
      <c r="D32" s="730">
        <v>8.5</v>
      </c>
      <c r="E32" s="770"/>
      <c r="F32" s="771"/>
      <c r="G32" s="731"/>
      <c r="H32" s="772"/>
      <c r="I32" s="771"/>
      <c r="J32" s="731"/>
      <c r="K32" s="773">
        <v>2.65</v>
      </c>
      <c r="L32" s="772">
        <v>3</v>
      </c>
      <c r="M32" s="772">
        <v>27</v>
      </c>
      <c r="N32" s="774">
        <v>9</v>
      </c>
      <c r="O32" s="772" t="s">
        <v>3910</v>
      </c>
      <c r="P32" s="775" t="s">
        <v>3962</v>
      </c>
      <c r="Q32" s="776">
        <f t="shared" si="0"/>
        <v>-2</v>
      </c>
      <c r="R32" s="776">
        <f t="shared" si="0"/>
        <v>-4.78</v>
      </c>
      <c r="S32" s="777" t="str">
        <f t="shared" si="1"/>
        <v/>
      </c>
      <c r="T32" s="777" t="str">
        <f t="shared" si="2"/>
        <v/>
      </c>
      <c r="U32" s="777" t="str">
        <f t="shared" si="3"/>
        <v/>
      </c>
      <c r="V32" s="778" t="str">
        <f t="shared" si="4"/>
        <v/>
      </c>
      <c r="W32" s="732"/>
    </row>
    <row r="33" spans="1:23" ht="14.4" customHeight="1" x14ac:dyDescent="0.3">
      <c r="A33" s="783" t="s">
        <v>3963</v>
      </c>
      <c r="B33" s="716">
        <v>1</v>
      </c>
      <c r="C33" s="717">
        <v>5.93</v>
      </c>
      <c r="D33" s="718">
        <v>57</v>
      </c>
      <c r="E33" s="734"/>
      <c r="F33" s="719"/>
      <c r="G33" s="720"/>
      <c r="H33" s="721">
        <v>1</v>
      </c>
      <c r="I33" s="719">
        <v>4.09</v>
      </c>
      <c r="J33" s="720">
        <v>9</v>
      </c>
      <c r="K33" s="722">
        <v>4.09</v>
      </c>
      <c r="L33" s="721">
        <v>5</v>
      </c>
      <c r="M33" s="721">
        <v>45</v>
      </c>
      <c r="N33" s="723">
        <v>15</v>
      </c>
      <c r="O33" s="721" t="s">
        <v>3910</v>
      </c>
      <c r="P33" s="735" t="s">
        <v>3964</v>
      </c>
      <c r="Q33" s="724">
        <f t="shared" si="0"/>
        <v>0</v>
      </c>
      <c r="R33" s="724">
        <f t="shared" si="0"/>
        <v>-1.8399999999999999</v>
      </c>
      <c r="S33" s="736">
        <f t="shared" si="1"/>
        <v>15</v>
      </c>
      <c r="T33" s="736">
        <f t="shared" si="2"/>
        <v>9</v>
      </c>
      <c r="U33" s="736">
        <f t="shared" si="3"/>
        <v>-6</v>
      </c>
      <c r="V33" s="737">
        <f t="shared" si="4"/>
        <v>0.6</v>
      </c>
      <c r="W33" s="725"/>
    </row>
    <row r="34" spans="1:23" ht="14.4" customHeight="1" x14ac:dyDescent="0.3">
      <c r="A34" s="784" t="s">
        <v>3965</v>
      </c>
      <c r="B34" s="768">
        <v>3</v>
      </c>
      <c r="C34" s="769">
        <v>19.87</v>
      </c>
      <c r="D34" s="730">
        <v>18.3</v>
      </c>
      <c r="E34" s="770">
        <v>1</v>
      </c>
      <c r="F34" s="771">
        <v>3.02</v>
      </c>
      <c r="G34" s="731">
        <v>3</v>
      </c>
      <c r="H34" s="772">
        <v>2</v>
      </c>
      <c r="I34" s="771">
        <v>10.79</v>
      </c>
      <c r="J34" s="731">
        <v>6</v>
      </c>
      <c r="K34" s="773">
        <v>6.37</v>
      </c>
      <c r="L34" s="772">
        <v>7</v>
      </c>
      <c r="M34" s="772">
        <v>60</v>
      </c>
      <c r="N34" s="774">
        <v>20</v>
      </c>
      <c r="O34" s="772" t="s">
        <v>3910</v>
      </c>
      <c r="P34" s="775" t="s">
        <v>3966</v>
      </c>
      <c r="Q34" s="776">
        <f t="shared" si="0"/>
        <v>-1</v>
      </c>
      <c r="R34" s="776">
        <f t="shared" si="0"/>
        <v>-9.0800000000000018</v>
      </c>
      <c r="S34" s="777">
        <f t="shared" si="1"/>
        <v>40</v>
      </c>
      <c r="T34" s="777">
        <f t="shared" si="2"/>
        <v>12</v>
      </c>
      <c r="U34" s="777">
        <f t="shared" si="3"/>
        <v>-28</v>
      </c>
      <c r="V34" s="778">
        <f t="shared" si="4"/>
        <v>0.3</v>
      </c>
      <c r="W34" s="732"/>
    </row>
    <row r="35" spans="1:23" ht="14.4" customHeight="1" x14ac:dyDescent="0.3">
      <c r="A35" s="783" t="s">
        <v>3967</v>
      </c>
      <c r="B35" s="716"/>
      <c r="C35" s="717"/>
      <c r="D35" s="718"/>
      <c r="E35" s="734">
        <v>1</v>
      </c>
      <c r="F35" s="719">
        <v>1.23</v>
      </c>
      <c r="G35" s="720">
        <v>1</v>
      </c>
      <c r="H35" s="721"/>
      <c r="I35" s="719"/>
      <c r="J35" s="720"/>
      <c r="K35" s="722">
        <v>4.6500000000000004</v>
      </c>
      <c r="L35" s="721">
        <v>5</v>
      </c>
      <c r="M35" s="721">
        <v>45</v>
      </c>
      <c r="N35" s="723">
        <v>15</v>
      </c>
      <c r="O35" s="721" t="s">
        <v>3910</v>
      </c>
      <c r="P35" s="735" t="s">
        <v>3968</v>
      </c>
      <c r="Q35" s="724">
        <f t="shared" si="0"/>
        <v>0</v>
      </c>
      <c r="R35" s="724">
        <f t="shared" si="0"/>
        <v>0</v>
      </c>
      <c r="S35" s="736" t="str">
        <f t="shared" si="1"/>
        <v/>
      </c>
      <c r="T35" s="736" t="str">
        <f t="shared" si="2"/>
        <v/>
      </c>
      <c r="U35" s="736" t="str">
        <f t="shared" si="3"/>
        <v/>
      </c>
      <c r="V35" s="737" t="str">
        <f t="shared" si="4"/>
        <v/>
      </c>
      <c r="W35" s="725"/>
    </row>
    <row r="36" spans="1:23" ht="14.4" customHeight="1" x14ac:dyDescent="0.3">
      <c r="A36" s="784" t="s">
        <v>3969</v>
      </c>
      <c r="B36" s="768">
        <v>2</v>
      </c>
      <c r="C36" s="769">
        <v>12.65</v>
      </c>
      <c r="D36" s="730">
        <v>8.5</v>
      </c>
      <c r="E36" s="770"/>
      <c r="F36" s="771"/>
      <c r="G36" s="731"/>
      <c r="H36" s="772">
        <v>1</v>
      </c>
      <c r="I36" s="771">
        <v>2.39</v>
      </c>
      <c r="J36" s="731">
        <v>2</v>
      </c>
      <c r="K36" s="773">
        <v>5.3</v>
      </c>
      <c r="L36" s="772">
        <v>5</v>
      </c>
      <c r="M36" s="772">
        <v>45</v>
      </c>
      <c r="N36" s="774">
        <v>15</v>
      </c>
      <c r="O36" s="772" t="s">
        <v>3910</v>
      </c>
      <c r="P36" s="775" t="s">
        <v>3970</v>
      </c>
      <c r="Q36" s="776">
        <f t="shared" si="0"/>
        <v>-1</v>
      </c>
      <c r="R36" s="776">
        <f t="shared" si="0"/>
        <v>-10.26</v>
      </c>
      <c r="S36" s="777">
        <f t="shared" si="1"/>
        <v>15</v>
      </c>
      <c r="T36" s="777">
        <f t="shared" si="2"/>
        <v>2</v>
      </c>
      <c r="U36" s="777">
        <f t="shared" si="3"/>
        <v>-13</v>
      </c>
      <c r="V36" s="778">
        <f t="shared" si="4"/>
        <v>0.13333333333333333</v>
      </c>
      <c r="W36" s="732"/>
    </row>
    <row r="37" spans="1:23" ht="14.4" customHeight="1" x14ac:dyDescent="0.3">
      <c r="A37" s="783" t="s">
        <v>3971</v>
      </c>
      <c r="B37" s="736"/>
      <c r="C37" s="738"/>
      <c r="D37" s="739"/>
      <c r="E37" s="726">
        <v>1</v>
      </c>
      <c r="F37" s="727">
        <v>1.64</v>
      </c>
      <c r="G37" s="728">
        <v>3</v>
      </c>
      <c r="H37" s="721"/>
      <c r="I37" s="719"/>
      <c r="J37" s="720"/>
      <c r="K37" s="722">
        <v>1.64</v>
      </c>
      <c r="L37" s="721">
        <v>3</v>
      </c>
      <c r="M37" s="721">
        <v>27</v>
      </c>
      <c r="N37" s="723">
        <v>9</v>
      </c>
      <c r="O37" s="721" t="s">
        <v>3910</v>
      </c>
      <c r="P37" s="735" t="s">
        <v>3972</v>
      </c>
      <c r="Q37" s="724">
        <f t="shared" si="0"/>
        <v>0</v>
      </c>
      <c r="R37" s="724">
        <f t="shared" si="0"/>
        <v>0</v>
      </c>
      <c r="S37" s="736" t="str">
        <f t="shared" si="1"/>
        <v/>
      </c>
      <c r="T37" s="736" t="str">
        <f t="shared" si="2"/>
        <v/>
      </c>
      <c r="U37" s="736" t="str">
        <f t="shared" si="3"/>
        <v/>
      </c>
      <c r="V37" s="737" t="str">
        <f t="shared" si="4"/>
        <v/>
      </c>
      <c r="W37" s="725"/>
    </row>
    <row r="38" spans="1:23" ht="14.4" customHeight="1" x14ac:dyDescent="0.3">
      <c r="A38" s="784" t="s">
        <v>3973</v>
      </c>
      <c r="B38" s="777"/>
      <c r="C38" s="779"/>
      <c r="D38" s="740"/>
      <c r="E38" s="780">
        <v>1</v>
      </c>
      <c r="F38" s="781">
        <v>1.97</v>
      </c>
      <c r="G38" s="733">
        <v>3</v>
      </c>
      <c r="H38" s="772">
        <v>1</v>
      </c>
      <c r="I38" s="771">
        <v>2.5499999999999998</v>
      </c>
      <c r="J38" s="731">
        <v>4</v>
      </c>
      <c r="K38" s="773">
        <v>2.5499999999999998</v>
      </c>
      <c r="L38" s="772">
        <v>4</v>
      </c>
      <c r="M38" s="772">
        <v>36</v>
      </c>
      <c r="N38" s="774">
        <v>12</v>
      </c>
      <c r="O38" s="772" t="s">
        <v>3910</v>
      </c>
      <c r="P38" s="775" t="s">
        <v>3974</v>
      </c>
      <c r="Q38" s="776">
        <f t="shared" si="0"/>
        <v>1</v>
      </c>
      <c r="R38" s="776">
        <f t="shared" si="0"/>
        <v>2.5499999999999998</v>
      </c>
      <c r="S38" s="777">
        <f t="shared" si="1"/>
        <v>12</v>
      </c>
      <c r="T38" s="777">
        <f t="shared" si="2"/>
        <v>4</v>
      </c>
      <c r="U38" s="777">
        <f t="shared" si="3"/>
        <v>-8</v>
      </c>
      <c r="V38" s="778">
        <f t="shared" si="4"/>
        <v>0.33333333333333331</v>
      </c>
      <c r="W38" s="732"/>
    </row>
    <row r="39" spans="1:23" ht="14.4" customHeight="1" x14ac:dyDescent="0.3">
      <c r="A39" s="783" t="s">
        <v>3975</v>
      </c>
      <c r="B39" s="736"/>
      <c r="C39" s="738"/>
      <c r="D39" s="739"/>
      <c r="E39" s="726">
        <v>1</v>
      </c>
      <c r="F39" s="727">
        <v>1.5</v>
      </c>
      <c r="G39" s="728">
        <v>5</v>
      </c>
      <c r="H39" s="721"/>
      <c r="I39" s="719"/>
      <c r="J39" s="720"/>
      <c r="K39" s="722">
        <v>1.5</v>
      </c>
      <c r="L39" s="721">
        <v>3</v>
      </c>
      <c r="M39" s="721">
        <v>27</v>
      </c>
      <c r="N39" s="723">
        <v>9</v>
      </c>
      <c r="O39" s="721" t="s">
        <v>3910</v>
      </c>
      <c r="P39" s="735" t="s">
        <v>3976</v>
      </c>
      <c r="Q39" s="724">
        <f t="shared" si="0"/>
        <v>0</v>
      </c>
      <c r="R39" s="724">
        <f t="shared" si="0"/>
        <v>0</v>
      </c>
      <c r="S39" s="736" t="str">
        <f t="shared" si="1"/>
        <v/>
      </c>
      <c r="T39" s="736" t="str">
        <f t="shared" si="2"/>
        <v/>
      </c>
      <c r="U39" s="736" t="str">
        <f t="shared" si="3"/>
        <v/>
      </c>
      <c r="V39" s="737" t="str">
        <f t="shared" si="4"/>
        <v/>
      </c>
      <c r="W39" s="725"/>
    </row>
    <row r="40" spans="1:23" ht="14.4" customHeight="1" x14ac:dyDescent="0.3">
      <c r="A40" s="783" t="s">
        <v>3977</v>
      </c>
      <c r="B40" s="716">
        <v>1</v>
      </c>
      <c r="C40" s="717">
        <v>2.56</v>
      </c>
      <c r="D40" s="718">
        <v>17</v>
      </c>
      <c r="E40" s="734"/>
      <c r="F40" s="719"/>
      <c r="G40" s="720"/>
      <c r="H40" s="721"/>
      <c r="I40" s="719"/>
      <c r="J40" s="720"/>
      <c r="K40" s="722">
        <v>1.72</v>
      </c>
      <c r="L40" s="721">
        <v>3</v>
      </c>
      <c r="M40" s="721">
        <v>27</v>
      </c>
      <c r="N40" s="723">
        <v>9</v>
      </c>
      <c r="O40" s="721" t="s">
        <v>3910</v>
      </c>
      <c r="P40" s="735" t="s">
        <v>3978</v>
      </c>
      <c r="Q40" s="724">
        <f t="shared" si="0"/>
        <v>-1</v>
      </c>
      <c r="R40" s="724">
        <f t="shared" si="0"/>
        <v>-2.56</v>
      </c>
      <c r="S40" s="736" t="str">
        <f t="shared" si="1"/>
        <v/>
      </c>
      <c r="T40" s="736" t="str">
        <f t="shared" si="2"/>
        <v/>
      </c>
      <c r="U40" s="736" t="str">
        <f t="shared" si="3"/>
        <v/>
      </c>
      <c r="V40" s="737" t="str">
        <f t="shared" si="4"/>
        <v/>
      </c>
      <c r="W40" s="725"/>
    </row>
    <row r="41" spans="1:23" ht="14.4" customHeight="1" x14ac:dyDescent="0.3">
      <c r="A41" s="784" t="s">
        <v>3979</v>
      </c>
      <c r="B41" s="768">
        <v>2</v>
      </c>
      <c r="C41" s="769">
        <v>9.39</v>
      </c>
      <c r="D41" s="730">
        <v>5.5</v>
      </c>
      <c r="E41" s="770"/>
      <c r="F41" s="771"/>
      <c r="G41" s="731"/>
      <c r="H41" s="772">
        <v>1</v>
      </c>
      <c r="I41" s="771">
        <v>2.85</v>
      </c>
      <c r="J41" s="731">
        <v>3</v>
      </c>
      <c r="K41" s="773">
        <v>3.18</v>
      </c>
      <c r="L41" s="772">
        <v>4</v>
      </c>
      <c r="M41" s="772">
        <v>39</v>
      </c>
      <c r="N41" s="774">
        <v>13</v>
      </c>
      <c r="O41" s="772" t="s">
        <v>3910</v>
      </c>
      <c r="P41" s="775" t="s">
        <v>3978</v>
      </c>
      <c r="Q41" s="776">
        <f t="shared" si="0"/>
        <v>-1</v>
      </c>
      <c r="R41" s="776">
        <f t="shared" si="0"/>
        <v>-6.5400000000000009</v>
      </c>
      <c r="S41" s="777">
        <f t="shared" si="1"/>
        <v>13</v>
      </c>
      <c r="T41" s="777">
        <f t="shared" si="2"/>
        <v>3</v>
      </c>
      <c r="U41" s="777">
        <f t="shared" si="3"/>
        <v>-10</v>
      </c>
      <c r="V41" s="778">
        <f t="shared" si="4"/>
        <v>0.23076923076923078</v>
      </c>
      <c r="W41" s="732"/>
    </row>
    <row r="42" spans="1:23" ht="14.4" customHeight="1" x14ac:dyDescent="0.3">
      <c r="A42" s="783" t="s">
        <v>3980</v>
      </c>
      <c r="B42" s="736"/>
      <c r="C42" s="738"/>
      <c r="D42" s="739"/>
      <c r="E42" s="734"/>
      <c r="F42" s="719"/>
      <c r="G42" s="720"/>
      <c r="H42" s="726">
        <v>1</v>
      </c>
      <c r="I42" s="727">
        <v>0.32</v>
      </c>
      <c r="J42" s="728">
        <v>1</v>
      </c>
      <c r="K42" s="722">
        <v>0.6</v>
      </c>
      <c r="L42" s="721">
        <v>2</v>
      </c>
      <c r="M42" s="721">
        <v>18</v>
      </c>
      <c r="N42" s="723">
        <v>6</v>
      </c>
      <c r="O42" s="721" t="s">
        <v>3910</v>
      </c>
      <c r="P42" s="735" t="s">
        <v>3981</v>
      </c>
      <c r="Q42" s="724">
        <f t="shared" si="0"/>
        <v>1</v>
      </c>
      <c r="R42" s="724">
        <f t="shared" si="0"/>
        <v>0.32</v>
      </c>
      <c r="S42" s="736">
        <f t="shared" si="1"/>
        <v>6</v>
      </c>
      <c r="T42" s="736">
        <f t="shared" si="2"/>
        <v>1</v>
      </c>
      <c r="U42" s="736">
        <f t="shared" si="3"/>
        <v>-5</v>
      </c>
      <c r="V42" s="737">
        <f t="shared" si="4"/>
        <v>0.16666666666666666</v>
      </c>
      <c r="W42" s="725"/>
    </row>
    <row r="43" spans="1:23" ht="14.4" customHeight="1" x14ac:dyDescent="0.3">
      <c r="A43" s="783" t="s">
        <v>3982</v>
      </c>
      <c r="B43" s="716">
        <v>1</v>
      </c>
      <c r="C43" s="717">
        <v>0.57999999999999996</v>
      </c>
      <c r="D43" s="718">
        <v>4</v>
      </c>
      <c r="E43" s="734"/>
      <c r="F43" s="719"/>
      <c r="G43" s="720"/>
      <c r="H43" s="721"/>
      <c r="I43" s="719"/>
      <c r="J43" s="720"/>
      <c r="K43" s="722">
        <v>0.57999999999999996</v>
      </c>
      <c r="L43" s="721">
        <v>2</v>
      </c>
      <c r="M43" s="721">
        <v>21</v>
      </c>
      <c r="N43" s="723">
        <v>7</v>
      </c>
      <c r="O43" s="721" t="s">
        <v>3910</v>
      </c>
      <c r="P43" s="735" t="s">
        <v>3983</v>
      </c>
      <c r="Q43" s="724">
        <f t="shared" si="0"/>
        <v>-1</v>
      </c>
      <c r="R43" s="724">
        <f t="shared" si="0"/>
        <v>-0.57999999999999996</v>
      </c>
      <c r="S43" s="736" t="str">
        <f t="shared" si="1"/>
        <v/>
      </c>
      <c r="T43" s="736" t="str">
        <f t="shared" si="2"/>
        <v/>
      </c>
      <c r="U43" s="736" t="str">
        <f t="shared" si="3"/>
        <v/>
      </c>
      <c r="V43" s="737" t="str">
        <f t="shared" si="4"/>
        <v/>
      </c>
      <c r="W43" s="725"/>
    </row>
    <row r="44" spans="1:23" ht="14.4" customHeight="1" x14ac:dyDescent="0.3">
      <c r="A44" s="783" t="s">
        <v>3984</v>
      </c>
      <c r="B44" s="716">
        <v>1</v>
      </c>
      <c r="C44" s="717">
        <v>0.86</v>
      </c>
      <c r="D44" s="718">
        <v>2</v>
      </c>
      <c r="E44" s="734"/>
      <c r="F44" s="719"/>
      <c r="G44" s="720"/>
      <c r="H44" s="721"/>
      <c r="I44" s="719"/>
      <c r="J44" s="720"/>
      <c r="K44" s="722">
        <v>0.46</v>
      </c>
      <c r="L44" s="721">
        <v>2</v>
      </c>
      <c r="M44" s="721">
        <v>15</v>
      </c>
      <c r="N44" s="723">
        <v>5</v>
      </c>
      <c r="O44" s="721" t="s">
        <v>3910</v>
      </c>
      <c r="P44" s="735" t="s">
        <v>3985</v>
      </c>
      <c r="Q44" s="724">
        <f t="shared" si="0"/>
        <v>-1</v>
      </c>
      <c r="R44" s="724">
        <f t="shared" si="0"/>
        <v>-0.86</v>
      </c>
      <c r="S44" s="736" t="str">
        <f t="shared" si="1"/>
        <v/>
      </c>
      <c r="T44" s="736" t="str">
        <f t="shared" si="2"/>
        <v/>
      </c>
      <c r="U44" s="736" t="str">
        <f t="shared" si="3"/>
        <v/>
      </c>
      <c r="V44" s="737" t="str">
        <f t="shared" si="4"/>
        <v/>
      </c>
      <c r="W44" s="725"/>
    </row>
    <row r="45" spans="1:23" ht="14.4" customHeight="1" x14ac:dyDescent="0.3">
      <c r="A45" s="783" t="s">
        <v>3986</v>
      </c>
      <c r="B45" s="716">
        <v>1</v>
      </c>
      <c r="C45" s="717">
        <v>2.08</v>
      </c>
      <c r="D45" s="718">
        <v>5</v>
      </c>
      <c r="E45" s="734"/>
      <c r="F45" s="719"/>
      <c r="G45" s="720"/>
      <c r="H45" s="721"/>
      <c r="I45" s="719"/>
      <c r="J45" s="720"/>
      <c r="K45" s="722">
        <v>2.08</v>
      </c>
      <c r="L45" s="721">
        <v>4</v>
      </c>
      <c r="M45" s="721">
        <v>39</v>
      </c>
      <c r="N45" s="723">
        <v>13</v>
      </c>
      <c r="O45" s="721" t="s">
        <v>3910</v>
      </c>
      <c r="P45" s="735" t="s">
        <v>3987</v>
      </c>
      <c r="Q45" s="724">
        <f t="shared" si="0"/>
        <v>-1</v>
      </c>
      <c r="R45" s="724">
        <f t="shared" si="0"/>
        <v>-2.08</v>
      </c>
      <c r="S45" s="736" t="str">
        <f t="shared" si="1"/>
        <v/>
      </c>
      <c r="T45" s="736" t="str">
        <f t="shared" si="2"/>
        <v/>
      </c>
      <c r="U45" s="736" t="str">
        <f t="shared" si="3"/>
        <v/>
      </c>
      <c r="V45" s="737" t="str">
        <f t="shared" si="4"/>
        <v/>
      </c>
      <c r="W45" s="725"/>
    </row>
    <row r="46" spans="1:23" ht="14.4" customHeight="1" x14ac:dyDescent="0.3">
      <c r="A46" s="783" t="s">
        <v>3988</v>
      </c>
      <c r="B46" s="736"/>
      <c r="C46" s="738"/>
      <c r="D46" s="739"/>
      <c r="E46" s="734"/>
      <c r="F46" s="719"/>
      <c r="G46" s="720"/>
      <c r="H46" s="726">
        <v>1</v>
      </c>
      <c r="I46" s="727">
        <v>1.28</v>
      </c>
      <c r="J46" s="728">
        <v>2</v>
      </c>
      <c r="K46" s="722">
        <v>1.06</v>
      </c>
      <c r="L46" s="721">
        <v>4</v>
      </c>
      <c r="M46" s="721">
        <v>33</v>
      </c>
      <c r="N46" s="723">
        <v>11</v>
      </c>
      <c r="O46" s="721" t="s">
        <v>3910</v>
      </c>
      <c r="P46" s="735" t="s">
        <v>3989</v>
      </c>
      <c r="Q46" s="724">
        <f t="shared" si="0"/>
        <v>1</v>
      </c>
      <c r="R46" s="724">
        <f t="shared" si="0"/>
        <v>1.28</v>
      </c>
      <c r="S46" s="736">
        <f t="shared" si="1"/>
        <v>11</v>
      </c>
      <c r="T46" s="736">
        <f t="shared" si="2"/>
        <v>2</v>
      </c>
      <c r="U46" s="736">
        <f t="shared" si="3"/>
        <v>-9</v>
      </c>
      <c r="V46" s="737">
        <f t="shared" si="4"/>
        <v>0.18181818181818182</v>
      </c>
      <c r="W46" s="725"/>
    </row>
    <row r="47" spans="1:23" ht="14.4" customHeight="1" x14ac:dyDescent="0.3">
      <c r="A47" s="783" t="s">
        <v>3990</v>
      </c>
      <c r="B47" s="736"/>
      <c r="C47" s="738"/>
      <c r="D47" s="739"/>
      <c r="E47" s="726">
        <v>1</v>
      </c>
      <c r="F47" s="727">
        <v>0.81</v>
      </c>
      <c r="G47" s="728">
        <v>3</v>
      </c>
      <c r="H47" s="721"/>
      <c r="I47" s="719"/>
      <c r="J47" s="720"/>
      <c r="K47" s="722">
        <v>1.06</v>
      </c>
      <c r="L47" s="721">
        <v>4</v>
      </c>
      <c r="M47" s="721">
        <v>33</v>
      </c>
      <c r="N47" s="723">
        <v>11</v>
      </c>
      <c r="O47" s="721" t="s">
        <v>3910</v>
      </c>
      <c r="P47" s="735" t="s">
        <v>3991</v>
      </c>
      <c r="Q47" s="724">
        <f t="shared" si="0"/>
        <v>0</v>
      </c>
      <c r="R47" s="724">
        <f t="shared" si="0"/>
        <v>0</v>
      </c>
      <c r="S47" s="736" t="str">
        <f t="shared" si="1"/>
        <v/>
      </c>
      <c r="T47" s="736" t="str">
        <f t="shared" si="2"/>
        <v/>
      </c>
      <c r="U47" s="736" t="str">
        <f t="shared" si="3"/>
        <v/>
      </c>
      <c r="V47" s="737" t="str">
        <f t="shared" si="4"/>
        <v/>
      </c>
      <c r="W47" s="725"/>
    </row>
    <row r="48" spans="1:23" ht="14.4" customHeight="1" x14ac:dyDescent="0.3">
      <c r="A48" s="783" t="s">
        <v>3992</v>
      </c>
      <c r="B48" s="736"/>
      <c r="C48" s="738"/>
      <c r="D48" s="739"/>
      <c r="E48" s="734"/>
      <c r="F48" s="719"/>
      <c r="G48" s="720"/>
      <c r="H48" s="726">
        <v>1</v>
      </c>
      <c r="I48" s="727">
        <v>1.07</v>
      </c>
      <c r="J48" s="728">
        <v>3</v>
      </c>
      <c r="K48" s="722">
        <v>1.07</v>
      </c>
      <c r="L48" s="721">
        <v>3</v>
      </c>
      <c r="M48" s="721">
        <v>30</v>
      </c>
      <c r="N48" s="723">
        <v>10</v>
      </c>
      <c r="O48" s="721" t="s">
        <v>3910</v>
      </c>
      <c r="P48" s="735" t="s">
        <v>3993</v>
      </c>
      <c r="Q48" s="724">
        <f t="shared" si="0"/>
        <v>1</v>
      </c>
      <c r="R48" s="724">
        <f t="shared" si="0"/>
        <v>1.07</v>
      </c>
      <c r="S48" s="736">
        <f t="shared" si="1"/>
        <v>10</v>
      </c>
      <c r="T48" s="736">
        <f t="shared" si="2"/>
        <v>3</v>
      </c>
      <c r="U48" s="736">
        <f t="shared" si="3"/>
        <v>-7</v>
      </c>
      <c r="V48" s="737">
        <f t="shared" si="4"/>
        <v>0.3</v>
      </c>
      <c r="W48" s="725"/>
    </row>
    <row r="49" spans="1:23" ht="14.4" customHeight="1" x14ac:dyDescent="0.3">
      <c r="A49" s="783" t="s">
        <v>3994</v>
      </c>
      <c r="B49" s="716">
        <v>1</v>
      </c>
      <c r="C49" s="717">
        <v>3.71</v>
      </c>
      <c r="D49" s="718">
        <v>10</v>
      </c>
      <c r="E49" s="734"/>
      <c r="F49" s="719"/>
      <c r="G49" s="720"/>
      <c r="H49" s="721"/>
      <c r="I49" s="719"/>
      <c r="J49" s="720"/>
      <c r="K49" s="722">
        <v>3.71</v>
      </c>
      <c r="L49" s="721">
        <v>5</v>
      </c>
      <c r="M49" s="721">
        <v>45</v>
      </c>
      <c r="N49" s="723">
        <v>15</v>
      </c>
      <c r="O49" s="721" t="s">
        <v>3011</v>
      </c>
      <c r="P49" s="735" t="s">
        <v>3995</v>
      </c>
      <c r="Q49" s="724">
        <f t="shared" si="0"/>
        <v>-1</v>
      </c>
      <c r="R49" s="724">
        <f t="shared" si="0"/>
        <v>-3.71</v>
      </c>
      <c r="S49" s="736" t="str">
        <f t="shared" si="1"/>
        <v/>
      </c>
      <c r="T49" s="736" t="str">
        <f t="shared" si="2"/>
        <v/>
      </c>
      <c r="U49" s="736" t="str">
        <f t="shared" si="3"/>
        <v/>
      </c>
      <c r="V49" s="737" t="str">
        <f t="shared" si="4"/>
        <v/>
      </c>
      <c r="W49" s="725"/>
    </row>
    <row r="50" spans="1:23" ht="14.4" customHeight="1" x14ac:dyDescent="0.3">
      <c r="A50" s="783" t="s">
        <v>3996</v>
      </c>
      <c r="B50" s="736"/>
      <c r="C50" s="738"/>
      <c r="D50" s="739"/>
      <c r="E50" s="726">
        <v>1</v>
      </c>
      <c r="F50" s="727">
        <v>2.08</v>
      </c>
      <c r="G50" s="728">
        <v>4</v>
      </c>
      <c r="H50" s="721"/>
      <c r="I50" s="719"/>
      <c r="J50" s="720"/>
      <c r="K50" s="722">
        <v>4.1900000000000004</v>
      </c>
      <c r="L50" s="721">
        <v>9</v>
      </c>
      <c r="M50" s="721">
        <v>78</v>
      </c>
      <c r="N50" s="723">
        <v>26</v>
      </c>
      <c r="O50" s="721" t="s">
        <v>3910</v>
      </c>
      <c r="P50" s="735" t="s">
        <v>3997</v>
      </c>
      <c r="Q50" s="724">
        <f t="shared" si="0"/>
        <v>0</v>
      </c>
      <c r="R50" s="724">
        <f t="shared" si="0"/>
        <v>0</v>
      </c>
      <c r="S50" s="736" t="str">
        <f t="shared" si="1"/>
        <v/>
      </c>
      <c r="T50" s="736" t="str">
        <f t="shared" si="2"/>
        <v/>
      </c>
      <c r="U50" s="736" t="str">
        <f t="shared" si="3"/>
        <v/>
      </c>
      <c r="V50" s="737" t="str">
        <f t="shared" si="4"/>
        <v/>
      </c>
      <c r="W50" s="725"/>
    </row>
    <row r="51" spans="1:23" ht="14.4" customHeight="1" x14ac:dyDescent="0.3">
      <c r="A51" s="783" t="s">
        <v>3998</v>
      </c>
      <c r="B51" s="736">
        <v>1</v>
      </c>
      <c r="C51" s="738">
        <v>2.54</v>
      </c>
      <c r="D51" s="739">
        <v>4</v>
      </c>
      <c r="E51" s="734"/>
      <c r="F51" s="719"/>
      <c r="G51" s="720"/>
      <c r="H51" s="726">
        <v>1</v>
      </c>
      <c r="I51" s="727">
        <v>1.41</v>
      </c>
      <c r="J51" s="728">
        <v>2</v>
      </c>
      <c r="K51" s="722">
        <v>2.38</v>
      </c>
      <c r="L51" s="721">
        <v>4</v>
      </c>
      <c r="M51" s="721">
        <v>33</v>
      </c>
      <c r="N51" s="723">
        <v>11</v>
      </c>
      <c r="O51" s="721" t="s">
        <v>3910</v>
      </c>
      <c r="P51" s="735" t="s">
        <v>3999</v>
      </c>
      <c r="Q51" s="724">
        <f t="shared" si="0"/>
        <v>0</v>
      </c>
      <c r="R51" s="724">
        <f t="shared" si="0"/>
        <v>-1.1300000000000001</v>
      </c>
      <c r="S51" s="736">
        <f t="shared" si="1"/>
        <v>11</v>
      </c>
      <c r="T51" s="736">
        <f t="shared" si="2"/>
        <v>2</v>
      </c>
      <c r="U51" s="736">
        <f t="shared" si="3"/>
        <v>-9</v>
      </c>
      <c r="V51" s="737">
        <f t="shared" si="4"/>
        <v>0.18181818181818182</v>
      </c>
      <c r="W51" s="725"/>
    </row>
    <row r="52" spans="1:23" ht="14.4" customHeight="1" x14ac:dyDescent="0.3">
      <c r="A52" s="783" t="s">
        <v>4000</v>
      </c>
      <c r="B52" s="736"/>
      <c r="C52" s="738"/>
      <c r="D52" s="739"/>
      <c r="E52" s="734"/>
      <c r="F52" s="719"/>
      <c r="G52" s="720"/>
      <c r="H52" s="726">
        <v>1</v>
      </c>
      <c r="I52" s="727">
        <v>1.37</v>
      </c>
      <c r="J52" s="728">
        <v>3</v>
      </c>
      <c r="K52" s="722">
        <v>1.37</v>
      </c>
      <c r="L52" s="721">
        <v>2</v>
      </c>
      <c r="M52" s="721">
        <v>21</v>
      </c>
      <c r="N52" s="723">
        <v>7</v>
      </c>
      <c r="O52" s="721" t="s">
        <v>3910</v>
      </c>
      <c r="P52" s="735" t="s">
        <v>4001</v>
      </c>
      <c r="Q52" s="724">
        <f t="shared" si="0"/>
        <v>1</v>
      </c>
      <c r="R52" s="724">
        <f t="shared" si="0"/>
        <v>1.37</v>
      </c>
      <c r="S52" s="736">
        <f t="shared" si="1"/>
        <v>7</v>
      </c>
      <c r="T52" s="736">
        <f t="shared" si="2"/>
        <v>3</v>
      </c>
      <c r="U52" s="736">
        <f t="shared" si="3"/>
        <v>-4</v>
      </c>
      <c r="V52" s="737">
        <f t="shared" si="4"/>
        <v>0.42857142857142855</v>
      </c>
      <c r="W52" s="725"/>
    </row>
    <row r="53" spans="1:23" ht="14.4" customHeight="1" x14ac:dyDescent="0.3">
      <c r="A53" s="783" t="s">
        <v>4002</v>
      </c>
      <c r="B53" s="716">
        <v>1</v>
      </c>
      <c r="C53" s="717">
        <v>1.01</v>
      </c>
      <c r="D53" s="718">
        <v>3</v>
      </c>
      <c r="E53" s="734"/>
      <c r="F53" s="719"/>
      <c r="G53" s="720"/>
      <c r="H53" s="721"/>
      <c r="I53" s="719"/>
      <c r="J53" s="720"/>
      <c r="K53" s="722">
        <v>0.61</v>
      </c>
      <c r="L53" s="721">
        <v>3</v>
      </c>
      <c r="M53" s="721">
        <v>24</v>
      </c>
      <c r="N53" s="723">
        <v>8</v>
      </c>
      <c r="O53" s="721" t="s">
        <v>3910</v>
      </c>
      <c r="P53" s="735" t="s">
        <v>4003</v>
      </c>
      <c r="Q53" s="724">
        <f t="shared" si="0"/>
        <v>-1</v>
      </c>
      <c r="R53" s="724">
        <f t="shared" si="0"/>
        <v>-1.01</v>
      </c>
      <c r="S53" s="736" t="str">
        <f t="shared" si="1"/>
        <v/>
      </c>
      <c r="T53" s="736" t="str">
        <f t="shared" si="2"/>
        <v/>
      </c>
      <c r="U53" s="736" t="str">
        <f t="shared" si="3"/>
        <v/>
      </c>
      <c r="V53" s="737" t="str">
        <f t="shared" si="4"/>
        <v/>
      </c>
      <c r="W53" s="725"/>
    </row>
    <row r="54" spans="1:23" ht="14.4" customHeight="1" x14ac:dyDescent="0.3">
      <c r="A54" s="783" t="s">
        <v>4004</v>
      </c>
      <c r="B54" s="736"/>
      <c r="C54" s="738"/>
      <c r="D54" s="739"/>
      <c r="E54" s="726">
        <v>1</v>
      </c>
      <c r="F54" s="727">
        <v>1.42</v>
      </c>
      <c r="G54" s="728">
        <v>4</v>
      </c>
      <c r="H54" s="721"/>
      <c r="I54" s="719"/>
      <c r="J54" s="720"/>
      <c r="K54" s="722">
        <v>2.37</v>
      </c>
      <c r="L54" s="721">
        <v>7</v>
      </c>
      <c r="M54" s="721">
        <v>60</v>
      </c>
      <c r="N54" s="723">
        <v>20</v>
      </c>
      <c r="O54" s="721" t="s">
        <v>3910</v>
      </c>
      <c r="P54" s="735" t="s">
        <v>4005</v>
      </c>
      <c r="Q54" s="724">
        <f t="shared" si="0"/>
        <v>0</v>
      </c>
      <c r="R54" s="724">
        <f t="shared" si="0"/>
        <v>0</v>
      </c>
      <c r="S54" s="736" t="str">
        <f t="shared" si="1"/>
        <v/>
      </c>
      <c r="T54" s="736" t="str">
        <f t="shared" si="2"/>
        <v/>
      </c>
      <c r="U54" s="736" t="str">
        <f t="shared" si="3"/>
        <v/>
      </c>
      <c r="V54" s="737" t="str">
        <f t="shared" si="4"/>
        <v/>
      </c>
      <c r="W54" s="725"/>
    </row>
    <row r="55" spans="1:23" ht="14.4" customHeight="1" x14ac:dyDescent="0.3">
      <c r="A55" s="783" t="s">
        <v>4006</v>
      </c>
      <c r="B55" s="736"/>
      <c r="C55" s="738"/>
      <c r="D55" s="739"/>
      <c r="E55" s="726">
        <v>1</v>
      </c>
      <c r="F55" s="727">
        <v>1.63</v>
      </c>
      <c r="G55" s="728">
        <v>4</v>
      </c>
      <c r="H55" s="721"/>
      <c r="I55" s="719"/>
      <c r="J55" s="720"/>
      <c r="K55" s="722">
        <v>1.52</v>
      </c>
      <c r="L55" s="721">
        <v>2</v>
      </c>
      <c r="M55" s="721">
        <v>21</v>
      </c>
      <c r="N55" s="723">
        <v>7</v>
      </c>
      <c r="O55" s="721" t="s">
        <v>3910</v>
      </c>
      <c r="P55" s="735" t="s">
        <v>4007</v>
      </c>
      <c r="Q55" s="724">
        <f t="shared" si="0"/>
        <v>0</v>
      </c>
      <c r="R55" s="724">
        <f t="shared" si="0"/>
        <v>0</v>
      </c>
      <c r="S55" s="736" t="str">
        <f t="shared" si="1"/>
        <v/>
      </c>
      <c r="T55" s="736" t="str">
        <f t="shared" si="2"/>
        <v/>
      </c>
      <c r="U55" s="736" t="str">
        <f t="shared" si="3"/>
        <v/>
      </c>
      <c r="V55" s="737" t="str">
        <f t="shared" si="4"/>
        <v/>
      </c>
      <c r="W55" s="725"/>
    </row>
    <row r="56" spans="1:23" ht="14.4" customHeight="1" x14ac:dyDescent="0.3">
      <c r="A56" s="784" t="s">
        <v>4008</v>
      </c>
      <c r="B56" s="777"/>
      <c r="C56" s="779"/>
      <c r="D56" s="740"/>
      <c r="E56" s="780">
        <v>1</v>
      </c>
      <c r="F56" s="781">
        <v>2.12</v>
      </c>
      <c r="G56" s="733">
        <v>9</v>
      </c>
      <c r="H56" s="772"/>
      <c r="I56" s="771"/>
      <c r="J56" s="731"/>
      <c r="K56" s="773">
        <v>2.12</v>
      </c>
      <c r="L56" s="772">
        <v>2</v>
      </c>
      <c r="M56" s="772">
        <v>18</v>
      </c>
      <c r="N56" s="774">
        <v>6</v>
      </c>
      <c r="O56" s="772" t="s">
        <v>3910</v>
      </c>
      <c r="P56" s="775" t="s">
        <v>4007</v>
      </c>
      <c r="Q56" s="776">
        <f t="shared" si="0"/>
        <v>0</v>
      </c>
      <c r="R56" s="776">
        <f t="shared" si="0"/>
        <v>0</v>
      </c>
      <c r="S56" s="777" t="str">
        <f t="shared" si="1"/>
        <v/>
      </c>
      <c r="T56" s="777" t="str">
        <f t="shared" si="2"/>
        <v/>
      </c>
      <c r="U56" s="777" t="str">
        <f t="shared" si="3"/>
        <v/>
      </c>
      <c r="V56" s="778" t="str">
        <f t="shared" si="4"/>
        <v/>
      </c>
      <c r="W56" s="732"/>
    </row>
    <row r="57" spans="1:23" ht="14.4" customHeight="1" x14ac:dyDescent="0.3">
      <c r="A57" s="783" t="s">
        <v>4009</v>
      </c>
      <c r="B57" s="716">
        <v>1</v>
      </c>
      <c r="C57" s="717">
        <v>0.62</v>
      </c>
      <c r="D57" s="718">
        <v>2</v>
      </c>
      <c r="E57" s="734"/>
      <c r="F57" s="719"/>
      <c r="G57" s="720"/>
      <c r="H57" s="721"/>
      <c r="I57" s="719"/>
      <c r="J57" s="720"/>
      <c r="K57" s="722">
        <v>0.91</v>
      </c>
      <c r="L57" s="721">
        <v>3</v>
      </c>
      <c r="M57" s="721">
        <v>30</v>
      </c>
      <c r="N57" s="723">
        <v>10</v>
      </c>
      <c r="O57" s="721" t="s">
        <v>3910</v>
      </c>
      <c r="P57" s="735" t="s">
        <v>4010</v>
      </c>
      <c r="Q57" s="724">
        <f t="shared" si="0"/>
        <v>-1</v>
      </c>
      <c r="R57" s="724">
        <f t="shared" si="0"/>
        <v>-0.62</v>
      </c>
      <c r="S57" s="736" t="str">
        <f t="shared" si="1"/>
        <v/>
      </c>
      <c r="T57" s="736" t="str">
        <f t="shared" si="2"/>
        <v/>
      </c>
      <c r="U57" s="736" t="str">
        <f t="shared" si="3"/>
        <v/>
      </c>
      <c r="V57" s="737" t="str">
        <f t="shared" si="4"/>
        <v/>
      </c>
      <c r="W57" s="725"/>
    </row>
    <row r="58" spans="1:23" ht="14.4" customHeight="1" x14ac:dyDescent="0.3">
      <c r="A58" s="783" t="s">
        <v>4011</v>
      </c>
      <c r="B58" s="716">
        <v>1</v>
      </c>
      <c r="C58" s="717">
        <v>0.6</v>
      </c>
      <c r="D58" s="718">
        <v>2</v>
      </c>
      <c r="E58" s="734"/>
      <c r="F58" s="719"/>
      <c r="G58" s="720"/>
      <c r="H58" s="721"/>
      <c r="I58" s="719"/>
      <c r="J58" s="720"/>
      <c r="K58" s="722">
        <v>0.87</v>
      </c>
      <c r="L58" s="721">
        <v>3</v>
      </c>
      <c r="M58" s="721">
        <v>30</v>
      </c>
      <c r="N58" s="723">
        <v>10</v>
      </c>
      <c r="O58" s="721" t="s">
        <v>3910</v>
      </c>
      <c r="P58" s="735" t="s">
        <v>4012</v>
      </c>
      <c r="Q58" s="724">
        <f t="shared" si="0"/>
        <v>-1</v>
      </c>
      <c r="R58" s="724">
        <f t="shared" si="0"/>
        <v>-0.6</v>
      </c>
      <c r="S58" s="736" t="str">
        <f t="shared" si="1"/>
        <v/>
      </c>
      <c r="T58" s="736" t="str">
        <f t="shared" si="2"/>
        <v/>
      </c>
      <c r="U58" s="736" t="str">
        <f t="shared" si="3"/>
        <v/>
      </c>
      <c r="V58" s="737" t="str">
        <f t="shared" si="4"/>
        <v/>
      </c>
      <c r="W58" s="725"/>
    </row>
    <row r="59" spans="1:23" ht="14.4" customHeight="1" x14ac:dyDescent="0.3">
      <c r="A59" s="783" t="s">
        <v>4013</v>
      </c>
      <c r="B59" s="736"/>
      <c r="C59" s="738"/>
      <c r="D59" s="739"/>
      <c r="E59" s="734"/>
      <c r="F59" s="719"/>
      <c r="G59" s="720"/>
      <c r="H59" s="726">
        <v>1</v>
      </c>
      <c r="I59" s="727">
        <v>1.91</v>
      </c>
      <c r="J59" s="728">
        <v>6</v>
      </c>
      <c r="K59" s="722">
        <v>1.91</v>
      </c>
      <c r="L59" s="721">
        <v>3</v>
      </c>
      <c r="M59" s="721">
        <v>30</v>
      </c>
      <c r="N59" s="723">
        <v>10</v>
      </c>
      <c r="O59" s="721" t="s">
        <v>3910</v>
      </c>
      <c r="P59" s="735" t="s">
        <v>4014</v>
      </c>
      <c r="Q59" s="724">
        <f t="shared" si="0"/>
        <v>1</v>
      </c>
      <c r="R59" s="724">
        <f t="shared" si="0"/>
        <v>1.91</v>
      </c>
      <c r="S59" s="736">
        <f t="shared" si="1"/>
        <v>10</v>
      </c>
      <c r="T59" s="736">
        <f t="shared" si="2"/>
        <v>6</v>
      </c>
      <c r="U59" s="736">
        <f t="shared" si="3"/>
        <v>-4</v>
      </c>
      <c r="V59" s="737">
        <f t="shared" si="4"/>
        <v>0.6</v>
      </c>
      <c r="W59" s="725"/>
    </row>
    <row r="60" spans="1:23" ht="14.4" customHeight="1" x14ac:dyDescent="0.3">
      <c r="A60" s="783" t="s">
        <v>4015</v>
      </c>
      <c r="B60" s="736">
        <v>1</v>
      </c>
      <c r="C60" s="738">
        <v>0.79</v>
      </c>
      <c r="D60" s="739">
        <v>2</v>
      </c>
      <c r="E60" s="734"/>
      <c r="F60" s="719"/>
      <c r="G60" s="720"/>
      <c r="H60" s="726"/>
      <c r="I60" s="727"/>
      <c r="J60" s="728"/>
      <c r="K60" s="722">
        <v>0.79</v>
      </c>
      <c r="L60" s="721">
        <v>2</v>
      </c>
      <c r="M60" s="721">
        <v>15</v>
      </c>
      <c r="N60" s="723">
        <v>5</v>
      </c>
      <c r="O60" s="721" t="s">
        <v>3910</v>
      </c>
      <c r="P60" s="735" t="s">
        <v>4016</v>
      </c>
      <c r="Q60" s="724">
        <f t="shared" si="0"/>
        <v>-1</v>
      </c>
      <c r="R60" s="724">
        <f t="shared" si="0"/>
        <v>-0.79</v>
      </c>
      <c r="S60" s="736" t="str">
        <f t="shared" si="1"/>
        <v/>
      </c>
      <c r="T60" s="736" t="str">
        <f t="shared" si="2"/>
        <v/>
      </c>
      <c r="U60" s="736" t="str">
        <f t="shared" si="3"/>
        <v/>
      </c>
      <c r="V60" s="737" t="str">
        <f t="shared" si="4"/>
        <v/>
      </c>
      <c r="W60" s="725"/>
    </row>
    <row r="61" spans="1:23" ht="14.4" customHeight="1" x14ac:dyDescent="0.3">
      <c r="A61" s="784" t="s">
        <v>4017</v>
      </c>
      <c r="B61" s="777"/>
      <c r="C61" s="779"/>
      <c r="D61" s="740"/>
      <c r="E61" s="770"/>
      <c r="F61" s="771"/>
      <c r="G61" s="731"/>
      <c r="H61" s="780">
        <v>1</v>
      </c>
      <c r="I61" s="781">
        <v>0.94</v>
      </c>
      <c r="J61" s="733">
        <v>2</v>
      </c>
      <c r="K61" s="773">
        <v>1.35</v>
      </c>
      <c r="L61" s="772">
        <v>3</v>
      </c>
      <c r="M61" s="772">
        <v>27</v>
      </c>
      <c r="N61" s="774">
        <v>9</v>
      </c>
      <c r="O61" s="772" t="s">
        <v>3910</v>
      </c>
      <c r="P61" s="775" t="s">
        <v>4016</v>
      </c>
      <c r="Q61" s="776">
        <f t="shared" si="0"/>
        <v>1</v>
      </c>
      <c r="R61" s="776">
        <f t="shared" si="0"/>
        <v>0.94</v>
      </c>
      <c r="S61" s="777">
        <f t="shared" si="1"/>
        <v>9</v>
      </c>
      <c r="T61" s="777">
        <f t="shared" si="2"/>
        <v>2</v>
      </c>
      <c r="U61" s="777">
        <f t="shared" si="3"/>
        <v>-7</v>
      </c>
      <c r="V61" s="778">
        <f t="shared" si="4"/>
        <v>0.22222222222222221</v>
      </c>
      <c r="W61" s="732"/>
    </row>
    <row r="62" spans="1:23" ht="14.4" customHeight="1" x14ac:dyDescent="0.3">
      <c r="A62" s="783" t="s">
        <v>4018</v>
      </c>
      <c r="B62" s="736"/>
      <c r="C62" s="738"/>
      <c r="D62" s="739"/>
      <c r="E62" s="734"/>
      <c r="F62" s="719"/>
      <c r="G62" s="720"/>
      <c r="H62" s="726">
        <v>1</v>
      </c>
      <c r="I62" s="727">
        <v>1.1599999999999999</v>
      </c>
      <c r="J62" s="728">
        <v>6</v>
      </c>
      <c r="K62" s="722">
        <v>1</v>
      </c>
      <c r="L62" s="721">
        <v>3</v>
      </c>
      <c r="M62" s="721">
        <v>30</v>
      </c>
      <c r="N62" s="723">
        <v>10</v>
      </c>
      <c r="O62" s="721" t="s">
        <v>3910</v>
      </c>
      <c r="P62" s="735" t="s">
        <v>4019</v>
      </c>
      <c r="Q62" s="724">
        <f t="shared" si="0"/>
        <v>1</v>
      </c>
      <c r="R62" s="724">
        <f t="shared" si="0"/>
        <v>1.1599999999999999</v>
      </c>
      <c r="S62" s="736">
        <f t="shared" si="1"/>
        <v>10</v>
      </c>
      <c r="T62" s="736">
        <f t="shared" si="2"/>
        <v>6</v>
      </c>
      <c r="U62" s="736">
        <f t="shared" si="3"/>
        <v>-4</v>
      </c>
      <c r="V62" s="737">
        <f t="shared" si="4"/>
        <v>0.6</v>
      </c>
      <c r="W62" s="725"/>
    </row>
    <row r="63" spans="1:23" ht="14.4" customHeight="1" x14ac:dyDescent="0.3">
      <c r="A63" s="783" t="s">
        <v>4020</v>
      </c>
      <c r="B63" s="736"/>
      <c r="C63" s="738"/>
      <c r="D63" s="739"/>
      <c r="E63" s="734"/>
      <c r="F63" s="719"/>
      <c r="G63" s="720"/>
      <c r="H63" s="726">
        <v>1</v>
      </c>
      <c r="I63" s="727">
        <v>3.04</v>
      </c>
      <c r="J63" s="728">
        <v>7</v>
      </c>
      <c r="K63" s="722">
        <v>2.17</v>
      </c>
      <c r="L63" s="721">
        <v>4</v>
      </c>
      <c r="M63" s="721">
        <v>39</v>
      </c>
      <c r="N63" s="723">
        <v>13</v>
      </c>
      <c r="O63" s="721" t="s">
        <v>3910</v>
      </c>
      <c r="P63" s="735" t="s">
        <v>4021</v>
      </c>
      <c r="Q63" s="724">
        <f t="shared" si="0"/>
        <v>1</v>
      </c>
      <c r="R63" s="724">
        <f t="shared" si="0"/>
        <v>3.04</v>
      </c>
      <c r="S63" s="736">
        <f t="shared" si="1"/>
        <v>13</v>
      </c>
      <c r="T63" s="736">
        <f t="shared" si="2"/>
        <v>7</v>
      </c>
      <c r="U63" s="736">
        <f t="shared" si="3"/>
        <v>-6</v>
      </c>
      <c r="V63" s="737">
        <f t="shared" si="4"/>
        <v>0.53846153846153844</v>
      </c>
      <c r="W63" s="725"/>
    </row>
    <row r="64" spans="1:23" ht="14.4" customHeight="1" x14ac:dyDescent="0.3">
      <c r="A64" s="783" t="s">
        <v>4022</v>
      </c>
      <c r="B64" s="736">
        <v>1</v>
      </c>
      <c r="C64" s="738">
        <v>1.18</v>
      </c>
      <c r="D64" s="739">
        <v>2</v>
      </c>
      <c r="E64" s="726"/>
      <c r="F64" s="727"/>
      <c r="G64" s="728"/>
      <c r="H64" s="721"/>
      <c r="I64" s="719"/>
      <c r="J64" s="720"/>
      <c r="K64" s="722">
        <v>3</v>
      </c>
      <c r="L64" s="721">
        <v>6</v>
      </c>
      <c r="M64" s="721">
        <v>54</v>
      </c>
      <c r="N64" s="723">
        <v>18</v>
      </c>
      <c r="O64" s="721" t="s">
        <v>3910</v>
      </c>
      <c r="P64" s="735" t="s">
        <v>4023</v>
      </c>
      <c r="Q64" s="724">
        <f t="shared" si="0"/>
        <v>-1</v>
      </c>
      <c r="R64" s="724">
        <f t="shared" si="0"/>
        <v>-1.18</v>
      </c>
      <c r="S64" s="736" t="str">
        <f t="shared" si="1"/>
        <v/>
      </c>
      <c r="T64" s="736" t="str">
        <f t="shared" si="2"/>
        <v/>
      </c>
      <c r="U64" s="736" t="str">
        <f t="shared" si="3"/>
        <v/>
      </c>
      <c r="V64" s="737" t="str">
        <f t="shared" si="4"/>
        <v/>
      </c>
      <c r="W64" s="725"/>
    </row>
    <row r="65" spans="1:23" ht="14.4" customHeight="1" x14ac:dyDescent="0.3">
      <c r="A65" s="784" t="s">
        <v>4024</v>
      </c>
      <c r="B65" s="777"/>
      <c r="C65" s="779"/>
      <c r="D65" s="740"/>
      <c r="E65" s="780">
        <v>4</v>
      </c>
      <c r="F65" s="781">
        <v>22.13</v>
      </c>
      <c r="G65" s="733">
        <v>5.8</v>
      </c>
      <c r="H65" s="772"/>
      <c r="I65" s="771"/>
      <c r="J65" s="731"/>
      <c r="K65" s="773">
        <v>5.89</v>
      </c>
      <c r="L65" s="772">
        <v>7</v>
      </c>
      <c r="M65" s="772">
        <v>66</v>
      </c>
      <c r="N65" s="774">
        <v>22</v>
      </c>
      <c r="O65" s="772" t="s">
        <v>3910</v>
      </c>
      <c r="P65" s="775" t="s">
        <v>4025</v>
      </c>
      <c r="Q65" s="776">
        <f t="shared" si="0"/>
        <v>0</v>
      </c>
      <c r="R65" s="776">
        <f t="shared" si="0"/>
        <v>0</v>
      </c>
      <c r="S65" s="777" t="str">
        <f t="shared" si="1"/>
        <v/>
      </c>
      <c r="T65" s="777" t="str">
        <f t="shared" si="2"/>
        <v/>
      </c>
      <c r="U65" s="777" t="str">
        <f t="shared" si="3"/>
        <v/>
      </c>
      <c r="V65" s="778" t="str">
        <f t="shared" si="4"/>
        <v/>
      </c>
      <c r="W65" s="732"/>
    </row>
    <row r="66" spans="1:23" ht="14.4" customHeight="1" x14ac:dyDescent="0.3">
      <c r="A66" s="783" t="s">
        <v>4026</v>
      </c>
      <c r="B66" s="736"/>
      <c r="C66" s="738"/>
      <c r="D66" s="739"/>
      <c r="E66" s="726">
        <v>1</v>
      </c>
      <c r="F66" s="727">
        <v>0.93</v>
      </c>
      <c r="G66" s="728">
        <v>4</v>
      </c>
      <c r="H66" s="721"/>
      <c r="I66" s="719"/>
      <c r="J66" s="720"/>
      <c r="K66" s="722">
        <v>0.93</v>
      </c>
      <c r="L66" s="721">
        <v>3</v>
      </c>
      <c r="M66" s="721">
        <v>27</v>
      </c>
      <c r="N66" s="723">
        <v>9</v>
      </c>
      <c r="O66" s="721" t="s">
        <v>3910</v>
      </c>
      <c r="P66" s="735" t="s">
        <v>4027</v>
      </c>
      <c r="Q66" s="724">
        <f t="shared" si="0"/>
        <v>0</v>
      </c>
      <c r="R66" s="724">
        <f t="shared" si="0"/>
        <v>0</v>
      </c>
      <c r="S66" s="736" t="str">
        <f t="shared" si="1"/>
        <v/>
      </c>
      <c r="T66" s="736" t="str">
        <f t="shared" si="2"/>
        <v/>
      </c>
      <c r="U66" s="736" t="str">
        <f t="shared" si="3"/>
        <v/>
      </c>
      <c r="V66" s="737" t="str">
        <f t="shared" si="4"/>
        <v/>
      </c>
      <c r="W66" s="725"/>
    </row>
    <row r="67" spans="1:23" ht="14.4" customHeight="1" x14ac:dyDescent="0.3">
      <c r="A67" s="784" t="s">
        <v>4028</v>
      </c>
      <c r="B67" s="777"/>
      <c r="C67" s="779"/>
      <c r="D67" s="740"/>
      <c r="E67" s="780">
        <v>1</v>
      </c>
      <c r="F67" s="781">
        <v>0.85</v>
      </c>
      <c r="G67" s="733">
        <v>3</v>
      </c>
      <c r="H67" s="772"/>
      <c r="I67" s="771"/>
      <c r="J67" s="731"/>
      <c r="K67" s="773">
        <v>1.1100000000000001</v>
      </c>
      <c r="L67" s="772">
        <v>4</v>
      </c>
      <c r="M67" s="772">
        <v>33</v>
      </c>
      <c r="N67" s="774">
        <v>11</v>
      </c>
      <c r="O67" s="772" t="s">
        <v>3910</v>
      </c>
      <c r="P67" s="775" t="s">
        <v>4029</v>
      </c>
      <c r="Q67" s="776">
        <f t="shared" si="0"/>
        <v>0</v>
      </c>
      <c r="R67" s="776">
        <f t="shared" si="0"/>
        <v>0</v>
      </c>
      <c r="S67" s="777" t="str">
        <f t="shared" si="1"/>
        <v/>
      </c>
      <c r="T67" s="777" t="str">
        <f t="shared" si="2"/>
        <v/>
      </c>
      <c r="U67" s="777" t="str">
        <f t="shared" si="3"/>
        <v/>
      </c>
      <c r="V67" s="778" t="str">
        <f t="shared" si="4"/>
        <v/>
      </c>
      <c r="W67" s="732"/>
    </row>
    <row r="68" spans="1:23" ht="14.4" customHeight="1" x14ac:dyDescent="0.3">
      <c r="A68" s="784" t="s">
        <v>4030</v>
      </c>
      <c r="B68" s="777">
        <v>1</v>
      </c>
      <c r="C68" s="779">
        <v>2.02</v>
      </c>
      <c r="D68" s="740">
        <v>6</v>
      </c>
      <c r="E68" s="780">
        <v>1</v>
      </c>
      <c r="F68" s="781">
        <v>2.1800000000000002</v>
      </c>
      <c r="G68" s="733">
        <v>6</v>
      </c>
      <c r="H68" s="772"/>
      <c r="I68" s="771"/>
      <c r="J68" s="731"/>
      <c r="K68" s="773">
        <v>2.02</v>
      </c>
      <c r="L68" s="772">
        <v>4</v>
      </c>
      <c r="M68" s="772">
        <v>39</v>
      </c>
      <c r="N68" s="774">
        <v>13</v>
      </c>
      <c r="O68" s="772" t="s">
        <v>3910</v>
      </c>
      <c r="P68" s="775" t="s">
        <v>4031</v>
      </c>
      <c r="Q68" s="776">
        <f t="shared" si="0"/>
        <v>-1</v>
      </c>
      <c r="R68" s="776">
        <f t="shared" si="0"/>
        <v>-2.02</v>
      </c>
      <c r="S68" s="777" t="str">
        <f t="shared" si="1"/>
        <v/>
      </c>
      <c r="T68" s="777" t="str">
        <f t="shared" si="2"/>
        <v/>
      </c>
      <c r="U68" s="777" t="str">
        <f t="shared" si="3"/>
        <v/>
      </c>
      <c r="V68" s="778" t="str">
        <f t="shared" si="4"/>
        <v/>
      </c>
      <c r="W68" s="732"/>
    </row>
    <row r="69" spans="1:23" ht="14.4" customHeight="1" x14ac:dyDescent="0.3">
      <c r="A69" s="783" t="s">
        <v>4032</v>
      </c>
      <c r="B69" s="716">
        <v>1</v>
      </c>
      <c r="C69" s="717">
        <v>0.39</v>
      </c>
      <c r="D69" s="718">
        <v>1</v>
      </c>
      <c r="E69" s="734"/>
      <c r="F69" s="719"/>
      <c r="G69" s="720"/>
      <c r="H69" s="721"/>
      <c r="I69" s="719"/>
      <c r="J69" s="720"/>
      <c r="K69" s="722">
        <v>0.59</v>
      </c>
      <c r="L69" s="721">
        <v>2</v>
      </c>
      <c r="M69" s="721">
        <v>21</v>
      </c>
      <c r="N69" s="723">
        <v>7</v>
      </c>
      <c r="O69" s="721" t="s">
        <v>3910</v>
      </c>
      <c r="P69" s="735" t="s">
        <v>4033</v>
      </c>
      <c r="Q69" s="724">
        <f t="shared" si="0"/>
        <v>-1</v>
      </c>
      <c r="R69" s="724">
        <f t="shared" si="0"/>
        <v>-0.39</v>
      </c>
      <c r="S69" s="736" t="str">
        <f t="shared" si="1"/>
        <v/>
      </c>
      <c r="T69" s="736" t="str">
        <f t="shared" si="2"/>
        <v/>
      </c>
      <c r="U69" s="736" t="str">
        <f t="shared" si="3"/>
        <v/>
      </c>
      <c r="V69" s="737" t="str">
        <f t="shared" si="4"/>
        <v/>
      </c>
      <c r="W69" s="725"/>
    </row>
    <row r="70" spans="1:23" ht="14.4" customHeight="1" x14ac:dyDescent="0.3">
      <c r="A70" s="783" t="s">
        <v>4034</v>
      </c>
      <c r="B70" s="736"/>
      <c r="C70" s="738"/>
      <c r="D70" s="739"/>
      <c r="E70" s="726">
        <v>1</v>
      </c>
      <c r="F70" s="727">
        <v>0.64</v>
      </c>
      <c r="G70" s="728">
        <v>3</v>
      </c>
      <c r="H70" s="721"/>
      <c r="I70" s="719"/>
      <c r="J70" s="720"/>
      <c r="K70" s="722">
        <v>0.64</v>
      </c>
      <c r="L70" s="721">
        <v>1</v>
      </c>
      <c r="M70" s="721">
        <v>12</v>
      </c>
      <c r="N70" s="723">
        <v>4</v>
      </c>
      <c r="O70" s="721" t="s">
        <v>3910</v>
      </c>
      <c r="P70" s="735" t="s">
        <v>4035</v>
      </c>
      <c r="Q70" s="724">
        <f t="shared" ref="Q70:R82" si="5">H70-B70</f>
        <v>0</v>
      </c>
      <c r="R70" s="724">
        <f t="shared" si="5"/>
        <v>0</v>
      </c>
      <c r="S70" s="736" t="str">
        <f t="shared" ref="S70:S82" si="6">IF(H70=0,"",H70*N70)</f>
        <v/>
      </c>
      <c r="T70" s="736" t="str">
        <f t="shared" ref="T70:T82" si="7">IF(H70=0,"",H70*J70)</f>
        <v/>
      </c>
      <c r="U70" s="736" t="str">
        <f t="shared" ref="U70:U82" si="8">IF(H70=0,"",T70-S70)</f>
        <v/>
      </c>
      <c r="V70" s="737" t="str">
        <f t="shared" ref="V70:V82" si="9">IF(H70=0,"",T70/S70)</f>
        <v/>
      </c>
      <c r="W70" s="725"/>
    </row>
    <row r="71" spans="1:23" ht="14.4" customHeight="1" x14ac:dyDescent="0.3">
      <c r="A71" s="783" t="s">
        <v>4036</v>
      </c>
      <c r="B71" s="736"/>
      <c r="C71" s="738"/>
      <c r="D71" s="739"/>
      <c r="E71" s="734">
        <v>1</v>
      </c>
      <c r="F71" s="719">
        <v>0.7</v>
      </c>
      <c r="G71" s="720">
        <v>4</v>
      </c>
      <c r="H71" s="726">
        <v>1</v>
      </c>
      <c r="I71" s="727">
        <v>0.7</v>
      </c>
      <c r="J71" s="728">
        <v>3</v>
      </c>
      <c r="K71" s="722">
        <v>0.7</v>
      </c>
      <c r="L71" s="721">
        <v>2</v>
      </c>
      <c r="M71" s="721">
        <v>15</v>
      </c>
      <c r="N71" s="723">
        <v>5</v>
      </c>
      <c r="O71" s="721" t="s">
        <v>3910</v>
      </c>
      <c r="P71" s="735" t="s">
        <v>4037</v>
      </c>
      <c r="Q71" s="724">
        <f t="shared" si="5"/>
        <v>1</v>
      </c>
      <c r="R71" s="724">
        <f t="shared" si="5"/>
        <v>0.7</v>
      </c>
      <c r="S71" s="736">
        <f t="shared" si="6"/>
        <v>5</v>
      </c>
      <c r="T71" s="736">
        <f t="shared" si="7"/>
        <v>3</v>
      </c>
      <c r="U71" s="736">
        <f t="shared" si="8"/>
        <v>-2</v>
      </c>
      <c r="V71" s="737">
        <f t="shared" si="9"/>
        <v>0.6</v>
      </c>
      <c r="W71" s="725"/>
    </row>
    <row r="72" spans="1:23" ht="14.4" customHeight="1" x14ac:dyDescent="0.3">
      <c r="A72" s="784" t="s">
        <v>4038</v>
      </c>
      <c r="B72" s="777"/>
      <c r="C72" s="779"/>
      <c r="D72" s="740"/>
      <c r="E72" s="770"/>
      <c r="F72" s="771"/>
      <c r="G72" s="731"/>
      <c r="H72" s="780">
        <v>1</v>
      </c>
      <c r="I72" s="781">
        <v>1.88</v>
      </c>
      <c r="J72" s="733">
        <v>1</v>
      </c>
      <c r="K72" s="773">
        <v>3.18</v>
      </c>
      <c r="L72" s="772">
        <v>4</v>
      </c>
      <c r="M72" s="772">
        <v>33</v>
      </c>
      <c r="N72" s="774">
        <v>11</v>
      </c>
      <c r="O72" s="772" t="s">
        <v>3910</v>
      </c>
      <c r="P72" s="775" t="s">
        <v>4037</v>
      </c>
      <c r="Q72" s="776">
        <f t="shared" si="5"/>
        <v>1</v>
      </c>
      <c r="R72" s="776">
        <f t="shared" si="5"/>
        <v>1.88</v>
      </c>
      <c r="S72" s="777">
        <f t="shared" si="6"/>
        <v>11</v>
      </c>
      <c r="T72" s="777">
        <f t="shared" si="7"/>
        <v>1</v>
      </c>
      <c r="U72" s="777">
        <f t="shared" si="8"/>
        <v>-10</v>
      </c>
      <c r="V72" s="778">
        <f t="shared" si="9"/>
        <v>9.0909090909090912E-2</v>
      </c>
      <c r="W72" s="732"/>
    </row>
    <row r="73" spans="1:23" ht="14.4" customHeight="1" x14ac:dyDescent="0.3">
      <c r="A73" s="783" t="s">
        <v>4039</v>
      </c>
      <c r="B73" s="716">
        <v>1</v>
      </c>
      <c r="C73" s="717">
        <v>0.42</v>
      </c>
      <c r="D73" s="718">
        <v>3</v>
      </c>
      <c r="E73" s="734"/>
      <c r="F73" s="719"/>
      <c r="G73" s="720"/>
      <c r="H73" s="721"/>
      <c r="I73" s="719"/>
      <c r="J73" s="720"/>
      <c r="K73" s="722">
        <v>0.42</v>
      </c>
      <c r="L73" s="721">
        <v>2</v>
      </c>
      <c r="M73" s="721">
        <v>15</v>
      </c>
      <c r="N73" s="723">
        <v>5</v>
      </c>
      <c r="O73" s="721" t="s">
        <v>3910</v>
      </c>
      <c r="P73" s="735" t="s">
        <v>4040</v>
      </c>
      <c r="Q73" s="724">
        <f t="shared" si="5"/>
        <v>-1</v>
      </c>
      <c r="R73" s="724">
        <f t="shared" si="5"/>
        <v>-0.42</v>
      </c>
      <c r="S73" s="736" t="str">
        <f t="shared" si="6"/>
        <v/>
      </c>
      <c r="T73" s="736" t="str">
        <f t="shared" si="7"/>
        <v/>
      </c>
      <c r="U73" s="736" t="str">
        <f t="shared" si="8"/>
        <v/>
      </c>
      <c r="V73" s="737" t="str">
        <f t="shared" si="9"/>
        <v/>
      </c>
      <c r="W73" s="725"/>
    </row>
    <row r="74" spans="1:23" ht="14.4" customHeight="1" x14ac:dyDescent="0.3">
      <c r="A74" s="783" t="s">
        <v>4041</v>
      </c>
      <c r="B74" s="736"/>
      <c r="C74" s="738"/>
      <c r="D74" s="739"/>
      <c r="E74" s="726">
        <v>1</v>
      </c>
      <c r="F74" s="727">
        <v>1.67</v>
      </c>
      <c r="G74" s="728">
        <v>3</v>
      </c>
      <c r="H74" s="721"/>
      <c r="I74" s="719"/>
      <c r="J74" s="720"/>
      <c r="K74" s="722">
        <v>2.17</v>
      </c>
      <c r="L74" s="721">
        <v>4</v>
      </c>
      <c r="M74" s="721">
        <v>39</v>
      </c>
      <c r="N74" s="723">
        <v>13</v>
      </c>
      <c r="O74" s="721" t="s">
        <v>3910</v>
      </c>
      <c r="P74" s="735" t="s">
        <v>4042</v>
      </c>
      <c r="Q74" s="724">
        <f t="shared" si="5"/>
        <v>0</v>
      </c>
      <c r="R74" s="724">
        <f t="shared" si="5"/>
        <v>0</v>
      </c>
      <c r="S74" s="736" t="str">
        <f t="shared" si="6"/>
        <v/>
      </c>
      <c r="T74" s="736" t="str">
        <f t="shared" si="7"/>
        <v/>
      </c>
      <c r="U74" s="736" t="str">
        <f t="shared" si="8"/>
        <v/>
      </c>
      <c r="V74" s="737" t="str">
        <f t="shared" si="9"/>
        <v/>
      </c>
      <c r="W74" s="725"/>
    </row>
    <row r="75" spans="1:23" ht="14.4" customHeight="1" x14ac:dyDescent="0.3">
      <c r="A75" s="783" t="s">
        <v>4043</v>
      </c>
      <c r="B75" s="736">
        <v>1</v>
      </c>
      <c r="C75" s="738">
        <v>0.32</v>
      </c>
      <c r="D75" s="739">
        <v>1</v>
      </c>
      <c r="E75" s="734"/>
      <c r="F75" s="719"/>
      <c r="G75" s="720"/>
      <c r="H75" s="726">
        <v>1</v>
      </c>
      <c r="I75" s="727">
        <v>0.32</v>
      </c>
      <c r="J75" s="728">
        <v>1</v>
      </c>
      <c r="K75" s="722">
        <v>0.85</v>
      </c>
      <c r="L75" s="721">
        <v>3</v>
      </c>
      <c r="M75" s="721">
        <v>24</v>
      </c>
      <c r="N75" s="723">
        <v>8</v>
      </c>
      <c r="O75" s="721" t="s">
        <v>3910</v>
      </c>
      <c r="P75" s="735" t="s">
        <v>4044</v>
      </c>
      <c r="Q75" s="724">
        <f t="shared" si="5"/>
        <v>0</v>
      </c>
      <c r="R75" s="724">
        <f t="shared" si="5"/>
        <v>0</v>
      </c>
      <c r="S75" s="736">
        <f t="shared" si="6"/>
        <v>8</v>
      </c>
      <c r="T75" s="736">
        <f t="shared" si="7"/>
        <v>1</v>
      </c>
      <c r="U75" s="736">
        <f t="shared" si="8"/>
        <v>-7</v>
      </c>
      <c r="V75" s="737">
        <f t="shared" si="9"/>
        <v>0.125</v>
      </c>
      <c r="W75" s="725"/>
    </row>
    <row r="76" spans="1:23" ht="14.4" customHeight="1" x14ac:dyDescent="0.3">
      <c r="A76" s="783" t="s">
        <v>4045</v>
      </c>
      <c r="B76" s="716">
        <v>1</v>
      </c>
      <c r="C76" s="717">
        <v>23.61</v>
      </c>
      <c r="D76" s="718">
        <v>18</v>
      </c>
      <c r="E76" s="734"/>
      <c r="F76" s="719"/>
      <c r="G76" s="720"/>
      <c r="H76" s="721"/>
      <c r="I76" s="719"/>
      <c r="J76" s="720"/>
      <c r="K76" s="722">
        <v>23.68</v>
      </c>
      <c r="L76" s="721">
        <v>11</v>
      </c>
      <c r="M76" s="721">
        <v>87</v>
      </c>
      <c r="N76" s="723">
        <v>29</v>
      </c>
      <c r="O76" s="721" t="s">
        <v>3910</v>
      </c>
      <c r="P76" s="735" t="s">
        <v>4046</v>
      </c>
      <c r="Q76" s="724">
        <f t="shared" si="5"/>
        <v>-1</v>
      </c>
      <c r="R76" s="724">
        <f t="shared" si="5"/>
        <v>-23.61</v>
      </c>
      <c r="S76" s="736" t="str">
        <f t="shared" si="6"/>
        <v/>
      </c>
      <c r="T76" s="736" t="str">
        <f t="shared" si="7"/>
        <v/>
      </c>
      <c r="U76" s="736" t="str">
        <f t="shared" si="8"/>
        <v/>
      </c>
      <c r="V76" s="737" t="str">
        <f t="shared" si="9"/>
        <v/>
      </c>
      <c r="W76" s="725"/>
    </row>
    <row r="77" spans="1:23" ht="14.4" customHeight="1" x14ac:dyDescent="0.3">
      <c r="A77" s="783" t="s">
        <v>4047</v>
      </c>
      <c r="B77" s="736"/>
      <c r="C77" s="738"/>
      <c r="D77" s="739"/>
      <c r="E77" s="726">
        <v>1</v>
      </c>
      <c r="F77" s="727">
        <v>16.940000000000001</v>
      </c>
      <c r="G77" s="728">
        <v>30</v>
      </c>
      <c r="H77" s="721"/>
      <c r="I77" s="719"/>
      <c r="J77" s="720"/>
      <c r="K77" s="722">
        <v>16.940000000000001</v>
      </c>
      <c r="L77" s="721">
        <v>5</v>
      </c>
      <c r="M77" s="721">
        <v>72</v>
      </c>
      <c r="N77" s="723">
        <v>24</v>
      </c>
      <c r="O77" s="721" t="s">
        <v>3910</v>
      </c>
      <c r="P77" s="735" t="s">
        <v>4048</v>
      </c>
      <c r="Q77" s="724">
        <f t="shared" si="5"/>
        <v>0</v>
      </c>
      <c r="R77" s="724">
        <f t="shared" si="5"/>
        <v>0</v>
      </c>
      <c r="S77" s="736" t="str">
        <f t="shared" si="6"/>
        <v/>
      </c>
      <c r="T77" s="736" t="str">
        <f t="shared" si="7"/>
        <v/>
      </c>
      <c r="U77" s="736" t="str">
        <f t="shared" si="8"/>
        <v/>
      </c>
      <c r="V77" s="737" t="str">
        <f t="shared" si="9"/>
        <v/>
      </c>
      <c r="W77" s="725"/>
    </row>
    <row r="78" spans="1:23" ht="14.4" customHeight="1" x14ac:dyDescent="0.3">
      <c r="A78" s="783" t="s">
        <v>4049</v>
      </c>
      <c r="B78" s="736"/>
      <c r="C78" s="738"/>
      <c r="D78" s="739"/>
      <c r="E78" s="726">
        <v>1</v>
      </c>
      <c r="F78" s="727">
        <v>0.89</v>
      </c>
      <c r="G78" s="728">
        <v>4</v>
      </c>
      <c r="H78" s="721"/>
      <c r="I78" s="719"/>
      <c r="J78" s="720"/>
      <c r="K78" s="722">
        <v>0.89</v>
      </c>
      <c r="L78" s="721">
        <v>3</v>
      </c>
      <c r="M78" s="721">
        <v>24</v>
      </c>
      <c r="N78" s="723">
        <v>8</v>
      </c>
      <c r="O78" s="721" t="s">
        <v>3910</v>
      </c>
      <c r="P78" s="735" t="s">
        <v>4050</v>
      </c>
      <c r="Q78" s="724">
        <f t="shared" si="5"/>
        <v>0</v>
      </c>
      <c r="R78" s="724">
        <f t="shared" si="5"/>
        <v>0</v>
      </c>
      <c r="S78" s="736" t="str">
        <f t="shared" si="6"/>
        <v/>
      </c>
      <c r="T78" s="736" t="str">
        <f t="shared" si="7"/>
        <v/>
      </c>
      <c r="U78" s="736" t="str">
        <f t="shared" si="8"/>
        <v/>
      </c>
      <c r="V78" s="737" t="str">
        <f t="shared" si="9"/>
        <v/>
      </c>
      <c r="W78" s="725"/>
    </row>
    <row r="79" spans="1:23" ht="14.4" customHeight="1" x14ac:dyDescent="0.3">
      <c r="A79" s="784" t="s">
        <v>4051</v>
      </c>
      <c r="B79" s="777">
        <v>1</v>
      </c>
      <c r="C79" s="779">
        <v>2.59</v>
      </c>
      <c r="D79" s="740">
        <v>6</v>
      </c>
      <c r="E79" s="780"/>
      <c r="F79" s="781"/>
      <c r="G79" s="733"/>
      <c r="H79" s="772"/>
      <c r="I79" s="771"/>
      <c r="J79" s="731"/>
      <c r="K79" s="773">
        <v>1.62</v>
      </c>
      <c r="L79" s="772">
        <v>4</v>
      </c>
      <c r="M79" s="772">
        <v>36</v>
      </c>
      <c r="N79" s="774">
        <v>12</v>
      </c>
      <c r="O79" s="772" t="s">
        <v>3910</v>
      </c>
      <c r="P79" s="775" t="s">
        <v>4050</v>
      </c>
      <c r="Q79" s="776">
        <f t="shared" si="5"/>
        <v>-1</v>
      </c>
      <c r="R79" s="776">
        <f t="shared" si="5"/>
        <v>-2.59</v>
      </c>
      <c r="S79" s="777" t="str">
        <f t="shared" si="6"/>
        <v/>
      </c>
      <c r="T79" s="777" t="str">
        <f t="shared" si="7"/>
        <v/>
      </c>
      <c r="U79" s="777" t="str">
        <f t="shared" si="8"/>
        <v/>
      </c>
      <c r="V79" s="778" t="str">
        <f t="shared" si="9"/>
        <v/>
      </c>
      <c r="W79" s="732"/>
    </row>
    <row r="80" spans="1:23" ht="14.4" customHeight="1" x14ac:dyDescent="0.3">
      <c r="A80" s="783" t="s">
        <v>4052</v>
      </c>
      <c r="B80" s="736">
        <v>1</v>
      </c>
      <c r="C80" s="738">
        <v>4.07</v>
      </c>
      <c r="D80" s="739">
        <v>4</v>
      </c>
      <c r="E80" s="734"/>
      <c r="F80" s="719"/>
      <c r="G80" s="720"/>
      <c r="H80" s="726">
        <v>2</v>
      </c>
      <c r="I80" s="727">
        <v>9.44</v>
      </c>
      <c r="J80" s="729">
        <v>2.5</v>
      </c>
      <c r="K80" s="722">
        <v>3.18</v>
      </c>
      <c r="L80" s="721">
        <v>1</v>
      </c>
      <c r="M80" s="721">
        <v>5</v>
      </c>
      <c r="N80" s="723">
        <v>2</v>
      </c>
      <c r="O80" s="721" t="s">
        <v>3910</v>
      </c>
      <c r="P80" s="735" t="s">
        <v>4053</v>
      </c>
      <c r="Q80" s="724">
        <f t="shared" si="5"/>
        <v>1</v>
      </c>
      <c r="R80" s="724">
        <f t="shared" si="5"/>
        <v>5.3699999999999992</v>
      </c>
      <c r="S80" s="736">
        <f t="shared" si="6"/>
        <v>4</v>
      </c>
      <c r="T80" s="736">
        <f t="shared" si="7"/>
        <v>5</v>
      </c>
      <c r="U80" s="736">
        <f t="shared" si="8"/>
        <v>1</v>
      </c>
      <c r="V80" s="737">
        <f t="shared" si="9"/>
        <v>1.25</v>
      </c>
      <c r="W80" s="725">
        <v>1</v>
      </c>
    </row>
    <row r="81" spans="1:23" ht="14.4" customHeight="1" x14ac:dyDescent="0.3">
      <c r="A81" s="783" t="s">
        <v>4054</v>
      </c>
      <c r="B81" s="716">
        <v>2</v>
      </c>
      <c r="C81" s="717">
        <v>8.1999999999999993</v>
      </c>
      <c r="D81" s="718">
        <v>14.5</v>
      </c>
      <c r="E81" s="734"/>
      <c r="F81" s="719"/>
      <c r="G81" s="720"/>
      <c r="H81" s="721"/>
      <c r="I81" s="719"/>
      <c r="J81" s="720"/>
      <c r="K81" s="722">
        <v>4.42</v>
      </c>
      <c r="L81" s="721">
        <v>6</v>
      </c>
      <c r="M81" s="721">
        <v>57</v>
      </c>
      <c r="N81" s="723">
        <v>19</v>
      </c>
      <c r="O81" s="721" t="s">
        <v>3910</v>
      </c>
      <c r="P81" s="735" t="s">
        <v>4055</v>
      </c>
      <c r="Q81" s="724">
        <f t="shared" si="5"/>
        <v>-2</v>
      </c>
      <c r="R81" s="724">
        <f t="shared" si="5"/>
        <v>-8.1999999999999993</v>
      </c>
      <c r="S81" s="736" t="str">
        <f t="shared" si="6"/>
        <v/>
      </c>
      <c r="T81" s="736" t="str">
        <f t="shared" si="7"/>
        <v/>
      </c>
      <c r="U81" s="736" t="str">
        <f t="shared" si="8"/>
        <v/>
      </c>
      <c r="V81" s="737" t="str">
        <f t="shared" si="9"/>
        <v/>
      </c>
      <c r="W81" s="725"/>
    </row>
    <row r="82" spans="1:23" ht="14.4" customHeight="1" thickBot="1" x14ac:dyDescent="0.35">
      <c r="A82" s="785" t="s">
        <v>4056</v>
      </c>
      <c r="B82" s="786"/>
      <c r="C82" s="787"/>
      <c r="D82" s="788"/>
      <c r="E82" s="789">
        <v>1</v>
      </c>
      <c r="F82" s="790">
        <v>0.37</v>
      </c>
      <c r="G82" s="791">
        <v>5</v>
      </c>
      <c r="H82" s="792"/>
      <c r="I82" s="793"/>
      <c r="J82" s="794"/>
      <c r="K82" s="795">
        <v>0.11</v>
      </c>
      <c r="L82" s="792">
        <v>2</v>
      </c>
      <c r="M82" s="792">
        <v>15</v>
      </c>
      <c r="N82" s="796">
        <v>5</v>
      </c>
      <c r="O82" s="792" t="s">
        <v>3910</v>
      </c>
      <c r="P82" s="797" t="s">
        <v>4057</v>
      </c>
      <c r="Q82" s="798">
        <f t="shared" si="5"/>
        <v>0</v>
      </c>
      <c r="R82" s="798">
        <f t="shared" si="5"/>
        <v>0</v>
      </c>
      <c r="S82" s="786" t="str">
        <f t="shared" si="6"/>
        <v/>
      </c>
      <c r="T82" s="786" t="str">
        <f t="shared" si="7"/>
        <v/>
      </c>
      <c r="U82" s="786" t="str">
        <f t="shared" si="8"/>
        <v/>
      </c>
      <c r="V82" s="799" t="str">
        <f t="shared" si="9"/>
        <v/>
      </c>
      <c r="W82" s="800"/>
    </row>
  </sheetData>
  <autoFilter ref="A4:W4"/>
  <mergeCells count="12">
    <mergeCell ref="S3:V3"/>
    <mergeCell ref="A1:W1"/>
    <mergeCell ref="L3:L4"/>
    <mergeCell ref="M3:M4"/>
    <mergeCell ref="N3:N4"/>
    <mergeCell ref="P3:P4"/>
    <mergeCell ref="Q3:R3"/>
    <mergeCell ref="A3:A4"/>
    <mergeCell ref="B3:D3"/>
    <mergeCell ref="E3:G3"/>
    <mergeCell ref="H3:J3"/>
    <mergeCell ref="K3:K4"/>
  </mergeCells>
  <conditionalFormatting sqref="Q83:Q1048576">
    <cfRule type="cellIs" dxfId="12" priority="9" stopIfTrue="1" operator="lessThan">
      <formula>0</formula>
    </cfRule>
  </conditionalFormatting>
  <conditionalFormatting sqref="U83:U1048576">
    <cfRule type="cellIs" dxfId="11" priority="8" stopIfTrue="1" operator="greaterThan">
      <formula>0</formula>
    </cfRule>
  </conditionalFormatting>
  <conditionalFormatting sqref="V83:V1048576">
    <cfRule type="cellIs" dxfId="10" priority="7" stopIfTrue="1" operator="greaterThan">
      <formula>1</formula>
    </cfRule>
  </conditionalFormatting>
  <conditionalFormatting sqref="V83:V1048576">
    <cfRule type="cellIs" dxfId="9" priority="4" stopIfTrue="1" operator="greaterThan">
      <formula>1</formula>
    </cfRule>
  </conditionalFormatting>
  <conditionalFormatting sqref="U83:U1048576">
    <cfRule type="cellIs" dxfId="8" priority="5" stopIfTrue="1" operator="greaterThan">
      <formula>0</formula>
    </cfRule>
  </conditionalFormatting>
  <conditionalFormatting sqref="Q83:Q1048576">
    <cfRule type="cellIs" dxfId="7" priority="6" stopIfTrue="1" operator="lessThan">
      <formula>0</formula>
    </cfRule>
  </conditionalFormatting>
  <conditionalFormatting sqref="V5:V82">
    <cfRule type="cellIs" dxfId="6" priority="1" stopIfTrue="1" operator="greaterThan">
      <formula>1</formula>
    </cfRule>
  </conditionalFormatting>
  <conditionalFormatting sqref="U5:U82">
    <cfRule type="cellIs" dxfId="5" priority="2" stopIfTrue="1" operator="greaterThan">
      <formula>0</formula>
    </cfRule>
  </conditionalFormatting>
  <conditionalFormatting sqref="Q5:Q82">
    <cfRule type="cellIs" dxfId="4" priority="3" stopIfTrue="1" operator="lessThan">
      <formula>0</formula>
    </cfRule>
  </conditionalFormatting>
  <hyperlinks>
    <hyperlink ref="A2" location="Obsah!A1" display="Zpět na Obsah  KL 01  1.-4.měsíc"/>
  </hyperlinks>
  <printOptions gridLines="1"/>
  <pageMargins left="0.25" right="0.25" top="0.75" bottom="0.75" header="0.3" footer="0.3"/>
  <pageSetup paperSize="9" scale="68" fitToHeight="0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tabColor theme="0" tint="-0.249977111117893"/>
    <pageSetUpPr fitToPage="1"/>
  </sheetPr>
  <dimension ref="A1:M16"/>
  <sheetViews>
    <sheetView showGridLines="0" showRowColHeaders="0" workbookViewId="0">
      <pane ySplit="5" topLeftCell="A6" activePane="bottomLeft" state="frozen"/>
      <selection sqref="A1:N1"/>
      <selection pane="bottomLeft" sqref="A1:M1"/>
    </sheetView>
  </sheetViews>
  <sheetFormatPr defaultRowHeight="14.4" customHeight="1" x14ac:dyDescent="0.3"/>
  <cols>
    <col min="1" max="1" width="43.21875" style="238" customWidth="1"/>
    <col min="2" max="2" width="7.77734375" style="203" customWidth="1"/>
    <col min="3" max="3" width="7.21875" style="238" hidden="1" customWidth="1"/>
    <col min="4" max="4" width="7.77734375" style="203" customWidth="1"/>
    <col min="5" max="5" width="7.21875" style="238" hidden="1" customWidth="1"/>
    <col min="6" max="6" width="7.77734375" style="203" customWidth="1"/>
    <col min="7" max="7" width="7.77734375" style="321" customWidth="1"/>
    <col min="8" max="8" width="7.77734375" style="203" customWidth="1"/>
    <col min="9" max="9" width="7.21875" style="238" hidden="1" customWidth="1"/>
    <col min="10" max="10" width="7.77734375" style="203" customWidth="1"/>
    <col min="11" max="11" width="7.21875" style="238" hidden="1" customWidth="1"/>
    <col min="12" max="12" width="7.77734375" style="203" customWidth="1"/>
    <col min="13" max="13" width="7.77734375" style="321" customWidth="1"/>
    <col min="14" max="16384" width="8.88671875" style="238"/>
  </cols>
  <sheetData>
    <row r="1" spans="1:13" ht="18.600000000000001" customHeight="1" thickBot="1" x14ac:dyDescent="0.4">
      <c r="A1" s="463" t="s">
        <v>141</v>
      </c>
      <c r="B1" s="454"/>
      <c r="C1" s="454"/>
      <c r="D1" s="454"/>
      <c r="E1" s="454"/>
      <c r="F1" s="454"/>
      <c r="G1" s="454"/>
      <c r="H1" s="454"/>
      <c r="I1" s="454"/>
      <c r="J1" s="454"/>
      <c r="K1" s="454"/>
      <c r="L1" s="454"/>
      <c r="M1" s="454"/>
    </row>
    <row r="2" spans="1:13" ht="14.4" customHeight="1" thickBot="1" x14ac:dyDescent="0.35">
      <c r="A2" s="360" t="s">
        <v>280</v>
      </c>
      <c r="B2" s="333"/>
      <c r="C2" s="208"/>
      <c r="D2" s="333"/>
      <c r="E2" s="208"/>
      <c r="F2" s="333"/>
      <c r="G2" s="334"/>
      <c r="H2" s="333"/>
      <c r="I2" s="208"/>
      <c r="J2" s="333"/>
      <c r="K2" s="208"/>
      <c r="L2" s="333"/>
      <c r="M2" s="334"/>
    </row>
    <row r="3" spans="1:13" ht="14.4" customHeight="1" thickBot="1" x14ac:dyDescent="0.35">
      <c r="A3" s="327" t="s">
        <v>142</v>
      </c>
      <c r="B3" s="328">
        <f>SUBTOTAL(9,B6:B1048576)</f>
        <v>5481509</v>
      </c>
      <c r="C3" s="329">
        <f t="shared" ref="C3:L3" si="0">SUBTOTAL(9,C6:C1048576)</f>
        <v>10</v>
      </c>
      <c r="D3" s="329">
        <f t="shared" si="0"/>
        <v>4738706</v>
      </c>
      <c r="E3" s="329">
        <f t="shared" si="0"/>
        <v>7.5980132622952459</v>
      </c>
      <c r="F3" s="329">
        <f t="shared" si="0"/>
        <v>6110050</v>
      </c>
      <c r="G3" s="332">
        <f>IF(B3&lt;&gt;0,F3/B3,"")</f>
        <v>1.1146656878607697</v>
      </c>
      <c r="H3" s="328">
        <f t="shared" si="0"/>
        <v>1528131.4300000002</v>
      </c>
      <c r="I3" s="329">
        <f t="shared" si="0"/>
        <v>3</v>
      </c>
      <c r="J3" s="329">
        <f t="shared" si="0"/>
        <v>868168.20000000054</v>
      </c>
      <c r="K3" s="329">
        <f t="shared" si="0"/>
        <v>2.1899134608628015</v>
      </c>
      <c r="L3" s="329">
        <f t="shared" si="0"/>
        <v>1076104.4900000005</v>
      </c>
      <c r="M3" s="330">
        <f>IF(H3&lt;&gt;0,L3/H3,"")</f>
        <v>0.70419629416299645</v>
      </c>
    </row>
    <row r="4" spans="1:13" ht="14.4" customHeight="1" x14ac:dyDescent="0.3">
      <c r="A4" s="559" t="s">
        <v>105</v>
      </c>
      <c r="B4" s="513" t="s">
        <v>110</v>
      </c>
      <c r="C4" s="514"/>
      <c r="D4" s="514"/>
      <c r="E4" s="514"/>
      <c r="F4" s="514"/>
      <c r="G4" s="515"/>
      <c r="H4" s="513" t="s">
        <v>111</v>
      </c>
      <c r="I4" s="514"/>
      <c r="J4" s="514"/>
      <c r="K4" s="514"/>
      <c r="L4" s="514"/>
      <c r="M4" s="515"/>
    </row>
    <row r="5" spans="1:13" s="319" customFormat="1" ht="14.4" customHeight="1" thickBot="1" x14ac:dyDescent="0.35">
      <c r="A5" s="801"/>
      <c r="B5" s="802">
        <v>2014</v>
      </c>
      <c r="C5" s="803"/>
      <c r="D5" s="803">
        <v>2015</v>
      </c>
      <c r="E5" s="803"/>
      <c r="F5" s="803">
        <v>2016</v>
      </c>
      <c r="G5" s="703" t="s">
        <v>2</v>
      </c>
      <c r="H5" s="802">
        <v>2014</v>
      </c>
      <c r="I5" s="803"/>
      <c r="J5" s="803">
        <v>2015</v>
      </c>
      <c r="K5" s="803"/>
      <c r="L5" s="803">
        <v>2016</v>
      </c>
      <c r="M5" s="703" t="s">
        <v>2</v>
      </c>
    </row>
    <row r="6" spans="1:13" ht="14.4" customHeight="1" x14ac:dyDescent="0.3">
      <c r="A6" s="644" t="s">
        <v>4059</v>
      </c>
      <c r="B6" s="704">
        <v>6049</v>
      </c>
      <c r="C6" s="610">
        <v>1</v>
      </c>
      <c r="D6" s="704">
        <v>1434</v>
      </c>
      <c r="E6" s="610">
        <v>0.23706397751694494</v>
      </c>
      <c r="F6" s="704">
        <v>7970</v>
      </c>
      <c r="G6" s="632">
        <v>1.3175731525872045</v>
      </c>
      <c r="H6" s="704">
        <v>546.08000000000004</v>
      </c>
      <c r="I6" s="610">
        <v>1</v>
      </c>
      <c r="J6" s="704">
        <v>885.4</v>
      </c>
      <c r="K6" s="610">
        <v>1.6213741576325811</v>
      </c>
      <c r="L6" s="704"/>
      <c r="M6" s="656"/>
    </row>
    <row r="7" spans="1:13" ht="14.4" customHeight="1" x14ac:dyDescent="0.3">
      <c r="A7" s="645" t="s">
        <v>4060</v>
      </c>
      <c r="B7" s="804">
        <v>6900</v>
      </c>
      <c r="C7" s="616">
        <v>1</v>
      </c>
      <c r="D7" s="804"/>
      <c r="E7" s="616"/>
      <c r="F7" s="804"/>
      <c r="G7" s="640"/>
      <c r="H7" s="804">
        <v>2127.4</v>
      </c>
      <c r="I7" s="616">
        <v>1</v>
      </c>
      <c r="J7" s="804"/>
      <c r="K7" s="616"/>
      <c r="L7" s="804"/>
      <c r="M7" s="805"/>
    </row>
    <row r="8" spans="1:13" ht="14.4" customHeight="1" x14ac:dyDescent="0.3">
      <c r="A8" s="645" t="s">
        <v>4061</v>
      </c>
      <c r="B8" s="804">
        <v>223835</v>
      </c>
      <c r="C8" s="616">
        <v>1</v>
      </c>
      <c r="D8" s="804">
        <v>269389</v>
      </c>
      <c r="E8" s="616">
        <v>1.2035159827551545</v>
      </c>
      <c r="F8" s="804">
        <v>331983</v>
      </c>
      <c r="G8" s="640">
        <v>1.4831594701454196</v>
      </c>
      <c r="H8" s="804"/>
      <c r="I8" s="616"/>
      <c r="J8" s="804"/>
      <c r="K8" s="616"/>
      <c r="L8" s="804"/>
      <c r="M8" s="805"/>
    </row>
    <row r="9" spans="1:13" ht="14.4" customHeight="1" x14ac:dyDescent="0.3">
      <c r="A9" s="645" t="s">
        <v>4062</v>
      </c>
      <c r="B9" s="804">
        <v>1081064</v>
      </c>
      <c r="C9" s="616">
        <v>1</v>
      </c>
      <c r="D9" s="804">
        <v>1059867</v>
      </c>
      <c r="E9" s="616">
        <v>0.98039246520095014</v>
      </c>
      <c r="F9" s="804">
        <v>1514465</v>
      </c>
      <c r="G9" s="640">
        <v>1.4009022592556963</v>
      </c>
      <c r="H9" s="804"/>
      <c r="I9" s="616"/>
      <c r="J9" s="804"/>
      <c r="K9" s="616"/>
      <c r="L9" s="804"/>
      <c r="M9" s="805"/>
    </row>
    <row r="10" spans="1:13" ht="14.4" customHeight="1" x14ac:dyDescent="0.3">
      <c r="A10" s="645" t="s">
        <v>4063</v>
      </c>
      <c r="B10" s="804">
        <v>1625368</v>
      </c>
      <c r="C10" s="616">
        <v>1</v>
      </c>
      <c r="D10" s="804">
        <v>1081088</v>
      </c>
      <c r="E10" s="616">
        <v>0.665134295741026</v>
      </c>
      <c r="F10" s="804">
        <v>1655810</v>
      </c>
      <c r="G10" s="640">
        <v>1.0187292969961264</v>
      </c>
      <c r="H10" s="804">
        <v>1525457.9500000002</v>
      </c>
      <c r="I10" s="616">
        <v>1</v>
      </c>
      <c r="J10" s="804">
        <v>867282.80000000051</v>
      </c>
      <c r="K10" s="616">
        <v>0.56853930323022039</v>
      </c>
      <c r="L10" s="804">
        <v>1076104.4900000005</v>
      </c>
      <c r="M10" s="805">
        <v>0.70543045122941628</v>
      </c>
    </row>
    <row r="11" spans="1:13" ht="14.4" customHeight="1" x14ac:dyDescent="0.3">
      <c r="A11" s="645" t="s">
        <v>4064</v>
      </c>
      <c r="B11" s="804">
        <v>355933</v>
      </c>
      <c r="C11" s="616">
        <v>1</v>
      </c>
      <c r="D11" s="804">
        <v>437843</v>
      </c>
      <c r="E11" s="616">
        <v>1.2301275801906539</v>
      </c>
      <c r="F11" s="804">
        <v>514609</v>
      </c>
      <c r="G11" s="640">
        <v>1.4458030022504236</v>
      </c>
      <c r="H11" s="804"/>
      <c r="I11" s="616"/>
      <c r="J11" s="804"/>
      <c r="K11" s="616"/>
      <c r="L11" s="804"/>
      <c r="M11" s="805"/>
    </row>
    <row r="12" spans="1:13" ht="14.4" customHeight="1" x14ac:dyDescent="0.3">
      <c r="A12" s="645" t="s">
        <v>4065</v>
      </c>
      <c r="B12" s="804">
        <v>1666740</v>
      </c>
      <c r="C12" s="616">
        <v>1</v>
      </c>
      <c r="D12" s="804">
        <v>1332304</v>
      </c>
      <c r="E12" s="616">
        <v>0.7993472287219362</v>
      </c>
      <c r="F12" s="804">
        <v>1464707</v>
      </c>
      <c r="G12" s="640">
        <v>0.87878553343652877</v>
      </c>
      <c r="H12" s="804"/>
      <c r="I12" s="616"/>
      <c r="J12" s="804"/>
      <c r="K12" s="616"/>
      <c r="L12" s="804"/>
      <c r="M12" s="805"/>
    </row>
    <row r="13" spans="1:13" ht="14.4" customHeight="1" x14ac:dyDescent="0.3">
      <c r="A13" s="645" t="s">
        <v>4066</v>
      </c>
      <c r="B13" s="804">
        <v>405769</v>
      </c>
      <c r="C13" s="616">
        <v>1</v>
      </c>
      <c r="D13" s="804">
        <v>472956</v>
      </c>
      <c r="E13" s="616">
        <v>1.1655794306612877</v>
      </c>
      <c r="F13" s="804">
        <v>538415</v>
      </c>
      <c r="G13" s="640">
        <v>1.3269002807015815</v>
      </c>
      <c r="H13" s="804"/>
      <c r="I13" s="616"/>
      <c r="J13" s="804"/>
      <c r="K13" s="616"/>
      <c r="L13" s="804"/>
      <c r="M13" s="805"/>
    </row>
    <row r="14" spans="1:13" ht="14.4" customHeight="1" x14ac:dyDescent="0.3">
      <c r="A14" s="645" t="s">
        <v>4067</v>
      </c>
      <c r="B14" s="804">
        <v>26112</v>
      </c>
      <c r="C14" s="616">
        <v>1</v>
      </c>
      <c r="D14" s="804">
        <v>12101</v>
      </c>
      <c r="E14" s="616">
        <v>0.46342677696078433</v>
      </c>
      <c r="F14" s="804">
        <v>42464</v>
      </c>
      <c r="G14" s="640">
        <v>1.6262254901960784</v>
      </c>
      <c r="H14" s="804"/>
      <c r="I14" s="616"/>
      <c r="J14" s="804"/>
      <c r="K14" s="616"/>
      <c r="L14" s="804"/>
      <c r="M14" s="805"/>
    </row>
    <row r="15" spans="1:13" ht="14.4" customHeight="1" x14ac:dyDescent="0.3">
      <c r="A15" s="645" t="s">
        <v>4068</v>
      </c>
      <c r="B15" s="804">
        <v>83739</v>
      </c>
      <c r="C15" s="616">
        <v>1</v>
      </c>
      <c r="D15" s="804">
        <v>71465</v>
      </c>
      <c r="E15" s="616">
        <v>0.85342552454650755</v>
      </c>
      <c r="F15" s="804">
        <v>26904</v>
      </c>
      <c r="G15" s="640">
        <v>0.32128398953892451</v>
      </c>
      <c r="H15" s="804"/>
      <c r="I15" s="616"/>
      <c r="J15" s="804"/>
      <c r="K15" s="616"/>
      <c r="L15" s="804"/>
      <c r="M15" s="805"/>
    </row>
    <row r="16" spans="1:13" ht="14.4" customHeight="1" thickBot="1" x14ac:dyDescent="0.35">
      <c r="A16" s="706" t="s">
        <v>2392</v>
      </c>
      <c r="B16" s="705"/>
      <c r="C16" s="622"/>
      <c r="D16" s="705">
        <v>259</v>
      </c>
      <c r="E16" s="622"/>
      <c r="F16" s="705">
        <v>12723</v>
      </c>
      <c r="G16" s="633"/>
      <c r="H16" s="705"/>
      <c r="I16" s="622"/>
      <c r="J16" s="705"/>
      <c r="K16" s="622"/>
      <c r="L16" s="705"/>
      <c r="M16" s="657"/>
    </row>
  </sheetData>
  <mergeCells count="4">
    <mergeCell ref="A4:A5"/>
    <mergeCell ref="B4:G4"/>
    <mergeCell ref="H4:M4"/>
    <mergeCell ref="A1:M1"/>
  </mergeCells>
  <conditionalFormatting sqref="F6:F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{B0D7810C-1ECB-49F3-AEA4-0F83D5AE3D8E}</x14:id>
        </ext>
      </extLst>
    </cfRule>
  </conditionalFormatting>
  <conditionalFormatting sqref="L6:L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{62A185C8-0356-41DC-9157-C12418624882}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80" fitToHeight="0" orientation="portrait" r:id="rId1"/>
  <ignoredErrors>
    <ignoredError sqref="B3 D3 F3 H3 J3 L3" formulaRange="1"/>
    <ignoredError sqref="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0D7810C-1ECB-49F3-AEA4-0F83D5AE3D8E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62A185C8-0356-41DC-9157-C1241862488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</x14:conditionalFormatting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tabColor theme="0" tint="-0.249977111117893"/>
    <pageSetUpPr fitToPage="1"/>
  </sheetPr>
  <dimension ref="A1:Q370"/>
  <sheetViews>
    <sheetView showGridLines="0" showRowColHeaders="0" workbookViewId="0">
      <pane ySplit="5" topLeftCell="A6" activePane="bottomLeft" state="frozen"/>
      <selection sqref="A1:N1"/>
      <selection pane="bottomLeft" sqref="A1:Q1"/>
    </sheetView>
  </sheetViews>
  <sheetFormatPr defaultRowHeight="14.4" customHeight="1" x14ac:dyDescent="0.3"/>
  <cols>
    <col min="1" max="1" width="3" style="238" bestFit="1" customWidth="1"/>
    <col min="2" max="2" width="8.6640625" style="238" bestFit="1" customWidth="1"/>
    <col min="3" max="3" width="2.109375" style="238" bestFit="1" customWidth="1"/>
    <col min="4" max="4" width="8" style="238" bestFit="1" customWidth="1"/>
    <col min="5" max="5" width="52.88671875" style="238" bestFit="1" customWidth="1"/>
    <col min="6" max="7" width="11.109375" style="318" customWidth="1"/>
    <col min="8" max="9" width="9.33203125" style="318" hidden="1" customWidth="1"/>
    <col min="10" max="11" width="11.109375" style="318" customWidth="1"/>
    <col min="12" max="13" width="9.33203125" style="318" hidden="1" customWidth="1"/>
    <col min="14" max="15" width="11.109375" style="318" customWidth="1"/>
    <col min="16" max="16" width="11.109375" style="321" customWidth="1"/>
    <col min="17" max="17" width="11.109375" style="318" customWidth="1"/>
    <col min="18" max="16384" width="8.88671875" style="238"/>
  </cols>
  <sheetData>
    <row r="1" spans="1:17" ht="18.600000000000001" customHeight="1" thickBot="1" x14ac:dyDescent="0.4">
      <c r="A1" s="463" t="s">
        <v>4744</v>
      </c>
      <c r="B1" s="454"/>
      <c r="C1" s="454"/>
      <c r="D1" s="454"/>
      <c r="E1" s="454"/>
      <c r="F1" s="454"/>
      <c r="G1" s="454"/>
      <c r="H1" s="454"/>
      <c r="I1" s="454"/>
      <c r="J1" s="454"/>
      <c r="K1" s="454"/>
      <c r="L1" s="454"/>
      <c r="M1" s="454"/>
      <c r="N1" s="454"/>
      <c r="O1" s="454"/>
      <c r="P1" s="454"/>
      <c r="Q1" s="454"/>
    </row>
    <row r="2" spans="1:17" ht="14.4" customHeight="1" thickBot="1" x14ac:dyDescent="0.35">
      <c r="A2" s="360" t="s">
        <v>280</v>
      </c>
      <c r="B2" s="208"/>
      <c r="C2" s="208"/>
      <c r="D2" s="208"/>
      <c r="E2" s="208"/>
      <c r="F2" s="337"/>
      <c r="G2" s="337"/>
      <c r="H2" s="337"/>
      <c r="I2" s="337"/>
      <c r="J2" s="337"/>
      <c r="K2" s="337"/>
      <c r="L2" s="337"/>
      <c r="M2" s="337"/>
      <c r="N2" s="337"/>
      <c r="O2" s="337"/>
      <c r="P2" s="334"/>
      <c r="Q2" s="337"/>
    </row>
    <row r="3" spans="1:17" ht="14.4" customHeight="1" thickBot="1" x14ac:dyDescent="0.35">
      <c r="E3" s="97" t="s">
        <v>142</v>
      </c>
      <c r="F3" s="195">
        <f t="shared" ref="F3:O3" si="0">SUBTOTAL(9,F6:F1048576)</f>
        <v>35895.18</v>
      </c>
      <c r="G3" s="199">
        <f t="shared" si="0"/>
        <v>7009640.4299999997</v>
      </c>
      <c r="H3" s="200"/>
      <c r="I3" s="200"/>
      <c r="J3" s="195">
        <f t="shared" si="0"/>
        <v>33204.83</v>
      </c>
      <c r="K3" s="199">
        <f t="shared" si="0"/>
        <v>5606874.1999999993</v>
      </c>
      <c r="L3" s="200"/>
      <c r="M3" s="200"/>
      <c r="N3" s="195">
        <f t="shared" si="0"/>
        <v>44314.89</v>
      </c>
      <c r="O3" s="199">
        <f t="shared" si="0"/>
        <v>7186154.4900000002</v>
      </c>
      <c r="P3" s="166">
        <f>IF(G3=0,"",O3/G3)</f>
        <v>1.0251816140589112</v>
      </c>
      <c r="Q3" s="197">
        <f>IF(N3=0,"",O3/N3)</f>
        <v>162.16117178672903</v>
      </c>
    </row>
    <row r="4" spans="1:17" ht="14.4" customHeight="1" x14ac:dyDescent="0.3">
      <c r="A4" s="518" t="s">
        <v>61</v>
      </c>
      <c r="B4" s="517" t="s">
        <v>106</v>
      </c>
      <c r="C4" s="518" t="s">
        <v>107</v>
      </c>
      <c r="D4" s="522" t="s">
        <v>77</v>
      </c>
      <c r="E4" s="519" t="s">
        <v>11</v>
      </c>
      <c r="F4" s="520">
        <v>2014</v>
      </c>
      <c r="G4" s="521"/>
      <c r="H4" s="198"/>
      <c r="I4" s="198"/>
      <c r="J4" s="520">
        <v>2015</v>
      </c>
      <c r="K4" s="521"/>
      <c r="L4" s="198"/>
      <c r="M4" s="198"/>
      <c r="N4" s="520">
        <v>2016</v>
      </c>
      <c r="O4" s="521"/>
      <c r="P4" s="523" t="s">
        <v>2</v>
      </c>
      <c r="Q4" s="516" t="s">
        <v>109</v>
      </c>
    </row>
    <row r="5" spans="1:17" ht="14.4" customHeight="1" thickBot="1" x14ac:dyDescent="0.35">
      <c r="A5" s="707"/>
      <c r="B5" s="708"/>
      <c r="C5" s="707"/>
      <c r="D5" s="709"/>
      <c r="E5" s="710"/>
      <c r="F5" s="711" t="s">
        <v>78</v>
      </c>
      <c r="G5" s="712" t="s">
        <v>14</v>
      </c>
      <c r="H5" s="713"/>
      <c r="I5" s="713"/>
      <c r="J5" s="711" t="s">
        <v>78</v>
      </c>
      <c r="K5" s="712" t="s">
        <v>14</v>
      </c>
      <c r="L5" s="713"/>
      <c r="M5" s="713"/>
      <c r="N5" s="711" t="s">
        <v>78</v>
      </c>
      <c r="O5" s="712" t="s">
        <v>14</v>
      </c>
      <c r="P5" s="714"/>
      <c r="Q5" s="715"/>
    </row>
    <row r="6" spans="1:17" ht="14.4" customHeight="1" x14ac:dyDescent="0.3">
      <c r="A6" s="609" t="s">
        <v>4069</v>
      </c>
      <c r="B6" s="610" t="s">
        <v>3899</v>
      </c>
      <c r="C6" s="610" t="s">
        <v>3313</v>
      </c>
      <c r="D6" s="610" t="s">
        <v>3362</v>
      </c>
      <c r="E6" s="610" t="s">
        <v>3363</v>
      </c>
      <c r="F6" s="613">
        <v>0.1</v>
      </c>
      <c r="G6" s="613">
        <v>546.08000000000004</v>
      </c>
      <c r="H6" s="613">
        <v>1</v>
      </c>
      <c r="I6" s="613">
        <v>5460.8</v>
      </c>
      <c r="J6" s="613">
        <v>0.2</v>
      </c>
      <c r="K6" s="613">
        <v>885.4</v>
      </c>
      <c r="L6" s="613">
        <v>1.6213741576325811</v>
      </c>
      <c r="M6" s="613">
        <v>4427</v>
      </c>
      <c r="N6" s="613"/>
      <c r="O6" s="613"/>
      <c r="P6" s="632"/>
      <c r="Q6" s="614"/>
    </row>
    <row r="7" spans="1:17" ht="14.4" customHeight="1" x14ac:dyDescent="0.3">
      <c r="A7" s="615" t="s">
        <v>4069</v>
      </c>
      <c r="B7" s="616" t="s">
        <v>3899</v>
      </c>
      <c r="C7" s="616" t="s">
        <v>3011</v>
      </c>
      <c r="D7" s="616" t="s">
        <v>4070</v>
      </c>
      <c r="E7" s="616" t="s">
        <v>4071</v>
      </c>
      <c r="F7" s="619"/>
      <c r="G7" s="619"/>
      <c r="H7" s="619"/>
      <c r="I7" s="619"/>
      <c r="J7" s="619"/>
      <c r="K7" s="619"/>
      <c r="L7" s="619"/>
      <c r="M7" s="619"/>
      <c r="N7" s="619">
        <v>1</v>
      </c>
      <c r="O7" s="619">
        <v>1136</v>
      </c>
      <c r="P7" s="640"/>
      <c r="Q7" s="620">
        <v>1136</v>
      </c>
    </row>
    <row r="8" spans="1:17" ht="14.4" customHeight="1" x14ac:dyDescent="0.3">
      <c r="A8" s="615" t="s">
        <v>4069</v>
      </c>
      <c r="B8" s="616" t="s">
        <v>3899</v>
      </c>
      <c r="C8" s="616" t="s">
        <v>3011</v>
      </c>
      <c r="D8" s="616" t="s">
        <v>3900</v>
      </c>
      <c r="E8" s="616" t="s">
        <v>3901</v>
      </c>
      <c r="F8" s="619"/>
      <c r="G8" s="619"/>
      <c r="H8" s="619"/>
      <c r="I8" s="619"/>
      <c r="J8" s="619"/>
      <c r="K8" s="619"/>
      <c r="L8" s="619"/>
      <c r="M8" s="619"/>
      <c r="N8" s="619">
        <v>1</v>
      </c>
      <c r="O8" s="619">
        <v>265</v>
      </c>
      <c r="P8" s="640"/>
      <c r="Q8" s="620">
        <v>265</v>
      </c>
    </row>
    <row r="9" spans="1:17" ht="14.4" customHeight="1" x14ac:dyDescent="0.3">
      <c r="A9" s="615" t="s">
        <v>4069</v>
      </c>
      <c r="B9" s="616" t="s">
        <v>3899</v>
      </c>
      <c r="C9" s="616" t="s">
        <v>3011</v>
      </c>
      <c r="D9" s="616" t="s">
        <v>3906</v>
      </c>
      <c r="E9" s="616" t="s">
        <v>3907</v>
      </c>
      <c r="F9" s="619">
        <v>1</v>
      </c>
      <c r="G9" s="619">
        <v>5572</v>
      </c>
      <c r="H9" s="619">
        <v>1</v>
      </c>
      <c r="I9" s="619">
        <v>5572</v>
      </c>
      <c r="J9" s="619"/>
      <c r="K9" s="619"/>
      <c r="L9" s="619"/>
      <c r="M9" s="619"/>
      <c r="N9" s="619">
        <v>1</v>
      </c>
      <c r="O9" s="619">
        <v>5597</v>
      </c>
      <c r="P9" s="640">
        <v>1.00448671931084</v>
      </c>
      <c r="Q9" s="620">
        <v>5597</v>
      </c>
    </row>
    <row r="10" spans="1:17" ht="14.4" customHeight="1" x14ac:dyDescent="0.3">
      <c r="A10" s="615" t="s">
        <v>4069</v>
      </c>
      <c r="B10" s="616" t="s">
        <v>3899</v>
      </c>
      <c r="C10" s="616" t="s">
        <v>3011</v>
      </c>
      <c r="D10" s="616" t="s">
        <v>4072</v>
      </c>
      <c r="E10" s="616" t="s">
        <v>4073</v>
      </c>
      <c r="F10" s="619">
        <v>1</v>
      </c>
      <c r="G10" s="619">
        <v>477</v>
      </c>
      <c r="H10" s="619">
        <v>1</v>
      </c>
      <c r="I10" s="619">
        <v>477</v>
      </c>
      <c r="J10" s="619">
        <v>3</v>
      </c>
      <c r="K10" s="619">
        <v>1434</v>
      </c>
      <c r="L10" s="619">
        <v>3.0062893081761008</v>
      </c>
      <c r="M10" s="619">
        <v>478</v>
      </c>
      <c r="N10" s="619">
        <v>2</v>
      </c>
      <c r="O10" s="619">
        <v>972</v>
      </c>
      <c r="P10" s="640">
        <v>2.0377358490566038</v>
      </c>
      <c r="Q10" s="620">
        <v>486</v>
      </c>
    </row>
    <row r="11" spans="1:17" ht="14.4" customHeight="1" x14ac:dyDescent="0.3">
      <c r="A11" s="615" t="s">
        <v>4074</v>
      </c>
      <c r="B11" s="616" t="s">
        <v>1067</v>
      </c>
      <c r="C11" s="616" t="s">
        <v>3449</v>
      </c>
      <c r="D11" s="616" t="s">
        <v>4075</v>
      </c>
      <c r="E11" s="616"/>
      <c r="F11" s="619">
        <v>110</v>
      </c>
      <c r="G11" s="619">
        <v>2127.4</v>
      </c>
      <c r="H11" s="619">
        <v>1</v>
      </c>
      <c r="I11" s="619">
        <v>19.34</v>
      </c>
      <c r="J11" s="619"/>
      <c r="K11" s="619"/>
      <c r="L11" s="619"/>
      <c r="M11" s="619"/>
      <c r="N11" s="619"/>
      <c r="O11" s="619"/>
      <c r="P11" s="640"/>
      <c r="Q11" s="620"/>
    </row>
    <row r="12" spans="1:17" ht="14.4" customHeight="1" x14ac:dyDescent="0.3">
      <c r="A12" s="615" t="s">
        <v>4074</v>
      </c>
      <c r="B12" s="616" t="s">
        <v>1067</v>
      </c>
      <c r="C12" s="616" t="s">
        <v>3011</v>
      </c>
      <c r="D12" s="616" t="s">
        <v>4076</v>
      </c>
      <c r="E12" s="616" t="s">
        <v>4077</v>
      </c>
      <c r="F12" s="619">
        <v>2</v>
      </c>
      <c r="G12" s="619">
        <v>6900</v>
      </c>
      <c r="H12" s="619">
        <v>1</v>
      </c>
      <c r="I12" s="619">
        <v>3450</v>
      </c>
      <c r="J12" s="619"/>
      <c r="K12" s="619"/>
      <c r="L12" s="619"/>
      <c r="M12" s="619"/>
      <c r="N12" s="619"/>
      <c r="O12" s="619"/>
      <c r="P12" s="640"/>
      <c r="Q12" s="620"/>
    </row>
    <row r="13" spans="1:17" ht="14.4" customHeight="1" x14ac:dyDescent="0.3">
      <c r="A13" s="615" t="s">
        <v>4078</v>
      </c>
      <c r="B13" s="616" t="s">
        <v>4079</v>
      </c>
      <c r="C13" s="616" t="s">
        <v>3011</v>
      </c>
      <c r="D13" s="616" t="s">
        <v>4080</v>
      </c>
      <c r="E13" s="616" t="s">
        <v>4081</v>
      </c>
      <c r="F13" s="619">
        <v>50</v>
      </c>
      <c r="G13" s="619">
        <v>17518</v>
      </c>
      <c r="H13" s="619">
        <v>1</v>
      </c>
      <c r="I13" s="619">
        <v>350.36</v>
      </c>
      <c r="J13" s="619">
        <v>100</v>
      </c>
      <c r="K13" s="619">
        <v>35100</v>
      </c>
      <c r="L13" s="619">
        <v>2.0036533850896223</v>
      </c>
      <c r="M13" s="619">
        <v>351</v>
      </c>
      <c r="N13" s="619">
        <v>128</v>
      </c>
      <c r="O13" s="619">
        <v>45312</v>
      </c>
      <c r="P13" s="640">
        <v>2.5865966434524488</v>
      </c>
      <c r="Q13" s="620">
        <v>354</v>
      </c>
    </row>
    <row r="14" spans="1:17" ht="14.4" customHeight="1" x14ac:dyDescent="0.3">
      <c r="A14" s="615" t="s">
        <v>4078</v>
      </c>
      <c r="B14" s="616" t="s">
        <v>4079</v>
      </c>
      <c r="C14" s="616" t="s">
        <v>3011</v>
      </c>
      <c r="D14" s="616" t="s">
        <v>4082</v>
      </c>
      <c r="E14" s="616" t="s">
        <v>4083</v>
      </c>
      <c r="F14" s="619">
        <v>110</v>
      </c>
      <c r="G14" s="619">
        <v>7150</v>
      </c>
      <c r="H14" s="619">
        <v>1</v>
      </c>
      <c r="I14" s="619">
        <v>65</v>
      </c>
      <c r="J14" s="619">
        <v>88</v>
      </c>
      <c r="K14" s="619">
        <v>5720</v>
      </c>
      <c r="L14" s="619">
        <v>0.8</v>
      </c>
      <c r="M14" s="619">
        <v>65</v>
      </c>
      <c r="N14" s="619">
        <v>209</v>
      </c>
      <c r="O14" s="619">
        <v>13585</v>
      </c>
      <c r="P14" s="640">
        <v>1.9</v>
      </c>
      <c r="Q14" s="620">
        <v>65</v>
      </c>
    </row>
    <row r="15" spans="1:17" ht="14.4" customHeight="1" x14ac:dyDescent="0.3">
      <c r="A15" s="615" t="s">
        <v>4078</v>
      </c>
      <c r="B15" s="616" t="s">
        <v>4079</v>
      </c>
      <c r="C15" s="616" t="s">
        <v>3011</v>
      </c>
      <c r="D15" s="616" t="s">
        <v>4084</v>
      </c>
      <c r="E15" s="616" t="s">
        <v>4085</v>
      </c>
      <c r="F15" s="619"/>
      <c r="G15" s="619"/>
      <c r="H15" s="619"/>
      <c r="I15" s="619"/>
      <c r="J15" s="619">
        <v>13</v>
      </c>
      <c r="K15" s="619">
        <v>7683</v>
      </c>
      <c r="L15" s="619"/>
      <c r="M15" s="619">
        <v>591</v>
      </c>
      <c r="N15" s="619">
        <v>1</v>
      </c>
      <c r="O15" s="619">
        <v>592</v>
      </c>
      <c r="P15" s="640"/>
      <c r="Q15" s="620">
        <v>592</v>
      </c>
    </row>
    <row r="16" spans="1:17" ht="14.4" customHeight="1" x14ac:dyDescent="0.3">
      <c r="A16" s="615" t="s">
        <v>4078</v>
      </c>
      <c r="B16" s="616" t="s">
        <v>4079</v>
      </c>
      <c r="C16" s="616" t="s">
        <v>3011</v>
      </c>
      <c r="D16" s="616" t="s">
        <v>4086</v>
      </c>
      <c r="E16" s="616" t="s">
        <v>4087</v>
      </c>
      <c r="F16" s="619"/>
      <c r="G16" s="619"/>
      <c r="H16" s="619"/>
      <c r="I16" s="619"/>
      <c r="J16" s="619">
        <v>3</v>
      </c>
      <c r="K16" s="619">
        <v>450</v>
      </c>
      <c r="L16" s="619"/>
      <c r="M16" s="619">
        <v>150</v>
      </c>
      <c r="N16" s="619">
        <v>1</v>
      </c>
      <c r="O16" s="619">
        <v>153</v>
      </c>
      <c r="P16" s="640"/>
      <c r="Q16" s="620">
        <v>153</v>
      </c>
    </row>
    <row r="17" spans="1:17" ht="14.4" customHeight="1" x14ac:dyDescent="0.3">
      <c r="A17" s="615" t="s">
        <v>4078</v>
      </c>
      <c r="B17" s="616" t="s">
        <v>4079</v>
      </c>
      <c r="C17" s="616" t="s">
        <v>3011</v>
      </c>
      <c r="D17" s="616" t="s">
        <v>4088</v>
      </c>
      <c r="E17" s="616" t="s">
        <v>4089</v>
      </c>
      <c r="F17" s="619">
        <v>27</v>
      </c>
      <c r="G17" s="619">
        <v>637</v>
      </c>
      <c r="H17" s="619">
        <v>1</v>
      </c>
      <c r="I17" s="619">
        <v>23.592592592592592</v>
      </c>
      <c r="J17" s="619">
        <v>28</v>
      </c>
      <c r="K17" s="619">
        <v>672</v>
      </c>
      <c r="L17" s="619">
        <v>1.054945054945055</v>
      </c>
      <c r="M17" s="619">
        <v>24</v>
      </c>
      <c r="N17" s="619">
        <v>26</v>
      </c>
      <c r="O17" s="619">
        <v>624</v>
      </c>
      <c r="P17" s="640">
        <v>0.97959183673469385</v>
      </c>
      <c r="Q17" s="620">
        <v>24</v>
      </c>
    </row>
    <row r="18" spans="1:17" ht="14.4" customHeight="1" x14ac:dyDescent="0.3">
      <c r="A18" s="615" t="s">
        <v>4078</v>
      </c>
      <c r="B18" s="616" t="s">
        <v>4079</v>
      </c>
      <c r="C18" s="616" t="s">
        <v>3011</v>
      </c>
      <c r="D18" s="616" t="s">
        <v>4090</v>
      </c>
      <c r="E18" s="616" t="s">
        <v>4091</v>
      </c>
      <c r="F18" s="619">
        <v>18</v>
      </c>
      <c r="G18" s="619">
        <v>972</v>
      </c>
      <c r="H18" s="619">
        <v>1</v>
      </c>
      <c r="I18" s="619">
        <v>54</v>
      </c>
      <c r="J18" s="619">
        <v>24</v>
      </c>
      <c r="K18" s="619">
        <v>1296</v>
      </c>
      <c r="L18" s="619">
        <v>1.3333333333333333</v>
      </c>
      <c r="M18" s="619">
        <v>54</v>
      </c>
      <c r="N18" s="619">
        <v>59</v>
      </c>
      <c r="O18" s="619">
        <v>3245</v>
      </c>
      <c r="P18" s="640">
        <v>3.3384773662551441</v>
      </c>
      <c r="Q18" s="620">
        <v>55</v>
      </c>
    </row>
    <row r="19" spans="1:17" ht="14.4" customHeight="1" x14ac:dyDescent="0.3">
      <c r="A19" s="615" t="s">
        <v>4078</v>
      </c>
      <c r="B19" s="616" t="s">
        <v>4079</v>
      </c>
      <c r="C19" s="616" t="s">
        <v>3011</v>
      </c>
      <c r="D19" s="616" t="s">
        <v>4092</v>
      </c>
      <c r="E19" s="616" t="s">
        <v>4093</v>
      </c>
      <c r="F19" s="619">
        <v>1519</v>
      </c>
      <c r="G19" s="619">
        <v>116963</v>
      </c>
      <c r="H19" s="619">
        <v>1</v>
      </c>
      <c r="I19" s="619">
        <v>77</v>
      </c>
      <c r="J19" s="619">
        <v>1499</v>
      </c>
      <c r="K19" s="619">
        <v>115423</v>
      </c>
      <c r="L19" s="619">
        <v>0.98683344305464116</v>
      </c>
      <c r="M19" s="619">
        <v>77</v>
      </c>
      <c r="N19" s="619">
        <v>1609</v>
      </c>
      <c r="O19" s="619">
        <v>123893</v>
      </c>
      <c r="P19" s="640">
        <v>1.0592495062541145</v>
      </c>
      <c r="Q19" s="620">
        <v>77</v>
      </c>
    </row>
    <row r="20" spans="1:17" ht="14.4" customHeight="1" x14ac:dyDescent="0.3">
      <c r="A20" s="615" t="s">
        <v>4078</v>
      </c>
      <c r="B20" s="616" t="s">
        <v>4079</v>
      </c>
      <c r="C20" s="616" t="s">
        <v>3011</v>
      </c>
      <c r="D20" s="616" t="s">
        <v>4094</v>
      </c>
      <c r="E20" s="616" t="s">
        <v>4095</v>
      </c>
      <c r="F20" s="619"/>
      <c r="G20" s="619"/>
      <c r="H20" s="619"/>
      <c r="I20" s="619"/>
      <c r="J20" s="619">
        <v>1</v>
      </c>
      <c r="K20" s="619">
        <v>1630</v>
      </c>
      <c r="L20" s="619"/>
      <c r="M20" s="619">
        <v>1630</v>
      </c>
      <c r="N20" s="619"/>
      <c r="O20" s="619"/>
      <c r="P20" s="640"/>
      <c r="Q20" s="620"/>
    </row>
    <row r="21" spans="1:17" ht="14.4" customHeight="1" x14ac:dyDescent="0.3">
      <c r="A21" s="615" t="s">
        <v>4078</v>
      </c>
      <c r="B21" s="616" t="s">
        <v>4079</v>
      </c>
      <c r="C21" s="616" t="s">
        <v>3011</v>
      </c>
      <c r="D21" s="616" t="s">
        <v>4096</v>
      </c>
      <c r="E21" s="616" t="s">
        <v>4097</v>
      </c>
      <c r="F21" s="619">
        <v>52</v>
      </c>
      <c r="G21" s="619">
        <v>1172</v>
      </c>
      <c r="H21" s="619">
        <v>1</v>
      </c>
      <c r="I21" s="619">
        <v>22.53846153846154</v>
      </c>
      <c r="J21" s="619">
        <v>50</v>
      </c>
      <c r="K21" s="619">
        <v>1150</v>
      </c>
      <c r="L21" s="619">
        <v>0.98122866894197958</v>
      </c>
      <c r="M21" s="619">
        <v>23</v>
      </c>
      <c r="N21" s="619">
        <v>70</v>
      </c>
      <c r="O21" s="619">
        <v>1680</v>
      </c>
      <c r="P21" s="640">
        <v>1.4334470989761092</v>
      </c>
      <c r="Q21" s="620">
        <v>24</v>
      </c>
    </row>
    <row r="22" spans="1:17" ht="14.4" customHeight="1" x14ac:dyDescent="0.3">
      <c r="A22" s="615" t="s">
        <v>4078</v>
      </c>
      <c r="B22" s="616" t="s">
        <v>4079</v>
      </c>
      <c r="C22" s="616" t="s">
        <v>3011</v>
      </c>
      <c r="D22" s="616" t="s">
        <v>4098</v>
      </c>
      <c r="E22" s="616" t="s">
        <v>4099</v>
      </c>
      <c r="F22" s="619">
        <v>11</v>
      </c>
      <c r="G22" s="619">
        <v>726</v>
      </c>
      <c r="H22" s="619">
        <v>1</v>
      </c>
      <c r="I22" s="619">
        <v>66</v>
      </c>
      <c r="J22" s="619">
        <v>13</v>
      </c>
      <c r="K22" s="619">
        <v>858</v>
      </c>
      <c r="L22" s="619">
        <v>1.1818181818181819</v>
      </c>
      <c r="M22" s="619">
        <v>66</v>
      </c>
      <c r="N22" s="619">
        <v>17</v>
      </c>
      <c r="O22" s="619">
        <v>1122</v>
      </c>
      <c r="P22" s="640">
        <v>1.5454545454545454</v>
      </c>
      <c r="Q22" s="620">
        <v>66</v>
      </c>
    </row>
    <row r="23" spans="1:17" ht="14.4" customHeight="1" x14ac:dyDescent="0.3">
      <c r="A23" s="615" t="s">
        <v>4078</v>
      </c>
      <c r="B23" s="616" t="s">
        <v>4079</v>
      </c>
      <c r="C23" s="616" t="s">
        <v>3011</v>
      </c>
      <c r="D23" s="616" t="s">
        <v>4100</v>
      </c>
      <c r="E23" s="616" t="s">
        <v>4101</v>
      </c>
      <c r="F23" s="619">
        <v>22</v>
      </c>
      <c r="G23" s="619">
        <v>528</v>
      </c>
      <c r="H23" s="619">
        <v>1</v>
      </c>
      <c r="I23" s="619">
        <v>24</v>
      </c>
      <c r="J23" s="619">
        <v>20</v>
      </c>
      <c r="K23" s="619">
        <v>480</v>
      </c>
      <c r="L23" s="619">
        <v>0.90909090909090906</v>
      </c>
      <c r="M23" s="619">
        <v>24</v>
      </c>
      <c r="N23" s="619">
        <v>39</v>
      </c>
      <c r="O23" s="619">
        <v>975</v>
      </c>
      <c r="P23" s="640">
        <v>1.8465909090909092</v>
      </c>
      <c r="Q23" s="620">
        <v>25</v>
      </c>
    </row>
    <row r="24" spans="1:17" ht="14.4" customHeight="1" x14ac:dyDescent="0.3">
      <c r="A24" s="615" t="s">
        <v>4078</v>
      </c>
      <c r="B24" s="616" t="s">
        <v>4079</v>
      </c>
      <c r="C24" s="616" t="s">
        <v>3011</v>
      </c>
      <c r="D24" s="616" t="s">
        <v>4102</v>
      </c>
      <c r="E24" s="616" t="s">
        <v>4103</v>
      </c>
      <c r="F24" s="619">
        <v>111</v>
      </c>
      <c r="G24" s="619">
        <v>19980</v>
      </c>
      <c r="H24" s="619">
        <v>1</v>
      </c>
      <c r="I24" s="619">
        <v>180</v>
      </c>
      <c r="J24" s="619">
        <v>160</v>
      </c>
      <c r="K24" s="619">
        <v>28800</v>
      </c>
      <c r="L24" s="619">
        <v>1.4414414414414414</v>
      </c>
      <c r="M24" s="619">
        <v>180</v>
      </c>
      <c r="N24" s="619">
        <v>171</v>
      </c>
      <c r="O24" s="619">
        <v>30951</v>
      </c>
      <c r="P24" s="640">
        <v>1.5490990990990992</v>
      </c>
      <c r="Q24" s="620">
        <v>181</v>
      </c>
    </row>
    <row r="25" spans="1:17" ht="14.4" customHeight="1" x14ac:dyDescent="0.3">
      <c r="A25" s="615" t="s">
        <v>4078</v>
      </c>
      <c r="B25" s="616" t="s">
        <v>4079</v>
      </c>
      <c r="C25" s="616" t="s">
        <v>3011</v>
      </c>
      <c r="D25" s="616" t="s">
        <v>4104</v>
      </c>
      <c r="E25" s="616" t="s">
        <v>4105</v>
      </c>
      <c r="F25" s="619">
        <v>56</v>
      </c>
      <c r="G25" s="619">
        <v>14168</v>
      </c>
      <c r="H25" s="619">
        <v>1</v>
      </c>
      <c r="I25" s="619">
        <v>253</v>
      </c>
      <c r="J25" s="619">
        <v>69</v>
      </c>
      <c r="K25" s="619">
        <v>17457</v>
      </c>
      <c r="L25" s="619">
        <v>1.2321428571428572</v>
      </c>
      <c r="M25" s="619">
        <v>253</v>
      </c>
      <c r="N25" s="619">
        <v>100</v>
      </c>
      <c r="O25" s="619">
        <v>25400</v>
      </c>
      <c r="P25" s="640">
        <v>1.792772444946358</v>
      </c>
      <c r="Q25" s="620">
        <v>254</v>
      </c>
    </row>
    <row r="26" spans="1:17" ht="14.4" customHeight="1" x14ac:dyDescent="0.3">
      <c r="A26" s="615" t="s">
        <v>4078</v>
      </c>
      <c r="B26" s="616" t="s">
        <v>4079</v>
      </c>
      <c r="C26" s="616" t="s">
        <v>3011</v>
      </c>
      <c r="D26" s="616" t="s">
        <v>4106</v>
      </c>
      <c r="E26" s="616" t="s">
        <v>4107</v>
      </c>
      <c r="F26" s="619">
        <v>200</v>
      </c>
      <c r="G26" s="619">
        <v>43200</v>
      </c>
      <c r="H26" s="619">
        <v>1</v>
      </c>
      <c r="I26" s="619">
        <v>216</v>
      </c>
      <c r="J26" s="619">
        <v>238</v>
      </c>
      <c r="K26" s="619">
        <v>51408</v>
      </c>
      <c r="L26" s="619">
        <v>1.19</v>
      </c>
      <c r="M26" s="619">
        <v>216</v>
      </c>
      <c r="N26" s="619">
        <v>343</v>
      </c>
      <c r="O26" s="619">
        <v>74431</v>
      </c>
      <c r="P26" s="640">
        <v>1.7229398148148147</v>
      </c>
      <c r="Q26" s="620">
        <v>217</v>
      </c>
    </row>
    <row r="27" spans="1:17" ht="14.4" customHeight="1" x14ac:dyDescent="0.3">
      <c r="A27" s="615" t="s">
        <v>4078</v>
      </c>
      <c r="B27" s="616" t="s">
        <v>4079</v>
      </c>
      <c r="C27" s="616" t="s">
        <v>3011</v>
      </c>
      <c r="D27" s="616" t="s">
        <v>4108</v>
      </c>
      <c r="E27" s="616" t="s">
        <v>4109</v>
      </c>
      <c r="F27" s="619">
        <v>2</v>
      </c>
      <c r="G27" s="619">
        <v>71</v>
      </c>
      <c r="H27" s="619">
        <v>1</v>
      </c>
      <c r="I27" s="619">
        <v>35.5</v>
      </c>
      <c r="J27" s="619">
        <v>2</v>
      </c>
      <c r="K27" s="619">
        <v>72</v>
      </c>
      <c r="L27" s="619">
        <v>1.0140845070422535</v>
      </c>
      <c r="M27" s="619">
        <v>36</v>
      </c>
      <c r="N27" s="619">
        <v>3</v>
      </c>
      <c r="O27" s="619">
        <v>111</v>
      </c>
      <c r="P27" s="640">
        <v>1.5633802816901408</v>
      </c>
      <c r="Q27" s="620">
        <v>37</v>
      </c>
    </row>
    <row r="28" spans="1:17" ht="14.4" customHeight="1" x14ac:dyDescent="0.3">
      <c r="A28" s="615" t="s">
        <v>4078</v>
      </c>
      <c r="B28" s="616" t="s">
        <v>4079</v>
      </c>
      <c r="C28" s="616" t="s">
        <v>3011</v>
      </c>
      <c r="D28" s="616" t="s">
        <v>4110</v>
      </c>
      <c r="E28" s="616" t="s">
        <v>4111</v>
      </c>
      <c r="F28" s="619"/>
      <c r="G28" s="619"/>
      <c r="H28" s="619"/>
      <c r="I28" s="619"/>
      <c r="J28" s="619"/>
      <c r="K28" s="619"/>
      <c r="L28" s="619"/>
      <c r="M28" s="619"/>
      <c r="N28" s="619">
        <v>4</v>
      </c>
      <c r="O28" s="619">
        <v>4044</v>
      </c>
      <c r="P28" s="640"/>
      <c r="Q28" s="620">
        <v>1011</v>
      </c>
    </row>
    <row r="29" spans="1:17" ht="14.4" customHeight="1" x14ac:dyDescent="0.3">
      <c r="A29" s="615" t="s">
        <v>4078</v>
      </c>
      <c r="B29" s="616" t="s">
        <v>4079</v>
      </c>
      <c r="C29" s="616" t="s">
        <v>3011</v>
      </c>
      <c r="D29" s="616" t="s">
        <v>4112</v>
      </c>
      <c r="E29" s="616" t="s">
        <v>4113</v>
      </c>
      <c r="F29" s="619"/>
      <c r="G29" s="619"/>
      <c r="H29" s="619"/>
      <c r="I29" s="619"/>
      <c r="J29" s="619"/>
      <c r="K29" s="619"/>
      <c r="L29" s="619"/>
      <c r="M29" s="619"/>
      <c r="N29" s="619">
        <v>2</v>
      </c>
      <c r="O29" s="619">
        <v>746</v>
      </c>
      <c r="P29" s="640"/>
      <c r="Q29" s="620">
        <v>373</v>
      </c>
    </row>
    <row r="30" spans="1:17" ht="14.4" customHeight="1" x14ac:dyDescent="0.3">
      <c r="A30" s="615" t="s">
        <v>4078</v>
      </c>
      <c r="B30" s="616" t="s">
        <v>4079</v>
      </c>
      <c r="C30" s="616" t="s">
        <v>3011</v>
      </c>
      <c r="D30" s="616" t="s">
        <v>4114</v>
      </c>
      <c r="E30" s="616" t="s">
        <v>4115</v>
      </c>
      <c r="F30" s="619">
        <v>15</v>
      </c>
      <c r="G30" s="619">
        <v>750</v>
      </c>
      <c r="H30" s="619">
        <v>1</v>
      </c>
      <c r="I30" s="619">
        <v>50</v>
      </c>
      <c r="J30" s="619">
        <v>10</v>
      </c>
      <c r="K30" s="619">
        <v>500</v>
      </c>
      <c r="L30" s="619">
        <v>0.66666666666666663</v>
      </c>
      <c r="M30" s="619">
        <v>50</v>
      </c>
      <c r="N30" s="619">
        <v>5</v>
      </c>
      <c r="O30" s="619">
        <v>250</v>
      </c>
      <c r="P30" s="640">
        <v>0.33333333333333331</v>
      </c>
      <c r="Q30" s="620">
        <v>50</v>
      </c>
    </row>
    <row r="31" spans="1:17" ht="14.4" customHeight="1" x14ac:dyDescent="0.3">
      <c r="A31" s="615" t="s">
        <v>4078</v>
      </c>
      <c r="B31" s="616" t="s">
        <v>4079</v>
      </c>
      <c r="C31" s="616" t="s">
        <v>3011</v>
      </c>
      <c r="D31" s="616" t="s">
        <v>4116</v>
      </c>
      <c r="E31" s="616" t="s">
        <v>4117</v>
      </c>
      <c r="F31" s="619"/>
      <c r="G31" s="619"/>
      <c r="H31" s="619"/>
      <c r="I31" s="619"/>
      <c r="J31" s="619">
        <v>3</v>
      </c>
      <c r="K31" s="619">
        <v>690</v>
      </c>
      <c r="L31" s="619"/>
      <c r="M31" s="619">
        <v>230</v>
      </c>
      <c r="N31" s="619">
        <v>1</v>
      </c>
      <c r="O31" s="619">
        <v>233</v>
      </c>
      <c r="P31" s="640"/>
      <c r="Q31" s="620">
        <v>233</v>
      </c>
    </row>
    <row r="32" spans="1:17" ht="14.4" customHeight="1" x14ac:dyDescent="0.3">
      <c r="A32" s="615" t="s">
        <v>4078</v>
      </c>
      <c r="B32" s="616" t="s">
        <v>4079</v>
      </c>
      <c r="C32" s="616" t="s">
        <v>3011</v>
      </c>
      <c r="D32" s="616" t="s">
        <v>4118</v>
      </c>
      <c r="E32" s="616" t="s">
        <v>4119</v>
      </c>
      <c r="F32" s="619"/>
      <c r="G32" s="619"/>
      <c r="H32" s="619"/>
      <c r="I32" s="619"/>
      <c r="J32" s="619"/>
      <c r="K32" s="619"/>
      <c r="L32" s="619"/>
      <c r="M32" s="619"/>
      <c r="N32" s="619">
        <v>19</v>
      </c>
      <c r="O32" s="619">
        <v>4636</v>
      </c>
      <c r="P32" s="640"/>
      <c r="Q32" s="620">
        <v>244</v>
      </c>
    </row>
    <row r="33" spans="1:17" ht="14.4" customHeight="1" x14ac:dyDescent="0.3">
      <c r="A33" s="615" t="s">
        <v>4120</v>
      </c>
      <c r="B33" s="616" t="s">
        <v>4121</v>
      </c>
      <c r="C33" s="616" t="s">
        <v>3011</v>
      </c>
      <c r="D33" s="616" t="s">
        <v>4122</v>
      </c>
      <c r="E33" s="616" t="s">
        <v>4123</v>
      </c>
      <c r="F33" s="619">
        <v>215</v>
      </c>
      <c r="G33" s="619">
        <v>5805</v>
      </c>
      <c r="H33" s="619">
        <v>1</v>
      </c>
      <c r="I33" s="619">
        <v>27</v>
      </c>
      <c r="J33" s="619">
        <v>154</v>
      </c>
      <c r="K33" s="619">
        <v>4158</v>
      </c>
      <c r="L33" s="619">
        <v>0.71627906976744182</v>
      </c>
      <c r="M33" s="619">
        <v>27</v>
      </c>
      <c r="N33" s="619">
        <v>235</v>
      </c>
      <c r="O33" s="619">
        <v>6345</v>
      </c>
      <c r="P33" s="640">
        <v>1.0930232558139534</v>
      </c>
      <c r="Q33" s="620">
        <v>27</v>
      </c>
    </row>
    <row r="34" spans="1:17" ht="14.4" customHeight="1" x14ac:dyDescent="0.3">
      <c r="A34" s="615" t="s">
        <v>4120</v>
      </c>
      <c r="B34" s="616" t="s">
        <v>4121</v>
      </c>
      <c r="C34" s="616" t="s">
        <v>3011</v>
      </c>
      <c r="D34" s="616" t="s">
        <v>4124</v>
      </c>
      <c r="E34" s="616" t="s">
        <v>4125</v>
      </c>
      <c r="F34" s="619">
        <v>227</v>
      </c>
      <c r="G34" s="619">
        <v>12258</v>
      </c>
      <c r="H34" s="619">
        <v>1</v>
      </c>
      <c r="I34" s="619">
        <v>54</v>
      </c>
      <c r="J34" s="619">
        <v>196</v>
      </c>
      <c r="K34" s="619">
        <v>10584</v>
      </c>
      <c r="L34" s="619">
        <v>0.86343612334801767</v>
      </c>
      <c r="M34" s="619">
        <v>54</v>
      </c>
      <c r="N34" s="619">
        <v>265</v>
      </c>
      <c r="O34" s="619">
        <v>14310</v>
      </c>
      <c r="P34" s="640">
        <v>1.1674008810572687</v>
      </c>
      <c r="Q34" s="620">
        <v>54</v>
      </c>
    </row>
    <row r="35" spans="1:17" ht="14.4" customHeight="1" x14ac:dyDescent="0.3">
      <c r="A35" s="615" t="s">
        <v>4120</v>
      </c>
      <c r="B35" s="616" t="s">
        <v>4121</v>
      </c>
      <c r="C35" s="616" t="s">
        <v>3011</v>
      </c>
      <c r="D35" s="616" t="s">
        <v>4126</v>
      </c>
      <c r="E35" s="616" t="s">
        <v>4127</v>
      </c>
      <c r="F35" s="619">
        <v>805</v>
      </c>
      <c r="G35" s="619">
        <v>19320</v>
      </c>
      <c r="H35" s="619">
        <v>1</v>
      </c>
      <c r="I35" s="619">
        <v>24</v>
      </c>
      <c r="J35" s="619">
        <v>717</v>
      </c>
      <c r="K35" s="619">
        <v>17208</v>
      </c>
      <c r="L35" s="619">
        <v>0.89068322981366455</v>
      </c>
      <c r="M35" s="619">
        <v>24</v>
      </c>
      <c r="N35" s="619">
        <v>780</v>
      </c>
      <c r="O35" s="619">
        <v>18720</v>
      </c>
      <c r="P35" s="640">
        <v>0.96894409937888204</v>
      </c>
      <c r="Q35" s="620">
        <v>24</v>
      </c>
    </row>
    <row r="36" spans="1:17" ht="14.4" customHeight="1" x14ac:dyDescent="0.3">
      <c r="A36" s="615" t="s">
        <v>4120</v>
      </c>
      <c r="B36" s="616" t="s">
        <v>4121</v>
      </c>
      <c r="C36" s="616" t="s">
        <v>3011</v>
      </c>
      <c r="D36" s="616" t="s">
        <v>4128</v>
      </c>
      <c r="E36" s="616" t="s">
        <v>4129</v>
      </c>
      <c r="F36" s="619">
        <v>992</v>
      </c>
      <c r="G36" s="619">
        <v>26784</v>
      </c>
      <c r="H36" s="619">
        <v>1</v>
      </c>
      <c r="I36" s="619">
        <v>27</v>
      </c>
      <c r="J36" s="619">
        <v>933</v>
      </c>
      <c r="K36" s="619">
        <v>25191</v>
      </c>
      <c r="L36" s="619">
        <v>0.94052419354838712</v>
      </c>
      <c r="M36" s="619">
        <v>27</v>
      </c>
      <c r="N36" s="619">
        <v>1088</v>
      </c>
      <c r="O36" s="619">
        <v>29376</v>
      </c>
      <c r="P36" s="640">
        <v>1.096774193548387</v>
      </c>
      <c r="Q36" s="620">
        <v>27</v>
      </c>
    </row>
    <row r="37" spans="1:17" ht="14.4" customHeight="1" x14ac:dyDescent="0.3">
      <c r="A37" s="615" t="s">
        <v>4120</v>
      </c>
      <c r="B37" s="616" t="s">
        <v>4121</v>
      </c>
      <c r="C37" s="616" t="s">
        <v>3011</v>
      </c>
      <c r="D37" s="616" t="s">
        <v>4130</v>
      </c>
      <c r="E37" s="616" t="s">
        <v>4131</v>
      </c>
      <c r="F37" s="619">
        <v>123</v>
      </c>
      <c r="G37" s="619">
        <v>6896</v>
      </c>
      <c r="H37" s="619">
        <v>1</v>
      </c>
      <c r="I37" s="619">
        <v>56.065040650406502</v>
      </c>
      <c r="J37" s="619">
        <v>3</v>
      </c>
      <c r="K37" s="619">
        <v>171</v>
      </c>
      <c r="L37" s="619">
        <v>2.4796983758700698E-2</v>
      </c>
      <c r="M37" s="619">
        <v>57</v>
      </c>
      <c r="N37" s="619"/>
      <c r="O37" s="619"/>
      <c r="P37" s="640"/>
      <c r="Q37" s="620"/>
    </row>
    <row r="38" spans="1:17" ht="14.4" customHeight="1" x14ac:dyDescent="0.3">
      <c r="A38" s="615" t="s">
        <v>4120</v>
      </c>
      <c r="B38" s="616" t="s">
        <v>4121</v>
      </c>
      <c r="C38" s="616" t="s">
        <v>3011</v>
      </c>
      <c r="D38" s="616" t="s">
        <v>4132</v>
      </c>
      <c r="E38" s="616" t="s">
        <v>4133</v>
      </c>
      <c r="F38" s="619">
        <v>199</v>
      </c>
      <c r="G38" s="619">
        <v>5373</v>
      </c>
      <c r="H38" s="619">
        <v>1</v>
      </c>
      <c r="I38" s="619">
        <v>27</v>
      </c>
      <c r="J38" s="619">
        <v>162</v>
      </c>
      <c r="K38" s="619">
        <v>4374</v>
      </c>
      <c r="L38" s="619">
        <v>0.81407035175879394</v>
      </c>
      <c r="M38" s="619">
        <v>27</v>
      </c>
      <c r="N38" s="619">
        <v>199</v>
      </c>
      <c r="O38" s="619">
        <v>5373</v>
      </c>
      <c r="P38" s="640">
        <v>1</v>
      </c>
      <c r="Q38" s="620">
        <v>27</v>
      </c>
    </row>
    <row r="39" spans="1:17" ht="14.4" customHeight="1" x14ac:dyDescent="0.3">
      <c r="A39" s="615" t="s">
        <v>4120</v>
      </c>
      <c r="B39" s="616" t="s">
        <v>4121</v>
      </c>
      <c r="C39" s="616" t="s">
        <v>3011</v>
      </c>
      <c r="D39" s="616" t="s">
        <v>4134</v>
      </c>
      <c r="E39" s="616" t="s">
        <v>4135</v>
      </c>
      <c r="F39" s="619">
        <v>1545</v>
      </c>
      <c r="G39" s="619">
        <v>33990</v>
      </c>
      <c r="H39" s="619">
        <v>1</v>
      </c>
      <c r="I39" s="619">
        <v>22</v>
      </c>
      <c r="J39" s="619">
        <v>1578</v>
      </c>
      <c r="K39" s="619">
        <v>34716</v>
      </c>
      <c r="L39" s="619">
        <v>1.021359223300971</v>
      </c>
      <c r="M39" s="619">
        <v>22</v>
      </c>
      <c r="N39" s="619">
        <v>3618</v>
      </c>
      <c r="O39" s="619">
        <v>79596</v>
      </c>
      <c r="P39" s="640">
        <v>2.3417475728155339</v>
      </c>
      <c r="Q39" s="620">
        <v>22</v>
      </c>
    </row>
    <row r="40" spans="1:17" ht="14.4" customHeight="1" x14ac:dyDescent="0.3">
      <c r="A40" s="615" t="s">
        <v>4120</v>
      </c>
      <c r="B40" s="616" t="s">
        <v>4121</v>
      </c>
      <c r="C40" s="616" t="s">
        <v>3011</v>
      </c>
      <c r="D40" s="616" t="s">
        <v>4136</v>
      </c>
      <c r="E40" s="616" t="s">
        <v>4137</v>
      </c>
      <c r="F40" s="619">
        <v>7</v>
      </c>
      <c r="G40" s="619">
        <v>476</v>
      </c>
      <c r="H40" s="619">
        <v>1</v>
      </c>
      <c r="I40" s="619">
        <v>68</v>
      </c>
      <c r="J40" s="619">
        <v>2</v>
      </c>
      <c r="K40" s="619">
        <v>136</v>
      </c>
      <c r="L40" s="619">
        <v>0.2857142857142857</v>
      </c>
      <c r="M40" s="619">
        <v>68</v>
      </c>
      <c r="N40" s="619">
        <v>8</v>
      </c>
      <c r="O40" s="619">
        <v>544</v>
      </c>
      <c r="P40" s="640">
        <v>1.1428571428571428</v>
      </c>
      <c r="Q40" s="620">
        <v>68</v>
      </c>
    </row>
    <row r="41" spans="1:17" ht="14.4" customHeight="1" x14ac:dyDescent="0.3">
      <c r="A41" s="615" t="s">
        <v>4120</v>
      </c>
      <c r="B41" s="616" t="s">
        <v>4121</v>
      </c>
      <c r="C41" s="616" t="s">
        <v>3011</v>
      </c>
      <c r="D41" s="616" t="s">
        <v>4138</v>
      </c>
      <c r="E41" s="616" t="s">
        <v>4139</v>
      </c>
      <c r="F41" s="619">
        <v>4</v>
      </c>
      <c r="G41" s="619">
        <v>248</v>
      </c>
      <c r="H41" s="619">
        <v>1</v>
      </c>
      <c r="I41" s="619">
        <v>62</v>
      </c>
      <c r="J41" s="619">
        <v>5</v>
      </c>
      <c r="K41" s="619">
        <v>310</v>
      </c>
      <c r="L41" s="619">
        <v>1.25</v>
      </c>
      <c r="M41" s="619">
        <v>62</v>
      </c>
      <c r="N41" s="619">
        <v>3</v>
      </c>
      <c r="O41" s="619">
        <v>186</v>
      </c>
      <c r="P41" s="640">
        <v>0.75</v>
      </c>
      <c r="Q41" s="620">
        <v>62</v>
      </c>
    </row>
    <row r="42" spans="1:17" ht="14.4" customHeight="1" x14ac:dyDescent="0.3">
      <c r="A42" s="615" t="s">
        <v>4120</v>
      </c>
      <c r="B42" s="616" t="s">
        <v>4121</v>
      </c>
      <c r="C42" s="616" t="s">
        <v>3011</v>
      </c>
      <c r="D42" s="616" t="s">
        <v>4140</v>
      </c>
      <c r="E42" s="616" t="s">
        <v>4141</v>
      </c>
      <c r="F42" s="619">
        <v>1671</v>
      </c>
      <c r="G42" s="619">
        <v>102874</v>
      </c>
      <c r="H42" s="619">
        <v>1</v>
      </c>
      <c r="I42" s="619">
        <v>61.564332734889291</v>
      </c>
      <c r="J42" s="619">
        <v>1444</v>
      </c>
      <c r="K42" s="619">
        <v>89528</v>
      </c>
      <c r="L42" s="619">
        <v>0.87026848377626997</v>
      </c>
      <c r="M42" s="619">
        <v>62</v>
      </c>
      <c r="N42" s="619">
        <v>3086</v>
      </c>
      <c r="O42" s="619">
        <v>191332</v>
      </c>
      <c r="P42" s="640">
        <v>1.8598674106188153</v>
      </c>
      <c r="Q42" s="620">
        <v>62</v>
      </c>
    </row>
    <row r="43" spans="1:17" ht="14.4" customHeight="1" x14ac:dyDescent="0.3">
      <c r="A43" s="615" t="s">
        <v>4120</v>
      </c>
      <c r="B43" s="616" t="s">
        <v>4121</v>
      </c>
      <c r="C43" s="616" t="s">
        <v>3011</v>
      </c>
      <c r="D43" s="616" t="s">
        <v>4142</v>
      </c>
      <c r="E43" s="616" t="s">
        <v>4143</v>
      </c>
      <c r="F43" s="619">
        <v>14</v>
      </c>
      <c r="G43" s="619">
        <v>1134</v>
      </c>
      <c r="H43" s="619">
        <v>1</v>
      </c>
      <c r="I43" s="619">
        <v>81</v>
      </c>
      <c r="J43" s="619"/>
      <c r="K43" s="619"/>
      <c r="L43" s="619"/>
      <c r="M43" s="619"/>
      <c r="N43" s="619">
        <v>3</v>
      </c>
      <c r="O43" s="619">
        <v>246</v>
      </c>
      <c r="P43" s="640">
        <v>0.21693121693121692</v>
      </c>
      <c r="Q43" s="620">
        <v>82</v>
      </c>
    </row>
    <row r="44" spans="1:17" ht="14.4" customHeight="1" x14ac:dyDescent="0.3">
      <c r="A44" s="615" t="s">
        <v>4120</v>
      </c>
      <c r="B44" s="616" t="s">
        <v>4121</v>
      </c>
      <c r="C44" s="616" t="s">
        <v>3011</v>
      </c>
      <c r="D44" s="616" t="s">
        <v>4144</v>
      </c>
      <c r="E44" s="616" t="s">
        <v>4145</v>
      </c>
      <c r="F44" s="619">
        <v>91</v>
      </c>
      <c r="G44" s="619">
        <v>89817</v>
      </c>
      <c r="H44" s="619">
        <v>1</v>
      </c>
      <c r="I44" s="619">
        <v>987</v>
      </c>
      <c r="J44" s="619">
        <v>63</v>
      </c>
      <c r="K44" s="619">
        <v>62181</v>
      </c>
      <c r="L44" s="619">
        <v>0.69230769230769229</v>
      </c>
      <c r="M44" s="619">
        <v>987</v>
      </c>
      <c r="N44" s="619">
        <v>102</v>
      </c>
      <c r="O44" s="619">
        <v>100776</v>
      </c>
      <c r="P44" s="640">
        <v>1.1220147633521493</v>
      </c>
      <c r="Q44" s="620">
        <v>988</v>
      </c>
    </row>
    <row r="45" spans="1:17" ht="14.4" customHeight="1" x14ac:dyDescent="0.3">
      <c r="A45" s="615" t="s">
        <v>4120</v>
      </c>
      <c r="B45" s="616" t="s">
        <v>4121</v>
      </c>
      <c r="C45" s="616" t="s">
        <v>3011</v>
      </c>
      <c r="D45" s="616" t="s">
        <v>4146</v>
      </c>
      <c r="E45" s="616" t="s">
        <v>4147</v>
      </c>
      <c r="F45" s="619"/>
      <c r="G45" s="619"/>
      <c r="H45" s="619"/>
      <c r="I45" s="619"/>
      <c r="J45" s="619">
        <v>1</v>
      </c>
      <c r="K45" s="619">
        <v>191</v>
      </c>
      <c r="L45" s="619"/>
      <c r="M45" s="619">
        <v>191</v>
      </c>
      <c r="N45" s="619">
        <v>1</v>
      </c>
      <c r="O45" s="619">
        <v>191</v>
      </c>
      <c r="P45" s="640"/>
      <c r="Q45" s="620">
        <v>191</v>
      </c>
    </row>
    <row r="46" spans="1:17" ht="14.4" customHeight="1" x14ac:dyDescent="0.3">
      <c r="A46" s="615" t="s">
        <v>4120</v>
      </c>
      <c r="B46" s="616" t="s">
        <v>4121</v>
      </c>
      <c r="C46" s="616" t="s">
        <v>3011</v>
      </c>
      <c r="D46" s="616" t="s">
        <v>4148</v>
      </c>
      <c r="E46" s="616" t="s">
        <v>4149</v>
      </c>
      <c r="F46" s="619">
        <v>18</v>
      </c>
      <c r="G46" s="619">
        <v>1476</v>
      </c>
      <c r="H46" s="619">
        <v>1</v>
      </c>
      <c r="I46" s="619">
        <v>82</v>
      </c>
      <c r="J46" s="619">
        <v>9</v>
      </c>
      <c r="K46" s="619">
        <v>738</v>
      </c>
      <c r="L46" s="619">
        <v>0.5</v>
      </c>
      <c r="M46" s="619">
        <v>82</v>
      </c>
      <c r="N46" s="619">
        <v>5</v>
      </c>
      <c r="O46" s="619">
        <v>410</v>
      </c>
      <c r="P46" s="640">
        <v>0.27777777777777779</v>
      </c>
      <c r="Q46" s="620">
        <v>82</v>
      </c>
    </row>
    <row r="47" spans="1:17" ht="14.4" customHeight="1" x14ac:dyDescent="0.3">
      <c r="A47" s="615" t="s">
        <v>4120</v>
      </c>
      <c r="B47" s="616" t="s">
        <v>4121</v>
      </c>
      <c r="C47" s="616" t="s">
        <v>3011</v>
      </c>
      <c r="D47" s="616" t="s">
        <v>4150</v>
      </c>
      <c r="E47" s="616" t="s">
        <v>4151</v>
      </c>
      <c r="F47" s="619">
        <v>12</v>
      </c>
      <c r="G47" s="619">
        <v>756</v>
      </c>
      <c r="H47" s="619">
        <v>1</v>
      </c>
      <c r="I47" s="619">
        <v>63</v>
      </c>
      <c r="J47" s="619">
        <v>6</v>
      </c>
      <c r="K47" s="619">
        <v>378</v>
      </c>
      <c r="L47" s="619">
        <v>0.5</v>
      </c>
      <c r="M47" s="619">
        <v>63</v>
      </c>
      <c r="N47" s="619">
        <v>17</v>
      </c>
      <c r="O47" s="619">
        <v>1071</v>
      </c>
      <c r="P47" s="640">
        <v>1.4166666666666667</v>
      </c>
      <c r="Q47" s="620">
        <v>63</v>
      </c>
    </row>
    <row r="48" spans="1:17" ht="14.4" customHeight="1" x14ac:dyDescent="0.3">
      <c r="A48" s="615" t="s">
        <v>4120</v>
      </c>
      <c r="B48" s="616" t="s">
        <v>4121</v>
      </c>
      <c r="C48" s="616" t="s">
        <v>3011</v>
      </c>
      <c r="D48" s="616" t="s">
        <v>4152</v>
      </c>
      <c r="E48" s="616" t="s">
        <v>4153</v>
      </c>
      <c r="F48" s="619">
        <v>500</v>
      </c>
      <c r="G48" s="619">
        <v>8500</v>
      </c>
      <c r="H48" s="619">
        <v>1</v>
      </c>
      <c r="I48" s="619">
        <v>17</v>
      </c>
      <c r="J48" s="619">
        <v>444</v>
      </c>
      <c r="K48" s="619">
        <v>7548</v>
      </c>
      <c r="L48" s="619">
        <v>0.88800000000000001</v>
      </c>
      <c r="M48" s="619">
        <v>17</v>
      </c>
      <c r="N48" s="619">
        <v>492</v>
      </c>
      <c r="O48" s="619">
        <v>8364</v>
      </c>
      <c r="P48" s="640">
        <v>0.98399999999999999</v>
      </c>
      <c r="Q48" s="620">
        <v>17</v>
      </c>
    </row>
    <row r="49" spans="1:17" ht="14.4" customHeight="1" x14ac:dyDescent="0.3">
      <c r="A49" s="615" t="s">
        <v>4120</v>
      </c>
      <c r="B49" s="616" t="s">
        <v>4121</v>
      </c>
      <c r="C49" s="616" t="s">
        <v>3011</v>
      </c>
      <c r="D49" s="616" t="s">
        <v>4154</v>
      </c>
      <c r="E49" s="616" t="s">
        <v>4155</v>
      </c>
      <c r="F49" s="619"/>
      <c r="G49" s="619"/>
      <c r="H49" s="619"/>
      <c r="I49" s="619"/>
      <c r="J49" s="619">
        <v>1</v>
      </c>
      <c r="K49" s="619">
        <v>64</v>
      </c>
      <c r="L49" s="619"/>
      <c r="M49" s="619">
        <v>64</v>
      </c>
      <c r="N49" s="619">
        <v>2</v>
      </c>
      <c r="O49" s="619">
        <v>128</v>
      </c>
      <c r="P49" s="640"/>
      <c r="Q49" s="620">
        <v>64</v>
      </c>
    </row>
    <row r="50" spans="1:17" ht="14.4" customHeight="1" x14ac:dyDescent="0.3">
      <c r="A50" s="615" t="s">
        <v>4120</v>
      </c>
      <c r="B50" s="616" t="s">
        <v>4121</v>
      </c>
      <c r="C50" s="616" t="s">
        <v>3011</v>
      </c>
      <c r="D50" s="616" t="s">
        <v>4156</v>
      </c>
      <c r="E50" s="616" t="s">
        <v>4157</v>
      </c>
      <c r="F50" s="619">
        <v>5</v>
      </c>
      <c r="G50" s="619">
        <v>235</v>
      </c>
      <c r="H50" s="619">
        <v>1</v>
      </c>
      <c r="I50" s="619">
        <v>47</v>
      </c>
      <c r="J50" s="619"/>
      <c r="K50" s="619"/>
      <c r="L50" s="619"/>
      <c r="M50" s="619"/>
      <c r="N50" s="619">
        <v>4</v>
      </c>
      <c r="O50" s="619">
        <v>188</v>
      </c>
      <c r="P50" s="640">
        <v>0.8</v>
      </c>
      <c r="Q50" s="620">
        <v>47</v>
      </c>
    </row>
    <row r="51" spans="1:17" ht="14.4" customHeight="1" x14ac:dyDescent="0.3">
      <c r="A51" s="615" t="s">
        <v>4120</v>
      </c>
      <c r="B51" s="616" t="s">
        <v>4121</v>
      </c>
      <c r="C51" s="616" t="s">
        <v>3011</v>
      </c>
      <c r="D51" s="616" t="s">
        <v>4158</v>
      </c>
      <c r="E51" s="616" t="s">
        <v>4159</v>
      </c>
      <c r="F51" s="619">
        <v>2</v>
      </c>
      <c r="G51" s="619">
        <v>120</v>
      </c>
      <c r="H51" s="619">
        <v>1</v>
      </c>
      <c r="I51" s="619">
        <v>60</v>
      </c>
      <c r="J51" s="619">
        <v>1</v>
      </c>
      <c r="K51" s="619">
        <v>60</v>
      </c>
      <c r="L51" s="619">
        <v>0.5</v>
      </c>
      <c r="M51" s="619">
        <v>60</v>
      </c>
      <c r="N51" s="619">
        <v>1</v>
      </c>
      <c r="O51" s="619">
        <v>60</v>
      </c>
      <c r="P51" s="640">
        <v>0.5</v>
      </c>
      <c r="Q51" s="620">
        <v>60</v>
      </c>
    </row>
    <row r="52" spans="1:17" ht="14.4" customHeight="1" x14ac:dyDescent="0.3">
      <c r="A52" s="615" t="s">
        <v>4120</v>
      </c>
      <c r="B52" s="616" t="s">
        <v>4121</v>
      </c>
      <c r="C52" s="616" t="s">
        <v>3011</v>
      </c>
      <c r="D52" s="616" t="s">
        <v>4160</v>
      </c>
      <c r="E52" s="616" t="s">
        <v>4161</v>
      </c>
      <c r="F52" s="619">
        <v>2</v>
      </c>
      <c r="G52" s="619">
        <v>193</v>
      </c>
      <c r="H52" s="619">
        <v>1</v>
      </c>
      <c r="I52" s="619">
        <v>96.5</v>
      </c>
      <c r="J52" s="619"/>
      <c r="K52" s="619"/>
      <c r="L52" s="619"/>
      <c r="M52" s="619"/>
      <c r="N52" s="619"/>
      <c r="O52" s="619"/>
      <c r="P52" s="640"/>
      <c r="Q52" s="620"/>
    </row>
    <row r="53" spans="1:17" ht="14.4" customHeight="1" x14ac:dyDescent="0.3">
      <c r="A53" s="615" t="s">
        <v>4120</v>
      </c>
      <c r="B53" s="616" t="s">
        <v>4121</v>
      </c>
      <c r="C53" s="616" t="s">
        <v>3011</v>
      </c>
      <c r="D53" s="616" t="s">
        <v>4162</v>
      </c>
      <c r="E53" s="616" t="s">
        <v>4163</v>
      </c>
      <c r="F53" s="619">
        <v>2</v>
      </c>
      <c r="G53" s="619">
        <v>120</v>
      </c>
      <c r="H53" s="619">
        <v>1</v>
      </c>
      <c r="I53" s="619">
        <v>60</v>
      </c>
      <c r="J53" s="619"/>
      <c r="K53" s="619"/>
      <c r="L53" s="619"/>
      <c r="M53" s="619"/>
      <c r="N53" s="619"/>
      <c r="O53" s="619"/>
      <c r="P53" s="640"/>
      <c r="Q53" s="620"/>
    </row>
    <row r="54" spans="1:17" ht="14.4" customHeight="1" x14ac:dyDescent="0.3">
      <c r="A54" s="615" t="s">
        <v>4120</v>
      </c>
      <c r="B54" s="616" t="s">
        <v>4121</v>
      </c>
      <c r="C54" s="616" t="s">
        <v>3011</v>
      </c>
      <c r="D54" s="616" t="s">
        <v>4164</v>
      </c>
      <c r="E54" s="616" t="s">
        <v>4165</v>
      </c>
      <c r="F54" s="619"/>
      <c r="G54" s="619"/>
      <c r="H54" s="619"/>
      <c r="I54" s="619"/>
      <c r="J54" s="619">
        <v>2</v>
      </c>
      <c r="K54" s="619">
        <v>38</v>
      </c>
      <c r="L54" s="619"/>
      <c r="M54" s="619">
        <v>19</v>
      </c>
      <c r="N54" s="619">
        <v>1</v>
      </c>
      <c r="O54" s="619">
        <v>19</v>
      </c>
      <c r="P54" s="640"/>
      <c r="Q54" s="620">
        <v>19</v>
      </c>
    </row>
    <row r="55" spans="1:17" ht="14.4" customHeight="1" x14ac:dyDescent="0.3">
      <c r="A55" s="615" t="s">
        <v>4120</v>
      </c>
      <c r="B55" s="616" t="s">
        <v>4121</v>
      </c>
      <c r="C55" s="616" t="s">
        <v>3011</v>
      </c>
      <c r="D55" s="616" t="s">
        <v>4166</v>
      </c>
      <c r="E55" s="616" t="s">
        <v>4167</v>
      </c>
      <c r="F55" s="619">
        <v>3</v>
      </c>
      <c r="G55" s="619">
        <v>1386</v>
      </c>
      <c r="H55" s="619">
        <v>1</v>
      </c>
      <c r="I55" s="619">
        <v>462</v>
      </c>
      <c r="J55" s="619"/>
      <c r="K55" s="619"/>
      <c r="L55" s="619"/>
      <c r="M55" s="619"/>
      <c r="N55" s="619">
        <v>5</v>
      </c>
      <c r="O55" s="619">
        <v>2320</v>
      </c>
      <c r="P55" s="640">
        <v>1.673881673881674</v>
      </c>
      <c r="Q55" s="620">
        <v>464</v>
      </c>
    </row>
    <row r="56" spans="1:17" ht="14.4" customHeight="1" x14ac:dyDescent="0.3">
      <c r="A56" s="615" t="s">
        <v>4120</v>
      </c>
      <c r="B56" s="616" t="s">
        <v>4121</v>
      </c>
      <c r="C56" s="616" t="s">
        <v>3011</v>
      </c>
      <c r="D56" s="616" t="s">
        <v>4168</v>
      </c>
      <c r="E56" s="616" t="s">
        <v>4169</v>
      </c>
      <c r="F56" s="619"/>
      <c r="G56" s="619"/>
      <c r="H56" s="619"/>
      <c r="I56" s="619"/>
      <c r="J56" s="619">
        <v>1</v>
      </c>
      <c r="K56" s="619">
        <v>312</v>
      </c>
      <c r="L56" s="619"/>
      <c r="M56" s="619">
        <v>312</v>
      </c>
      <c r="N56" s="619">
        <v>1</v>
      </c>
      <c r="O56" s="619">
        <v>313</v>
      </c>
      <c r="P56" s="640"/>
      <c r="Q56" s="620">
        <v>313</v>
      </c>
    </row>
    <row r="57" spans="1:17" ht="14.4" customHeight="1" x14ac:dyDescent="0.3">
      <c r="A57" s="615" t="s">
        <v>4120</v>
      </c>
      <c r="B57" s="616" t="s">
        <v>4121</v>
      </c>
      <c r="C57" s="616" t="s">
        <v>3011</v>
      </c>
      <c r="D57" s="616" t="s">
        <v>4170</v>
      </c>
      <c r="E57" s="616" t="s">
        <v>4171</v>
      </c>
      <c r="F57" s="619">
        <v>39</v>
      </c>
      <c r="G57" s="619">
        <v>33217</v>
      </c>
      <c r="H57" s="619">
        <v>1</v>
      </c>
      <c r="I57" s="619">
        <v>851.71794871794873</v>
      </c>
      <c r="J57" s="619">
        <v>43</v>
      </c>
      <c r="K57" s="619">
        <v>36636</v>
      </c>
      <c r="L57" s="619">
        <v>1.1029292229882288</v>
      </c>
      <c r="M57" s="619">
        <v>852</v>
      </c>
      <c r="N57" s="619">
        <v>55</v>
      </c>
      <c r="O57" s="619">
        <v>46915</v>
      </c>
      <c r="P57" s="640">
        <v>1.4123792034199356</v>
      </c>
      <c r="Q57" s="620">
        <v>853</v>
      </c>
    </row>
    <row r="58" spans="1:17" ht="14.4" customHeight="1" x14ac:dyDescent="0.3">
      <c r="A58" s="615" t="s">
        <v>4120</v>
      </c>
      <c r="B58" s="616" t="s">
        <v>4121</v>
      </c>
      <c r="C58" s="616" t="s">
        <v>3011</v>
      </c>
      <c r="D58" s="616" t="s">
        <v>4172</v>
      </c>
      <c r="E58" s="616" t="s">
        <v>4173</v>
      </c>
      <c r="F58" s="619"/>
      <c r="G58" s="619"/>
      <c r="H58" s="619"/>
      <c r="I58" s="619"/>
      <c r="J58" s="619"/>
      <c r="K58" s="619"/>
      <c r="L58" s="619"/>
      <c r="M58" s="619"/>
      <c r="N58" s="619">
        <v>10</v>
      </c>
      <c r="O58" s="619">
        <v>1870</v>
      </c>
      <c r="P58" s="640"/>
      <c r="Q58" s="620">
        <v>187</v>
      </c>
    </row>
    <row r="59" spans="1:17" ht="14.4" customHeight="1" x14ac:dyDescent="0.3">
      <c r="A59" s="615" t="s">
        <v>4120</v>
      </c>
      <c r="B59" s="616" t="s">
        <v>4121</v>
      </c>
      <c r="C59" s="616" t="s">
        <v>3011</v>
      </c>
      <c r="D59" s="616" t="s">
        <v>4174</v>
      </c>
      <c r="E59" s="616" t="s">
        <v>4175</v>
      </c>
      <c r="F59" s="619"/>
      <c r="G59" s="619"/>
      <c r="H59" s="619"/>
      <c r="I59" s="619"/>
      <c r="J59" s="619">
        <v>1</v>
      </c>
      <c r="K59" s="619">
        <v>167</v>
      </c>
      <c r="L59" s="619"/>
      <c r="M59" s="619">
        <v>167</v>
      </c>
      <c r="N59" s="619"/>
      <c r="O59" s="619"/>
      <c r="P59" s="640"/>
      <c r="Q59" s="620"/>
    </row>
    <row r="60" spans="1:17" ht="14.4" customHeight="1" x14ac:dyDescent="0.3">
      <c r="A60" s="615" t="s">
        <v>4120</v>
      </c>
      <c r="B60" s="616" t="s">
        <v>4121</v>
      </c>
      <c r="C60" s="616" t="s">
        <v>3011</v>
      </c>
      <c r="D60" s="616" t="s">
        <v>4176</v>
      </c>
      <c r="E60" s="616" t="s">
        <v>4177</v>
      </c>
      <c r="F60" s="619">
        <v>1</v>
      </c>
      <c r="G60" s="619">
        <v>165</v>
      </c>
      <c r="H60" s="619">
        <v>1</v>
      </c>
      <c r="I60" s="619">
        <v>165</v>
      </c>
      <c r="J60" s="619">
        <v>1</v>
      </c>
      <c r="K60" s="619">
        <v>166</v>
      </c>
      <c r="L60" s="619">
        <v>1.0060606060606061</v>
      </c>
      <c r="M60" s="619">
        <v>166</v>
      </c>
      <c r="N60" s="619"/>
      <c r="O60" s="619"/>
      <c r="P60" s="640"/>
      <c r="Q60" s="620"/>
    </row>
    <row r="61" spans="1:17" ht="14.4" customHeight="1" x14ac:dyDescent="0.3">
      <c r="A61" s="615" t="s">
        <v>4120</v>
      </c>
      <c r="B61" s="616" t="s">
        <v>4121</v>
      </c>
      <c r="C61" s="616" t="s">
        <v>3011</v>
      </c>
      <c r="D61" s="616" t="s">
        <v>4178</v>
      </c>
      <c r="E61" s="616" t="s">
        <v>4179</v>
      </c>
      <c r="F61" s="619">
        <v>1</v>
      </c>
      <c r="G61" s="619">
        <v>308</v>
      </c>
      <c r="H61" s="619">
        <v>1</v>
      </c>
      <c r="I61" s="619">
        <v>308</v>
      </c>
      <c r="J61" s="619"/>
      <c r="K61" s="619"/>
      <c r="L61" s="619"/>
      <c r="M61" s="619"/>
      <c r="N61" s="619"/>
      <c r="O61" s="619"/>
      <c r="P61" s="640"/>
      <c r="Q61" s="620"/>
    </row>
    <row r="62" spans="1:17" ht="14.4" customHeight="1" x14ac:dyDescent="0.3">
      <c r="A62" s="615" t="s">
        <v>4120</v>
      </c>
      <c r="B62" s="616" t="s">
        <v>4121</v>
      </c>
      <c r="C62" s="616" t="s">
        <v>3011</v>
      </c>
      <c r="D62" s="616" t="s">
        <v>4180</v>
      </c>
      <c r="E62" s="616" t="s">
        <v>4181</v>
      </c>
      <c r="F62" s="619"/>
      <c r="G62" s="619"/>
      <c r="H62" s="619"/>
      <c r="I62" s="619"/>
      <c r="J62" s="619">
        <v>1</v>
      </c>
      <c r="K62" s="619">
        <v>351</v>
      </c>
      <c r="L62" s="619"/>
      <c r="M62" s="619">
        <v>351</v>
      </c>
      <c r="N62" s="619">
        <v>1</v>
      </c>
      <c r="O62" s="619">
        <v>352</v>
      </c>
      <c r="P62" s="640"/>
      <c r="Q62" s="620">
        <v>352</v>
      </c>
    </row>
    <row r="63" spans="1:17" ht="14.4" customHeight="1" x14ac:dyDescent="0.3">
      <c r="A63" s="615" t="s">
        <v>4120</v>
      </c>
      <c r="B63" s="616" t="s">
        <v>4121</v>
      </c>
      <c r="C63" s="616" t="s">
        <v>3011</v>
      </c>
      <c r="D63" s="616" t="s">
        <v>4182</v>
      </c>
      <c r="E63" s="616" t="s">
        <v>4183</v>
      </c>
      <c r="F63" s="619"/>
      <c r="G63" s="619"/>
      <c r="H63" s="619"/>
      <c r="I63" s="619"/>
      <c r="J63" s="619"/>
      <c r="K63" s="619"/>
      <c r="L63" s="619"/>
      <c r="M63" s="619"/>
      <c r="N63" s="619">
        <v>1</v>
      </c>
      <c r="O63" s="619">
        <v>352</v>
      </c>
      <c r="P63" s="640"/>
      <c r="Q63" s="620">
        <v>352</v>
      </c>
    </row>
    <row r="64" spans="1:17" ht="14.4" customHeight="1" x14ac:dyDescent="0.3">
      <c r="A64" s="615" t="s">
        <v>4120</v>
      </c>
      <c r="B64" s="616" t="s">
        <v>4121</v>
      </c>
      <c r="C64" s="616" t="s">
        <v>3011</v>
      </c>
      <c r="D64" s="616" t="s">
        <v>4184</v>
      </c>
      <c r="E64" s="616" t="s">
        <v>4185</v>
      </c>
      <c r="F64" s="619">
        <v>1</v>
      </c>
      <c r="G64" s="619">
        <v>1210</v>
      </c>
      <c r="H64" s="619">
        <v>1</v>
      </c>
      <c r="I64" s="619">
        <v>1210</v>
      </c>
      <c r="J64" s="619">
        <v>2</v>
      </c>
      <c r="K64" s="619">
        <v>2432</v>
      </c>
      <c r="L64" s="619">
        <v>2.009917355371901</v>
      </c>
      <c r="M64" s="619">
        <v>1216</v>
      </c>
      <c r="N64" s="619">
        <v>1</v>
      </c>
      <c r="O64" s="619">
        <v>1221</v>
      </c>
      <c r="P64" s="640">
        <v>1.009090909090909</v>
      </c>
      <c r="Q64" s="620">
        <v>1221</v>
      </c>
    </row>
    <row r="65" spans="1:17" ht="14.4" customHeight="1" x14ac:dyDescent="0.3">
      <c r="A65" s="615" t="s">
        <v>4120</v>
      </c>
      <c r="B65" s="616" t="s">
        <v>4121</v>
      </c>
      <c r="C65" s="616" t="s">
        <v>3011</v>
      </c>
      <c r="D65" s="616" t="s">
        <v>4186</v>
      </c>
      <c r="E65" s="616" t="s">
        <v>4187</v>
      </c>
      <c r="F65" s="619">
        <v>145</v>
      </c>
      <c r="G65" s="619">
        <v>113723</v>
      </c>
      <c r="H65" s="619">
        <v>1</v>
      </c>
      <c r="I65" s="619">
        <v>784.29655172413788</v>
      </c>
      <c r="J65" s="619">
        <v>228</v>
      </c>
      <c r="K65" s="619">
        <v>179208</v>
      </c>
      <c r="L65" s="619">
        <v>1.5758289879795644</v>
      </c>
      <c r="M65" s="619">
        <v>786</v>
      </c>
      <c r="N65" s="619">
        <v>295</v>
      </c>
      <c r="O65" s="619">
        <v>232165</v>
      </c>
      <c r="P65" s="640">
        <v>2.0414955637821723</v>
      </c>
      <c r="Q65" s="620">
        <v>787</v>
      </c>
    </row>
    <row r="66" spans="1:17" ht="14.4" customHeight="1" x14ac:dyDescent="0.3">
      <c r="A66" s="615" t="s">
        <v>4120</v>
      </c>
      <c r="B66" s="616" t="s">
        <v>4121</v>
      </c>
      <c r="C66" s="616" t="s">
        <v>3011</v>
      </c>
      <c r="D66" s="616" t="s">
        <v>4188</v>
      </c>
      <c r="E66" s="616" t="s">
        <v>4189</v>
      </c>
      <c r="F66" s="619">
        <v>1</v>
      </c>
      <c r="G66" s="619">
        <v>362</v>
      </c>
      <c r="H66" s="619">
        <v>1</v>
      </c>
      <c r="I66" s="619">
        <v>362</v>
      </c>
      <c r="J66" s="619"/>
      <c r="K66" s="619"/>
      <c r="L66" s="619"/>
      <c r="M66" s="619"/>
      <c r="N66" s="619"/>
      <c r="O66" s="619"/>
      <c r="P66" s="640"/>
      <c r="Q66" s="620"/>
    </row>
    <row r="67" spans="1:17" ht="14.4" customHeight="1" x14ac:dyDescent="0.3">
      <c r="A67" s="615" t="s">
        <v>4120</v>
      </c>
      <c r="B67" s="616" t="s">
        <v>4121</v>
      </c>
      <c r="C67" s="616" t="s">
        <v>3011</v>
      </c>
      <c r="D67" s="616" t="s">
        <v>4190</v>
      </c>
      <c r="E67" s="616" t="s">
        <v>4191</v>
      </c>
      <c r="F67" s="619"/>
      <c r="G67" s="619"/>
      <c r="H67" s="619"/>
      <c r="I67" s="619"/>
      <c r="J67" s="619">
        <v>3</v>
      </c>
      <c r="K67" s="619">
        <v>684</v>
      </c>
      <c r="L67" s="619"/>
      <c r="M67" s="619">
        <v>228</v>
      </c>
      <c r="N67" s="619">
        <v>1</v>
      </c>
      <c r="O67" s="619">
        <v>229</v>
      </c>
      <c r="P67" s="640"/>
      <c r="Q67" s="620">
        <v>229</v>
      </c>
    </row>
    <row r="68" spans="1:17" ht="14.4" customHeight="1" x14ac:dyDescent="0.3">
      <c r="A68" s="615" t="s">
        <v>4120</v>
      </c>
      <c r="B68" s="616" t="s">
        <v>4121</v>
      </c>
      <c r="C68" s="616" t="s">
        <v>3011</v>
      </c>
      <c r="D68" s="616" t="s">
        <v>4192</v>
      </c>
      <c r="E68" s="616" t="s">
        <v>4193</v>
      </c>
      <c r="F68" s="619">
        <v>1</v>
      </c>
      <c r="G68" s="619">
        <v>132</v>
      </c>
      <c r="H68" s="619">
        <v>1</v>
      </c>
      <c r="I68" s="619">
        <v>132</v>
      </c>
      <c r="J68" s="619">
        <v>3</v>
      </c>
      <c r="K68" s="619">
        <v>396</v>
      </c>
      <c r="L68" s="619">
        <v>3</v>
      </c>
      <c r="M68" s="619">
        <v>132</v>
      </c>
      <c r="N68" s="619">
        <v>2</v>
      </c>
      <c r="O68" s="619">
        <v>266</v>
      </c>
      <c r="P68" s="640">
        <v>2.0151515151515151</v>
      </c>
      <c r="Q68" s="620">
        <v>133</v>
      </c>
    </row>
    <row r="69" spans="1:17" ht="14.4" customHeight="1" x14ac:dyDescent="0.3">
      <c r="A69" s="615" t="s">
        <v>4120</v>
      </c>
      <c r="B69" s="616" t="s">
        <v>4121</v>
      </c>
      <c r="C69" s="616" t="s">
        <v>3011</v>
      </c>
      <c r="D69" s="616" t="s">
        <v>4194</v>
      </c>
      <c r="E69" s="616" t="s">
        <v>4195</v>
      </c>
      <c r="F69" s="619">
        <v>16</v>
      </c>
      <c r="G69" s="619">
        <v>1416</v>
      </c>
      <c r="H69" s="619">
        <v>1</v>
      </c>
      <c r="I69" s="619">
        <v>88.5</v>
      </c>
      <c r="J69" s="619">
        <v>9</v>
      </c>
      <c r="K69" s="619">
        <v>801</v>
      </c>
      <c r="L69" s="619">
        <v>0.56567796610169496</v>
      </c>
      <c r="M69" s="619">
        <v>89</v>
      </c>
      <c r="N69" s="619">
        <v>5</v>
      </c>
      <c r="O69" s="619">
        <v>445</v>
      </c>
      <c r="P69" s="640">
        <v>0.31426553672316382</v>
      </c>
      <c r="Q69" s="620">
        <v>89</v>
      </c>
    </row>
    <row r="70" spans="1:17" ht="14.4" customHeight="1" x14ac:dyDescent="0.3">
      <c r="A70" s="615" t="s">
        <v>4120</v>
      </c>
      <c r="B70" s="616" t="s">
        <v>4121</v>
      </c>
      <c r="C70" s="616" t="s">
        <v>3011</v>
      </c>
      <c r="D70" s="616" t="s">
        <v>4196</v>
      </c>
      <c r="E70" s="616" t="s">
        <v>4197</v>
      </c>
      <c r="F70" s="619">
        <v>1663</v>
      </c>
      <c r="G70" s="619">
        <v>49287</v>
      </c>
      <c r="H70" s="619">
        <v>1</v>
      </c>
      <c r="I70" s="619">
        <v>29.637402285027058</v>
      </c>
      <c r="J70" s="619">
        <v>1652</v>
      </c>
      <c r="K70" s="619">
        <v>49560</v>
      </c>
      <c r="L70" s="619">
        <v>1.0055389859394972</v>
      </c>
      <c r="M70" s="619">
        <v>30</v>
      </c>
      <c r="N70" s="619">
        <v>3621</v>
      </c>
      <c r="O70" s="619">
        <v>108630</v>
      </c>
      <c r="P70" s="640">
        <v>2.2040294601010411</v>
      </c>
      <c r="Q70" s="620">
        <v>30</v>
      </c>
    </row>
    <row r="71" spans="1:17" ht="14.4" customHeight="1" x14ac:dyDescent="0.3">
      <c r="A71" s="615" t="s">
        <v>4120</v>
      </c>
      <c r="B71" s="616" t="s">
        <v>4121</v>
      </c>
      <c r="C71" s="616" t="s">
        <v>3011</v>
      </c>
      <c r="D71" s="616" t="s">
        <v>4198</v>
      </c>
      <c r="E71" s="616" t="s">
        <v>4199</v>
      </c>
      <c r="F71" s="619">
        <v>3</v>
      </c>
      <c r="G71" s="619">
        <v>150</v>
      </c>
      <c r="H71" s="619">
        <v>1</v>
      </c>
      <c r="I71" s="619">
        <v>50</v>
      </c>
      <c r="J71" s="619">
        <v>2</v>
      </c>
      <c r="K71" s="619">
        <v>100</v>
      </c>
      <c r="L71" s="619">
        <v>0.66666666666666663</v>
      </c>
      <c r="M71" s="619">
        <v>50</v>
      </c>
      <c r="N71" s="619">
        <v>1</v>
      </c>
      <c r="O71" s="619">
        <v>50</v>
      </c>
      <c r="P71" s="640">
        <v>0.33333333333333331</v>
      </c>
      <c r="Q71" s="620">
        <v>50</v>
      </c>
    </row>
    <row r="72" spans="1:17" ht="14.4" customHeight="1" x14ac:dyDescent="0.3">
      <c r="A72" s="615" t="s">
        <v>4120</v>
      </c>
      <c r="B72" s="616" t="s">
        <v>4121</v>
      </c>
      <c r="C72" s="616" t="s">
        <v>3011</v>
      </c>
      <c r="D72" s="616" t="s">
        <v>4200</v>
      </c>
      <c r="E72" s="616" t="s">
        <v>4201</v>
      </c>
      <c r="F72" s="619">
        <v>263</v>
      </c>
      <c r="G72" s="619">
        <v>3156</v>
      </c>
      <c r="H72" s="619">
        <v>1</v>
      </c>
      <c r="I72" s="619">
        <v>12</v>
      </c>
      <c r="J72" s="619">
        <v>259</v>
      </c>
      <c r="K72" s="619">
        <v>3108</v>
      </c>
      <c r="L72" s="619">
        <v>0.98479087452471481</v>
      </c>
      <c r="M72" s="619">
        <v>12</v>
      </c>
      <c r="N72" s="619">
        <v>419</v>
      </c>
      <c r="O72" s="619">
        <v>5028</v>
      </c>
      <c r="P72" s="640">
        <v>1.5931558935361216</v>
      </c>
      <c r="Q72" s="620">
        <v>12</v>
      </c>
    </row>
    <row r="73" spans="1:17" ht="14.4" customHeight="1" x14ac:dyDescent="0.3">
      <c r="A73" s="615" t="s">
        <v>4120</v>
      </c>
      <c r="B73" s="616" t="s">
        <v>4121</v>
      </c>
      <c r="C73" s="616" t="s">
        <v>3011</v>
      </c>
      <c r="D73" s="616" t="s">
        <v>4202</v>
      </c>
      <c r="E73" s="616" t="s">
        <v>4203</v>
      </c>
      <c r="F73" s="619">
        <v>3</v>
      </c>
      <c r="G73" s="619">
        <v>545</v>
      </c>
      <c r="H73" s="619">
        <v>1</v>
      </c>
      <c r="I73" s="619">
        <v>181.66666666666666</v>
      </c>
      <c r="J73" s="619">
        <v>7</v>
      </c>
      <c r="K73" s="619">
        <v>1274</v>
      </c>
      <c r="L73" s="619">
        <v>2.3376146788990826</v>
      </c>
      <c r="M73" s="619">
        <v>182</v>
      </c>
      <c r="N73" s="619">
        <v>9</v>
      </c>
      <c r="O73" s="619">
        <v>1647</v>
      </c>
      <c r="P73" s="640">
        <v>3.022018348623853</v>
      </c>
      <c r="Q73" s="620">
        <v>183</v>
      </c>
    </row>
    <row r="74" spans="1:17" ht="14.4" customHeight="1" x14ac:dyDescent="0.3">
      <c r="A74" s="615" t="s">
        <v>4120</v>
      </c>
      <c r="B74" s="616" t="s">
        <v>4121</v>
      </c>
      <c r="C74" s="616" t="s">
        <v>3011</v>
      </c>
      <c r="D74" s="616" t="s">
        <v>4204</v>
      </c>
      <c r="E74" s="616" t="s">
        <v>4205</v>
      </c>
      <c r="F74" s="619">
        <v>825</v>
      </c>
      <c r="G74" s="619">
        <v>58591</v>
      </c>
      <c r="H74" s="619">
        <v>1</v>
      </c>
      <c r="I74" s="619">
        <v>71.019393939393936</v>
      </c>
      <c r="J74" s="619">
        <v>3</v>
      </c>
      <c r="K74" s="619">
        <v>216</v>
      </c>
      <c r="L74" s="619">
        <v>3.6865730231605536E-3</v>
      </c>
      <c r="M74" s="619">
        <v>72</v>
      </c>
      <c r="N74" s="619">
        <v>12</v>
      </c>
      <c r="O74" s="619">
        <v>876</v>
      </c>
      <c r="P74" s="640">
        <v>1.4951101705040023E-2</v>
      </c>
      <c r="Q74" s="620">
        <v>73</v>
      </c>
    </row>
    <row r="75" spans="1:17" ht="14.4" customHeight="1" x14ac:dyDescent="0.3">
      <c r="A75" s="615" t="s">
        <v>4120</v>
      </c>
      <c r="B75" s="616" t="s">
        <v>4121</v>
      </c>
      <c r="C75" s="616" t="s">
        <v>3011</v>
      </c>
      <c r="D75" s="616" t="s">
        <v>4206</v>
      </c>
      <c r="E75" s="616" t="s">
        <v>4207</v>
      </c>
      <c r="F75" s="619"/>
      <c r="G75" s="619"/>
      <c r="H75" s="619"/>
      <c r="I75" s="619"/>
      <c r="J75" s="619">
        <v>4</v>
      </c>
      <c r="K75" s="619">
        <v>732</v>
      </c>
      <c r="L75" s="619"/>
      <c r="M75" s="619">
        <v>183</v>
      </c>
      <c r="N75" s="619">
        <v>3</v>
      </c>
      <c r="O75" s="619">
        <v>552</v>
      </c>
      <c r="P75" s="640"/>
      <c r="Q75" s="620">
        <v>184</v>
      </c>
    </row>
    <row r="76" spans="1:17" ht="14.4" customHeight="1" x14ac:dyDescent="0.3">
      <c r="A76" s="615" t="s">
        <v>4120</v>
      </c>
      <c r="B76" s="616" t="s">
        <v>4121</v>
      </c>
      <c r="C76" s="616" t="s">
        <v>3011</v>
      </c>
      <c r="D76" s="616" t="s">
        <v>4208</v>
      </c>
      <c r="E76" s="616" t="s">
        <v>4209</v>
      </c>
      <c r="F76" s="619"/>
      <c r="G76" s="619"/>
      <c r="H76" s="619"/>
      <c r="I76" s="619"/>
      <c r="J76" s="619">
        <v>1</v>
      </c>
      <c r="K76" s="619">
        <v>1268</v>
      </c>
      <c r="L76" s="619"/>
      <c r="M76" s="619">
        <v>1268</v>
      </c>
      <c r="N76" s="619">
        <v>2</v>
      </c>
      <c r="O76" s="619">
        <v>2566</v>
      </c>
      <c r="P76" s="640"/>
      <c r="Q76" s="620">
        <v>1283</v>
      </c>
    </row>
    <row r="77" spans="1:17" ht="14.4" customHeight="1" x14ac:dyDescent="0.3">
      <c r="A77" s="615" t="s">
        <v>4120</v>
      </c>
      <c r="B77" s="616" t="s">
        <v>4121</v>
      </c>
      <c r="C77" s="616" t="s">
        <v>3011</v>
      </c>
      <c r="D77" s="616" t="s">
        <v>4210</v>
      </c>
      <c r="E77" s="616" t="s">
        <v>4211</v>
      </c>
      <c r="F77" s="619">
        <v>1152</v>
      </c>
      <c r="G77" s="619">
        <v>170063</v>
      </c>
      <c r="H77" s="619">
        <v>1</v>
      </c>
      <c r="I77" s="619">
        <v>147.62413194444446</v>
      </c>
      <c r="J77" s="619">
        <v>1259</v>
      </c>
      <c r="K77" s="619">
        <v>186332</v>
      </c>
      <c r="L77" s="619">
        <v>1.0956645478440343</v>
      </c>
      <c r="M77" s="619">
        <v>148</v>
      </c>
      <c r="N77" s="619">
        <v>1321</v>
      </c>
      <c r="O77" s="619">
        <v>196829</v>
      </c>
      <c r="P77" s="640">
        <v>1.15738873241093</v>
      </c>
      <c r="Q77" s="620">
        <v>149</v>
      </c>
    </row>
    <row r="78" spans="1:17" ht="14.4" customHeight="1" x14ac:dyDescent="0.3">
      <c r="A78" s="615" t="s">
        <v>4120</v>
      </c>
      <c r="B78" s="616" t="s">
        <v>4121</v>
      </c>
      <c r="C78" s="616" t="s">
        <v>3011</v>
      </c>
      <c r="D78" s="616" t="s">
        <v>4212</v>
      </c>
      <c r="E78" s="616" t="s">
        <v>4213</v>
      </c>
      <c r="F78" s="619">
        <v>2876</v>
      </c>
      <c r="G78" s="619">
        <v>85133</v>
      </c>
      <c r="H78" s="619">
        <v>1</v>
      </c>
      <c r="I78" s="619">
        <v>29.601182197496524</v>
      </c>
      <c r="J78" s="619">
        <v>2599</v>
      </c>
      <c r="K78" s="619">
        <v>77970</v>
      </c>
      <c r="L78" s="619">
        <v>0.91586106445209259</v>
      </c>
      <c r="M78" s="619">
        <v>30</v>
      </c>
      <c r="N78" s="619">
        <v>3765</v>
      </c>
      <c r="O78" s="619">
        <v>112950</v>
      </c>
      <c r="P78" s="640">
        <v>1.3267475597007037</v>
      </c>
      <c r="Q78" s="620">
        <v>30</v>
      </c>
    </row>
    <row r="79" spans="1:17" ht="14.4" customHeight="1" x14ac:dyDescent="0.3">
      <c r="A79" s="615" t="s">
        <v>4120</v>
      </c>
      <c r="B79" s="616" t="s">
        <v>4121</v>
      </c>
      <c r="C79" s="616" t="s">
        <v>3011</v>
      </c>
      <c r="D79" s="616" t="s">
        <v>4214</v>
      </c>
      <c r="E79" s="616" t="s">
        <v>4215</v>
      </c>
      <c r="F79" s="619">
        <v>171</v>
      </c>
      <c r="G79" s="619">
        <v>5301</v>
      </c>
      <c r="H79" s="619">
        <v>1</v>
      </c>
      <c r="I79" s="619">
        <v>31</v>
      </c>
      <c r="J79" s="619">
        <v>131</v>
      </c>
      <c r="K79" s="619">
        <v>4061</v>
      </c>
      <c r="L79" s="619">
        <v>0.76608187134502925</v>
      </c>
      <c r="M79" s="619">
        <v>31</v>
      </c>
      <c r="N79" s="619">
        <v>182</v>
      </c>
      <c r="O79" s="619">
        <v>5642</v>
      </c>
      <c r="P79" s="640">
        <v>1.064327485380117</v>
      </c>
      <c r="Q79" s="620">
        <v>31</v>
      </c>
    </row>
    <row r="80" spans="1:17" ht="14.4" customHeight="1" x14ac:dyDescent="0.3">
      <c r="A80" s="615" t="s">
        <v>4120</v>
      </c>
      <c r="B80" s="616" t="s">
        <v>4121</v>
      </c>
      <c r="C80" s="616" t="s">
        <v>3011</v>
      </c>
      <c r="D80" s="616" t="s">
        <v>4216</v>
      </c>
      <c r="E80" s="616" t="s">
        <v>4217</v>
      </c>
      <c r="F80" s="619">
        <v>202</v>
      </c>
      <c r="G80" s="619">
        <v>5454</v>
      </c>
      <c r="H80" s="619">
        <v>1</v>
      </c>
      <c r="I80" s="619">
        <v>27</v>
      </c>
      <c r="J80" s="619">
        <v>146</v>
      </c>
      <c r="K80" s="619">
        <v>3942</v>
      </c>
      <c r="L80" s="619">
        <v>0.72277227722772275</v>
      </c>
      <c r="M80" s="619">
        <v>27</v>
      </c>
      <c r="N80" s="619">
        <v>230</v>
      </c>
      <c r="O80" s="619">
        <v>6210</v>
      </c>
      <c r="P80" s="640">
        <v>1.1386138613861385</v>
      </c>
      <c r="Q80" s="620">
        <v>27</v>
      </c>
    </row>
    <row r="81" spans="1:17" ht="14.4" customHeight="1" x14ac:dyDescent="0.3">
      <c r="A81" s="615" t="s">
        <v>4120</v>
      </c>
      <c r="B81" s="616" t="s">
        <v>4121</v>
      </c>
      <c r="C81" s="616" t="s">
        <v>3011</v>
      </c>
      <c r="D81" s="616" t="s">
        <v>4218</v>
      </c>
      <c r="E81" s="616" t="s">
        <v>4219</v>
      </c>
      <c r="F81" s="619">
        <v>1</v>
      </c>
      <c r="G81" s="619">
        <v>255</v>
      </c>
      <c r="H81" s="619">
        <v>1</v>
      </c>
      <c r="I81" s="619">
        <v>255</v>
      </c>
      <c r="J81" s="619">
        <v>1</v>
      </c>
      <c r="K81" s="619">
        <v>255</v>
      </c>
      <c r="L81" s="619">
        <v>1</v>
      </c>
      <c r="M81" s="619">
        <v>255</v>
      </c>
      <c r="N81" s="619"/>
      <c r="O81" s="619"/>
      <c r="P81" s="640"/>
      <c r="Q81" s="620"/>
    </row>
    <row r="82" spans="1:17" ht="14.4" customHeight="1" x14ac:dyDescent="0.3">
      <c r="A82" s="615" t="s">
        <v>4120</v>
      </c>
      <c r="B82" s="616" t="s">
        <v>4121</v>
      </c>
      <c r="C82" s="616" t="s">
        <v>3011</v>
      </c>
      <c r="D82" s="616" t="s">
        <v>4220</v>
      </c>
      <c r="E82" s="616" t="s">
        <v>4221</v>
      </c>
      <c r="F82" s="619">
        <v>1</v>
      </c>
      <c r="G82" s="619">
        <v>22</v>
      </c>
      <c r="H82" s="619">
        <v>1</v>
      </c>
      <c r="I82" s="619">
        <v>22</v>
      </c>
      <c r="J82" s="619">
        <v>4</v>
      </c>
      <c r="K82" s="619">
        <v>88</v>
      </c>
      <c r="L82" s="619">
        <v>4</v>
      </c>
      <c r="M82" s="619">
        <v>22</v>
      </c>
      <c r="N82" s="619">
        <v>6</v>
      </c>
      <c r="O82" s="619">
        <v>132</v>
      </c>
      <c r="P82" s="640">
        <v>6</v>
      </c>
      <c r="Q82" s="620">
        <v>22</v>
      </c>
    </row>
    <row r="83" spans="1:17" ht="14.4" customHeight="1" x14ac:dyDescent="0.3">
      <c r="A83" s="615" t="s">
        <v>4120</v>
      </c>
      <c r="B83" s="616" t="s">
        <v>4121</v>
      </c>
      <c r="C83" s="616" t="s">
        <v>3011</v>
      </c>
      <c r="D83" s="616" t="s">
        <v>4222</v>
      </c>
      <c r="E83" s="616" t="s">
        <v>4223</v>
      </c>
      <c r="F83" s="619"/>
      <c r="G83" s="619"/>
      <c r="H83" s="619"/>
      <c r="I83" s="619"/>
      <c r="J83" s="619">
        <v>1</v>
      </c>
      <c r="K83" s="619">
        <v>862</v>
      </c>
      <c r="L83" s="619"/>
      <c r="M83" s="619">
        <v>862</v>
      </c>
      <c r="N83" s="619"/>
      <c r="O83" s="619"/>
      <c r="P83" s="640"/>
      <c r="Q83" s="620"/>
    </row>
    <row r="84" spans="1:17" ht="14.4" customHeight="1" x14ac:dyDescent="0.3">
      <c r="A84" s="615" t="s">
        <v>4120</v>
      </c>
      <c r="B84" s="616" t="s">
        <v>4121</v>
      </c>
      <c r="C84" s="616" t="s">
        <v>3011</v>
      </c>
      <c r="D84" s="616" t="s">
        <v>4224</v>
      </c>
      <c r="E84" s="616" t="s">
        <v>4225</v>
      </c>
      <c r="F84" s="619">
        <v>1010</v>
      </c>
      <c r="G84" s="619">
        <v>25250</v>
      </c>
      <c r="H84" s="619">
        <v>1</v>
      </c>
      <c r="I84" s="619">
        <v>25</v>
      </c>
      <c r="J84" s="619">
        <v>948</v>
      </c>
      <c r="K84" s="619">
        <v>23700</v>
      </c>
      <c r="L84" s="619">
        <v>0.93861386138613856</v>
      </c>
      <c r="M84" s="619">
        <v>25</v>
      </c>
      <c r="N84" s="619">
        <v>1107</v>
      </c>
      <c r="O84" s="619">
        <v>27675</v>
      </c>
      <c r="P84" s="640">
        <v>1.0960396039603961</v>
      </c>
      <c r="Q84" s="620">
        <v>25</v>
      </c>
    </row>
    <row r="85" spans="1:17" ht="14.4" customHeight="1" x14ac:dyDescent="0.3">
      <c r="A85" s="615" t="s">
        <v>4120</v>
      </c>
      <c r="B85" s="616" t="s">
        <v>4121</v>
      </c>
      <c r="C85" s="616" t="s">
        <v>3011</v>
      </c>
      <c r="D85" s="616" t="s">
        <v>4226</v>
      </c>
      <c r="E85" s="616" t="s">
        <v>4227</v>
      </c>
      <c r="F85" s="619">
        <v>12</v>
      </c>
      <c r="G85" s="619">
        <v>396</v>
      </c>
      <c r="H85" s="619">
        <v>1</v>
      </c>
      <c r="I85" s="619">
        <v>33</v>
      </c>
      <c r="J85" s="619">
        <v>9</v>
      </c>
      <c r="K85" s="619">
        <v>297</v>
      </c>
      <c r="L85" s="619">
        <v>0.75</v>
      </c>
      <c r="M85" s="619">
        <v>33</v>
      </c>
      <c r="N85" s="619">
        <v>17</v>
      </c>
      <c r="O85" s="619">
        <v>561</v>
      </c>
      <c r="P85" s="640">
        <v>1.4166666666666667</v>
      </c>
      <c r="Q85" s="620">
        <v>33</v>
      </c>
    </row>
    <row r="86" spans="1:17" ht="14.4" customHeight="1" x14ac:dyDescent="0.3">
      <c r="A86" s="615" t="s">
        <v>4120</v>
      </c>
      <c r="B86" s="616" t="s">
        <v>4121</v>
      </c>
      <c r="C86" s="616" t="s">
        <v>3011</v>
      </c>
      <c r="D86" s="616" t="s">
        <v>4228</v>
      </c>
      <c r="E86" s="616" t="s">
        <v>4229</v>
      </c>
      <c r="F86" s="619">
        <v>1</v>
      </c>
      <c r="G86" s="619">
        <v>30</v>
      </c>
      <c r="H86" s="619">
        <v>1</v>
      </c>
      <c r="I86" s="619">
        <v>30</v>
      </c>
      <c r="J86" s="619"/>
      <c r="K86" s="619"/>
      <c r="L86" s="619"/>
      <c r="M86" s="619"/>
      <c r="N86" s="619"/>
      <c r="O86" s="619"/>
      <c r="P86" s="640"/>
      <c r="Q86" s="620"/>
    </row>
    <row r="87" spans="1:17" ht="14.4" customHeight="1" x14ac:dyDescent="0.3">
      <c r="A87" s="615" t="s">
        <v>4120</v>
      </c>
      <c r="B87" s="616" t="s">
        <v>4121</v>
      </c>
      <c r="C87" s="616" t="s">
        <v>3011</v>
      </c>
      <c r="D87" s="616" t="s">
        <v>4230</v>
      </c>
      <c r="E87" s="616" t="s">
        <v>4231</v>
      </c>
      <c r="F87" s="619"/>
      <c r="G87" s="619"/>
      <c r="H87" s="619"/>
      <c r="I87" s="619"/>
      <c r="J87" s="619">
        <v>1</v>
      </c>
      <c r="K87" s="619">
        <v>80</v>
      </c>
      <c r="L87" s="619"/>
      <c r="M87" s="619">
        <v>80</v>
      </c>
      <c r="N87" s="619">
        <v>1</v>
      </c>
      <c r="O87" s="619">
        <v>80</v>
      </c>
      <c r="P87" s="640"/>
      <c r="Q87" s="620">
        <v>80</v>
      </c>
    </row>
    <row r="88" spans="1:17" ht="14.4" customHeight="1" x14ac:dyDescent="0.3">
      <c r="A88" s="615" t="s">
        <v>4120</v>
      </c>
      <c r="B88" s="616" t="s">
        <v>4121</v>
      </c>
      <c r="C88" s="616" t="s">
        <v>3011</v>
      </c>
      <c r="D88" s="616" t="s">
        <v>4232</v>
      </c>
      <c r="E88" s="616" t="s">
        <v>4233</v>
      </c>
      <c r="F88" s="619">
        <v>292</v>
      </c>
      <c r="G88" s="619">
        <v>7592</v>
      </c>
      <c r="H88" s="619">
        <v>1</v>
      </c>
      <c r="I88" s="619">
        <v>26</v>
      </c>
      <c r="J88" s="619">
        <v>276</v>
      </c>
      <c r="K88" s="619">
        <v>7176</v>
      </c>
      <c r="L88" s="619">
        <v>0.9452054794520548</v>
      </c>
      <c r="M88" s="619">
        <v>26</v>
      </c>
      <c r="N88" s="619">
        <v>347</v>
      </c>
      <c r="O88" s="619">
        <v>9022</v>
      </c>
      <c r="P88" s="640">
        <v>1.1883561643835616</v>
      </c>
      <c r="Q88" s="620">
        <v>26</v>
      </c>
    </row>
    <row r="89" spans="1:17" ht="14.4" customHeight="1" x14ac:dyDescent="0.3">
      <c r="A89" s="615" t="s">
        <v>4120</v>
      </c>
      <c r="B89" s="616" t="s">
        <v>4121</v>
      </c>
      <c r="C89" s="616" t="s">
        <v>3011</v>
      </c>
      <c r="D89" s="616" t="s">
        <v>4234</v>
      </c>
      <c r="E89" s="616" t="s">
        <v>4235</v>
      </c>
      <c r="F89" s="619">
        <v>81</v>
      </c>
      <c r="G89" s="619">
        <v>6804</v>
      </c>
      <c r="H89" s="619">
        <v>1</v>
      </c>
      <c r="I89" s="619">
        <v>84</v>
      </c>
      <c r="J89" s="619">
        <v>88</v>
      </c>
      <c r="K89" s="619">
        <v>7392</v>
      </c>
      <c r="L89" s="619">
        <v>1.0864197530864197</v>
      </c>
      <c r="M89" s="619">
        <v>84</v>
      </c>
      <c r="N89" s="619">
        <v>122</v>
      </c>
      <c r="O89" s="619">
        <v>10248</v>
      </c>
      <c r="P89" s="640">
        <v>1.5061728395061729</v>
      </c>
      <c r="Q89" s="620">
        <v>84</v>
      </c>
    </row>
    <row r="90" spans="1:17" ht="14.4" customHeight="1" x14ac:dyDescent="0.3">
      <c r="A90" s="615" t="s">
        <v>4120</v>
      </c>
      <c r="B90" s="616" t="s">
        <v>4121</v>
      </c>
      <c r="C90" s="616" t="s">
        <v>3011</v>
      </c>
      <c r="D90" s="616" t="s">
        <v>4236</v>
      </c>
      <c r="E90" s="616" t="s">
        <v>4237</v>
      </c>
      <c r="F90" s="619">
        <v>3</v>
      </c>
      <c r="G90" s="619">
        <v>524</v>
      </c>
      <c r="H90" s="619">
        <v>1</v>
      </c>
      <c r="I90" s="619">
        <v>174.66666666666666</v>
      </c>
      <c r="J90" s="619">
        <v>8</v>
      </c>
      <c r="K90" s="619">
        <v>1400</v>
      </c>
      <c r="L90" s="619">
        <v>2.6717557251908395</v>
      </c>
      <c r="M90" s="619">
        <v>175</v>
      </c>
      <c r="N90" s="619">
        <v>12</v>
      </c>
      <c r="O90" s="619">
        <v>2112</v>
      </c>
      <c r="P90" s="640">
        <v>4.0305343511450378</v>
      </c>
      <c r="Q90" s="620">
        <v>176</v>
      </c>
    </row>
    <row r="91" spans="1:17" ht="14.4" customHeight="1" x14ac:dyDescent="0.3">
      <c r="A91" s="615" t="s">
        <v>4120</v>
      </c>
      <c r="B91" s="616" t="s">
        <v>4121</v>
      </c>
      <c r="C91" s="616" t="s">
        <v>3011</v>
      </c>
      <c r="D91" s="616" t="s">
        <v>4238</v>
      </c>
      <c r="E91" s="616" t="s">
        <v>4239</v>
      </c>
      <c r="F91" s="619"/>
      <c r="G91" s="619"/>
      <c r="H91" s="619"/>
      <c r="I91" s="619"/>
      <c r="J91" s="619">
        <v>2</v>
      </c>
      <c r="K91" s="619">
        <v>504</v>
      </c>
      <c r="L91" s="619"/>
      <c r="M91" s="619">
        <v>252</v>
      </c>
      <c r="N91" s="619"/>
      <c r="O91" s="619"/>
      <c r="P91" s="640"/>
      <c r="Q91" s="620"/>
    </row>
    <row r="92" spans="1:17" ht="14.4" customHeight="1" x14ac:dyDescent="0.3">
      <c r="A92" s="615" t="s">
        <v>4120</v>
      </c>
      <c r="B92" s="616" t="s">
        <v>4121</v>
      </c>
      <c r="C92" s="616" t="s">
        <v>3011</v>
      </c>
      <c r="D92" s="616" t="s">
        <v>4240</v>
      </c>
      <c r="E92" s="616" t="s">
        <v>4241</v>
      </c>
      <c r="F92" s="619">
        <v>129</v>
      </c>
      <c r="G92" s="619">
        <v>1935</v>
      </c>
      <c r="H92" s="619">
        <v>1</v>
      </c>
      <c r="I92" s="619">
        <v>15</v>
      </c>
      <c r="J92" s="619">
        <v>117</v>
      </c>
      <c r="K92" s="619">
        <v>1755</v>
      </c>
      <c r="L92" s="619">
        <v>0.90697674418604646</v>
      </c>
      <c r="M92" s="619">
        <v>15</v>
      </c>
      <c r="N92" s="619">
        <v>121</v>
      </c>
      <c r="O92" s="619">
        <v>1815</v>
      </c>
      <c r="P92" s="640">
        <v>0.93798449612403101</v>
      </c>
      <c r="Q92" s="620">
        <v>15</v>
      </c>
    </row>
    <row r="93" spans="1:17" ht="14.4" customHeight="1" x14ac:dyDescent="0.3">
      <c r="A93" s="615" t="s">
        <v>4120</v>
      </c>
      <c r="B93" s="616" t="s">
        <v>4121</v>
      </c>
      <c r="C93" s="616" t="s">
        <v>3011</v>
      </c>
      <c r="D93" s="616" t="s">
        <v>4242</v>
      </c>
      <c r="E93" s="616" t="s">
        <v>4243</v>
      </c>
      <c r="F93" s="619">
        <v>66</v>
      </c>
      <c r="G93" s="619">
        <v>1518</v>
      </c>
      <c r="H93" s="619">
        <v>1</v>
      </c>
      <c r="I93" s="619">
        <v>23</v>
      </c>
      <c r="J93" s="619">
        <v>83</v>
      </c>
      <c r="K93" s="619">
        <v>1909</v>
      </c>
      <c r="L93" s="619">
        <v>1.2575757575757576</v>
      </c>
      <c r="M93" s="619">
        <v>23</v>
      </c>
      <c r="N93" s="619">
        <v>77</v>
      </c>
      <c r="O93" s="619">
        <v>1771</v>
      </c>
      <c r="P93" s="640">
        <v>1.1666666666666667</v>
      </c>
      <c r="Q93" s="620">
        <v>23</v>
      </c>
    </row>
    <row r="94" spans="1:17" ht="14.4" customHeight="1" x14ac:dyDescent="0.3">
      <c r="A94" s="615" t="s">
        <v>4120</v>
      </c>
      <c r="B94" s="616" t="s">
        <v>4121</v>
      </c>
      <c r="C94" s="616" t="s">
        <v>3011</v>
      </c>
      <c r="D94" s="616" t="s">
        <v>4244</v>
      </c>
      <c r="E94" s="616" t="s">
        <v>4245</v>
      </c>
      <c r="F94" s="619"/>
      <c r="G94" s="619"/>
      <c r="H94" s="619"/>
      <c r="I94" s="619"/>
      <c r="J94" s="619">
        <v>2</v>
      </c>
      <c r="K94" s="619">
        <v>502</v>
      </c>
      <c r="L94" s="619"/>
      <c r="M94" s="619">
        <v>251</v>
      </c>
      <c r="N94" s="619"/>
      <c r="O94" s="619"/>
      <c r="P94" s="640"/>
      <c r="Q94" s="620"/>
    </row>
    <row r="95" spans="1:17" ht="14.4" customHeight="1" x14ac:dyDescent="0.3">
      <c r="A95" s="615" t="s">
        <v>4120</v>
      </c>
      <c r="B95" s="616" t="s">
        <v>4121</v>
      </c>
      <c r="C95" s="616" t="s">
        <v>3011</v>
      </c>
      <c r="D95" s="616" t="s">
        <v>4246</v>
      </c>
      <c r="E95" s="616" t="s">
        <v>4247</v>
      </c>
      <c r="F95" s="619">
        <v>286</v>
      </c>
      <c r="G95" s="619">
        <v>10582</v>
      </c>
      <c r="H95" s="619">
        <v>1</v>
      </c>
      <c r="I95" s="619">
        <v>37</v>
      </c>
      <c r="J95" s="619">
        <v>153</v>
      </c>
      <c r="K95" s="619">
        <v>5661</v>
      </c>
      <c r="L95" s="619">
        <v>0.534965034965035</v>
      </c>
      <c r="M95" s="619">
        <v>37</v>
      </c>
      <c r="N95" s="619">
        <v>234</v>
      </c>
      <c r="O95" s="619">
        <v>8658</v>
      </c>
      <c r="P95" s="640">
        <v>0.81818181818181823</v>
      </c>
      <c r="Q95" s="620">
        <v>37</v>
      </c>
    </row>
    <row r="96" spans="1:17" ht="14.4" customHeight="1" x14ac:dyDescent="0.3">
      <c r="A96" s="615" t="s">
        <v>4120</v>
      </c>
      <c r="B96" s="616" t="s">
        <v>4121</v>
      </c>
      <c r="C96" s="616" t="s">
        <v>3011</v>
      </c>
      <c r="D96" s="616" t="s">
        <v>4248</v>
      </c>
      <c r="E96" s="616" t="s">
        <v>4249</v>
      </c>
      <c r="F96" s="619">
        <v>1854</v>
      </c>
      <c r="G96" s="619">
        <v>42642</v>
      </c>
      <c r="H96" s="619">
        <v>1</v>
      </c>
      <c r="I96" s="619">
        <v>23</v>
      </c>
      <c r="J96" s="619">
        <v>2335</v>
      </c>
      <c r="K96" s="619">
        <v>53705</v>
      </c>
      <c r="L96" s="619">
        <v>1.2594390507011866</v>
      </c>
      <c r="M96" s="619">
        <v>23</v>
      </c>
      <c r="N96" s="619">
        <v>3504</v>
      </c>
      <c r="O96" s="619">
        <v>80592</v>
      </c>
      <c r="P96" s="640">
        <v>1.889967637540453</v>
      </c>
      <c r="Q96" s="620">
        <v>23</v>
      </c>
    </row>
    <row r="97" spans="1:17" ht="14.4" customHeight="1" x14ac:dyDescent="0.3">
      <c r="A97" s="615" t="s">
        <v>4120</v>
      </c>
      <c r="B97" s="616" t="s">
        <v>4121</v>
      </c>
      <c r="C97" s="616" t="s">
        <v>3011</v>
      </c>
      <c r="D97" s="616" t="s">
        <v>4250</v>
      </c>
      <c r="E97" s="616" t="s">
        <v>4251</v>
      </c>
      <c r="F97" s="619"/>
      <c r="G97" s="619"/>
      <c r="H97" s="619"/>
      <c r="I97" s="619"/>
      <c r="J97" s="619"/>
      <c r="K97" s="619"/>
      <c r="L97" s="619"/>
      <c r="M97" s="619"/>
      <c r="N97" s="619">
        <v>1</v>
      </c>
      <c r="O97" s="619">
        <v>171</v>
      </c>
      <c r="P97" s="640"/>
      <c r="Q97" s="620">
        <v>171</v>
      </c>
    </row>
    <row r="98" spans="1:17" ht="14.4" customHeight="1" x14ac:dyDescent="0.3">
      <c r="A98" s="615" t="s">
        <v>4120</v>
      </c>
      <c r="B98" s="616" t="s">
        <v>4121</v>
      </c>
      <c r="C98" s="616" t="s">
        <v>3011</v>
      </c>
      <c r="D98" s="616" t="s">
        <v>4252</v>
      </c>
      <c r="E98" s="616" t="s">
        <v>4253</v>
      </c>
      <c r="F98" s="619"/>
      <c r="G98" s="619"/>
      <c r="H98" s="619"/>
      <c r="I98" s="619"/>
      <c r="J98" s="619">
        <v>2</v>
      </c>
      <c r="K98" s="619">
        <v>662</v>
      </c>
      <c r="L98" s="619"/>
      <c r="M98" s="619">
        <v>331</v>
      </c>
      <c r="N98" s="619"/>
      <c r="O98" s="619"/>
      <c r="P98" s="640"/>
      <c r="Q98" s="620"/>
    </row>
    <row r="99" spans="1:17" ht="14.4" customHeight="1" x14ac:dyDescent="0.3">
      <c r="A99" s="615" t="s">
        <v>4120</v>
      </c>
      <c r="B99" s="616" t="s">
        <v>4121</v>
      </c>
      <c r="C99" s="616" t="s">
        <v>3011</v>
      </c>
      <c r="D99" s="616" t="s">
        <v>4254</v>
      </c>
      <c r="E99" s="616" t="s">
        <v>4255</v>
      </c>
      <c r="F99" s="619">
        <v>122</v>
      </c>
      <c r="G99" s="619">
        <v>3538</v>
      </c>
      <c r="H99" s="619">
        <v>1</v>
      </c>
      <c r="I99" s="619">
        <v>29</v>
      </c>
      <c r="J99" s="619">
        <v>136</v>
      </c>
      <c r="K99" s="619">
        <v>3944</v>
      </c>
      <c r="L99" s="619">
        <v>1.1147540983606556</v>
      </c>
      <c r="M99" s="619">
        <v>29</v>
      </c>
      <c r="N99" s="619">
        <v>111</v>
      </c>
      <c r="O99" s="619">
        <v>3219</v>
      </c>
      <c r="P99" s="640">
        <v>0.9098360655737705</v>
      </c>
      <c r="Q99" s="620">
        <v>29</v>
      </c>
    </row>
    <row r="100" spans="1:17" ht="14.4" customHeight="1" x14ac:dyDescent="0.3">
      <c r="A100" s="615" t="s">
        <v>4120</v>
      </c>
      <c r="B100" s="616" t="s">
        <v>4121</v>
      </c>
      <c r="C100" s="616" t="s">
        <v>3011</v>
      </c>
      <c r="D100" s="616" t="s">
        <v>4256</v>
      </c>
      <c r="E100" s="616" t="s">
        <v>4257</v>
      </c>
      <c r="F100" s="619">
        <v>464</v>
      </c>
      <c r="G100" s="619">
        <v>81952</v>
      </c>
      <c r="H100" s="619">
        <v>1</v>
      </c>
      <c r="I100" s="619">
        <v>176.62068965517241</v>
      </c>
      <c r="J100" s="619">
        <v>429</v>
      </c>
      <c r="K100" s="619">
        <v>75933</v>
      </c>
      <c r="L100" s="619">
        <v>0.92655456852791873</v>
      </c>
      <c r="M100" s="619">
        <v>177</v>
      </c>
      <c r="N100" s="619">
        <v>492</v>
      </c>
      <c r="O100" s="619">
        <v>87576</v>
      </c>
      <c r="P100" s="640">
        <v>1.0686255368996487</v>
      </c>
      <c r="Q100" s="620">
        <v>178</v>
      </c>
    </row>
    <row r="101" spans="1:17" ht="14.4" customHeight="1" x14ac:dyDescent="0.3">
      <c r="A101" s="615" t="s">
        <v>4120</v>
      </c>
      <c r="B101" s="616" t="s">
        <v>4121</v>
      </c>
      <c r="C101" s="616" t="s">
        <v>3011</v>
      </c>
      <c r="D101" s="616" t="s">
        <v>4258</v>
      </c>
      <c r="E101" s="616" t="s">
        <v>4259</v>
      </c>
      <c r="F101" s="619">
        <v>2</v>
      </c>
      <c r="G101" s="619">
        <v>30</v>
      </c>
      <c r="H101" s="619">
        <v>1</v>
      </c>
      <c r="I101" s="619">
        <v>15</v>
      </c>
      <c r="J101" s="619">
        <v>2</v>
      </c>
      <c r="K101" s="619">
        <v>30</v>
      </c>
      <c r="L101" s="619">
        <v>1</v>
      </c>
      <c r="M101" s="619">
        <v>15</v>
      </c>
      <c r="N101" s="619">
        <v>6</v>
      </c>
      <c r="O101" s="619">
        <v>90</v>
      </c>
      <c r="P101" s="640">
        <v>3</v>
      </c>
      <c r="Q101" s="620">
        <v>15</v>
      </c>
    </row>
    <row r="102" spans="1:17" ht="14.4" customHeight="1" x14ac:dyDescent="0.3">
      <c r="A102" s="615" t="s">
        <v>4120</v>
      </c>
      <c r="B102" s="616" t="s">
        <v>4121</v>
      </c>
      <c r="C102" s="616" t="s">
        <v>3011</v>
      </c>
      <c r="D102" s="616" t="s">
        <v>4260</v>
      </c>
      <c r="E102" s="616" t="s">
        <v>4261</v>
      </c>
      <c r="F102" s="619">
        <v>282</v>
      </c>
      <c r="G102" s="619">
        <v>5358</v>
      </c>
      <c r="H102" s="619">
        <v>1</v>
      </c>
      <c r="I102" s="619">
        <v>19</v>
      </c>
      <c r="J102" s="619">
        <v>256</v>
      </c>
      <c r="K102" s="619">
        <v>4864</v>
      </c>
      <c r="L102" s="619">
        <v>0.90780141843971629</v>
      </c>
      <c r="M102" s="619">
        <v>19</v>
      </c>
      <c r="N102" s="619">
        <v>126</v>
      </c>
      <c r="O102" s="619">
        <v>2394</v>
      </c>
      <c r="P102" s="640">
        <v>0.44680851063829785</v>
      </c>
      <c r="Q102" s="620">
        <v>19</v>
      </c>
    </row>
    <row r="103" spans="1:17" ht="14.4" customHeight="1" x14ac:dyDescent="0.3">
      <c r="A103" s="615" t="s">
        <v>4120</v>
      </c>
      <c r="B103" s="616" t="s">
        <v>4121</v>
      </c>
      <c r="C103" s="616" t="s">
        <v>3011</v>
      </c>
      <c r="D103" s="616" t="s">
        <v>4262</v>
      </c>
      <c r="E103" s="616" t="s">
        <v>4263</v>
      </c>
      <c r="F103" s="619">
        <v>630</v>
      </c>
      <c r="G103" s="619">
        <v>12600</v>
      </c>
      <c r="H103" s="619">
        <v>1</v>
      </c>
      <c r="I103" s="619">
        <v>20</v>
      </c>
      <c r="J103" s="619">
        <v>611</v>
      </c>
      <c r="K103" s="619">
        <v>12220</v>
      </c>
      <c r="L103" s="619">
        <v>0.96984126984126984</v>
      </c>
      <c r="M103" s="619">
        <v>20</v>
      </c>
      <c r="N103" s="619">
        <v>722</v>
      </c>
      <c r="O103" s="619">
        <v>14440</v>
      </c>
      <c r="P103" s="640">
        <v>1.146031746031746</v>
      </c>
      <c r="Q103" s="620">
        <v>20</v>
      </c>
    </row>
    <row r="104" spans="1:17" ht="14.4" customHeight="1" x14ac:dyDescent="0.3">
      <c r="A104" s="615" t="s">
        <v>4120</v>
      </c>
      <c r="B104" s="616" t="s">
        <v>4121</v>
      </c>
      <c r="C104" s="616" t="s">
        <v>3011</v>
      </c>
      <c r="D104" s="616" t="s">
        <v>4264</v>
      </c>
      <c r="E104" s="616" t="s">
        <v>4265</v>
      </c>
      <c r="F104" s="619"/>
      <c r="G104" s="619"/>
      <c r="H104" s="619"/>
      <c r="I104" s="619"/>
      <c r="J104" s="619">
        <v>1</v>
      </c>
      <c r="K104" s="619">
        <v>185</v>
      </c>
      <c r="L104" s="619"/>
      <c r="M104" s="619">
        <v>185</v>
      </c>
      <c r="N104" s="619"/>
      <c r="O104" s="619"/>
      <c r="P104" s="640"/>
      <c r="Q104" s="620"/>
    </row>
    <row r="105" spans="1:17" ht="14.4" customHeight="1" x14ac:dyDescent="0.3">
      <c r="A105" s="615" t="s">
        <v>4120</v>
      </c>
      <c r="B105" s="616" t="s">
        <v>4121</v>
      </c>
      <c r="C105" s="616" t="s">
        <v>3011</v>
      </c>
      <c r="D105" s="616" t="s">
        <v>4266</v>
      </c>
      <c r="E105" s="616" t="s">
        <v>4267</v>
      </c>
      <c r="F105" s="619"/>
      <c r="G105" s="619"/>
      <c r="H105" s="619"/>
      <c r="I105" s="619"/>
      <c r="J105" s="619">
        <v>2</v>
      </c>
      <c r="K105" s="619">
        <v>374</v>
      </c>
      <c r="L105" s="619"/>
      <c r="M105" s="619">
        <v>187</v>
      </c>
      <c r="N105" s="619"/>
      <c r="O105" s="619"/>
      <c r="P105" s="640"/>
      <c r="Q105" s="620"/>
    </row>
    <row r="106" spans="1:17" ht="14.4" customHeight="1" x14ac:dyDescent="0.3">
      <c r="A106" s="615" t="s">
        <v>4120</v>
      </c>
      <c r="B106" s="616" t="s">
        <v>4121</v>
      </c>
      <c r="C106" s="616" t="s">
        <v>3011</v>
      </c>
      <c r="D106" s="616" t="s">
        <v>4268</v>
      </c>
      <c r="E106" s="616" t="s">
        <v>4269</v>
      </c>
      <c r="F106" s="619"/>
      <c r="G106" s="619"/>
      <c r="H106" s="619"/>
      <c r="I106" s="619"/>
      <c r="J106" s="619"/>
      <c r="K106" s="619"/>
      <c r="L106" s="619"/>
      <c r="M106" s="619"/>
      <c r="N106" s="619">
        <v>1</v>
      </c>
      <c r="O106" s="619">
        <v>174</v>
      </c>
      <c r="P106" s="640"/>
      <c r="Q106" s="620">
        <v>174</v>
      </c>
    </row>
    <row r="107" spans="1:17" ht="14.4" customHeight="1" x14ac:dyDescent="0.3">
      <c r="A107" s="615" t="s">
        <v>4120</v>
      </c>
      <c r="B107" s="616" t="s">
        <v>4121</v>
      </c>
      <c r="C107" s="616" t="s">
        <v>3011</v>
      </c>
      <c r="D107" s="616" t="s">
        <v>4270</v>
      </c>
      <c r="E107" s="616" t="s">
        <v>4271</v>
      </c>
      <c r="F107" s="619">
        <v>98</v>
      </c>
      <c r="G107" s="619">
        <v>8232</v>
      </c>
      <c r="H107" s="619">
        <v>1</v>
      </c>
      <c r="I107" s="619">
        <v>84</v>
      </c>
      <c r="J107" s="619">
        <v>82</v>
      </c>
      <c r="K107" s="619">
        <v>6888</v>
      </c>
      <c r="L107" s="619">
        <v>0.83673469387755106</v>
      </c>
      <c r="M107" s="619">
        <v>84</v>
      </c>
      <c r="N107" s="619">
        <v>110</v>
      </c>
      <c r="O107" s="619">
        <v>9240</v>
      </c>
      <c r="P107" s="640">
        <v>1.1224489795918366</v>
      </c>
      <c r="Q107" s="620">
        <v>84</v>
      </c>
    </row>
    <row r="108" spans="1:17" ht="14.4" customHeight="1" x14ac:dyDescent="0.3">
      <c r="A108" s="615" t="s">
        <v>4120</v>
      </c>
      <c r="B108" s="616" t="s">
        <v>4121</v>
      </c>
      <c r="C108" s="616" t="s">
        <v>3011</v>
      </c>
      <c r="D108" s="616" t="s">
        <v>4272</v>
      </c>
      <c r="E108" s="616" t="s">
        <v>4273</v>
      </c>
      <c r="F108" s="619">
        <v>2</v>
      </c>
      <c r="G108" s="619">
        <v>1292</v>
      </c>
      <c r="H108" s="619">
        <v>1</v>
      </c>
      <c r="I108" s="619">
        <v>646</v>
      </c>
      <c r="J108" s="619">
        <v>1</v>
      </c>
      <c r="K108" s="619">
        <v>647</v>
      </c>
      <c r="L108" s="619">
        <v>0.50077399380804954</v>
      </c>
      <c r="M108" s="619">
        <v>647</v>
      </c>
      <c r="N108" s="619"/>
      <c r="O108" s="619"/>
      <c r="P108" s="640"/>
      <c r="Q108" s="620"/>
    </row>
    <row r="109" spans="1:17" ht="14.4" customHeight="1" x14ac:dyDescent="0.3">
      <c r="A109" s="615" t="s">
        <v>4120</v>
      </c>
      <c r="B109" s="616" t="s">
        <v>4121</v>
      </c>
      <c r="C109" s="616" t="s">
        <v>3011</v>
      </c>
      <c r="D109" s="616" t="s">
        <v>4274</v>
      </c>
      <c r="E109" s="616" t="s">
        <v>4275</v>
      </c>
      <c r="F109" s="619"/>
      <c r="G109" s="619"/>
      <c r="H109" s="619"/>
      <c r="I109" s="619"/>
      <c r="J109" s="619">
        <v>1</v>
      </c>
      <c r="K109" s="619">
        <v>78</v>
      </c>
      <c r="L109" s="619"/>
      <c r="M109" s="619">
        <v>78</v>
      </c>
      <c r="N109" s="619">
        <v>1</v>
      </c>
      <c r="O109" s="619">
        <v>78</v>
      </c>
      <c r="P109" s="640"/>
      <c r="Q109" s="620">
        <v>78</v>
      </c>
    </row>
    <row r="110" spans="1:17" ht="14.4" customHeight="1" x14ac:dyDescent="0.3">
      <c r="A110" s="615" t="s">
        <v>4120</v>
      </c>
      <c r="B110" s="616" t="s">
        <v>4121</v>
      </c>
      <c r="C110" s="616" t="s">
        <v>3011</v>
      </c>
      <c r="D110" s="616" t="s">
        <v>4276</v>
      </c>
      <c r="E110" s="616" t="s">
        <v>4277</v>
      </c>
      <c r="F110" s="619">
        <v>1</v>
      </c>
      <c r="G110" s="619">
        <v>300</v>
      </c>
      <c r="H110" s="619">
        <v>1</v>
      </c>
      <c r="I110" s="619">
        <v>300</v>
      </c>
      <c r="J110" s="619">
        <v>5</v>
      </c>
      <c r="K110" s="619">
        <v>1500</v>
      </c>
      <c r="L110" s="619">
        <v>5</v>
      </c>
      <c r="M110" s="619">
        <v>300</v>
      </c>
      <c r="N110" s="619"/>
      <c r="O110" s="619"/>
      <c r="P110" s="640"/>
      <c r="Q110" s="620"/>
    </row>
    <row r="111" spans="1:17" ht="14.4" customHeight="1" x14ac:dyDescent="0.3">
      <c r="A111" s="615" t="s">
        <v>4120</v>
      </c>
      <c r="B111" s="616" t="s">
        <v>4121</v>
      </c>
      <c r="C111" s="616" t="s">
        <v>3011</v>
      </c>
      <c r="D111" s="616" t="s">
        <v>4278</v>
      </c>
      <c r="E111" s="616" t="s">
        <v>4279</v>
      </c>
      <c r="F111" s="619"/>
      <c r="G111" s="619"/>
      <c r="H111" s="619"/>
      <c r="I111" s="619"/>
      <c r="J111" s="619">
        <v>2</v>
      </c>
      <c r="K111" s="619">
        <v>42</v>
      </c>
      <c r="L111" s="619"/>
      <c r="M111" s="619">
        <v>21</v>
      </c>
      <c r="N111" s="619">
        <v>3</v>
      </c>
      <c r="O111" s="619">
        <v>63</v>
      </c>
      <c r="P111" s="640"/>
      <c r="Q111" s="620">
        <v>21</v>
      </c>
    </row>
    <row r="112" spans="1:17" ht="14.4" customHeight="1" x14ac:dyDescent="0.3">
      <c r="A112" s="615" t="s">
        <v>4120</v>
      </c>
      <c r="B112" s="616" t="s">
        <v>4121</v>
      </c>
      <c r="C112" s="616" t="s">
        <v>3011</v>
      </c>
      <c r="D112" s="616" t="s">
        <v>4280</v>
      </c>
      <c r="E112" s="616" t="s">
        <v>4281</v>
      </c>
      <c r="F112" s="619">
        <v>64</v>
      </c>
      <c r="G112" s="619">
        <v>1408</v>
      </c>
      <c r="H112" s="619">
        <v>1</v>
      </c>
      <c r="I112" s="619">
        <v>22</v>
      </c>
      <c r="J112" s="619">
        <v>81</v>
      </c>
      <c r="K112" s="619">
        <v>1782</v>
      </c>
      <c r="L112" s="619">
        <v>1.265625</v>
      </c>
      <c r="M112" s="619">
        <v>22</v>
      </c>
      <c r="N112" s="619">
        <v>71</v>
      </c>
      <c r="O112" s="619">
        <v>1562</v>
      </c>
      <c r="P112" s="640">
        <v>1.109375</v>
      </c>
      <c r="Q112" s="620">
        <v>22</v>
      </c>
    </row>
    <row r="113" spans="1:17" ht="14.4" customHeight="1" x14ac:dyDescent="0.3">
      <c r="A113" s="615" t="s">
        <v>4120</v>
      </c>
      <c r="B113" s="616" t="s">
        <v>4121</v>
      </c>
      <c r="C113" s="616" t="s">
        <v>3011</v>
      </c>
      <c r="D113" s="616" t="s">
        <v>4282</v>
      </c>
      <c r="E113" s="616" t="s">
        <v>4283</v>
      </c>
      <c r="F113" s="619"/>
      <c r="G113" s="619"/>
      <c r="H113" s="619"/>
      <c r="I113" s="619"/>
      <c r="J113" s="619">
        <v>1</v>
      </c>
      <c r="K113" s="619">
        <v>569</v>
      </c>
      <c r="L113" s="619"/>
      <c r="M113" s="619">
        <v>569</v>
      </c>
      <c r="N113" s="619"/>
      <c r="O113" s="619"/>
      <c r="P113" s="640"/>
      <c r="Q113" s="620"/>
    </row>
    <row r="114" spans="1:17" ht="14.4" customHeight="1" x14ac:dyDescent="0.3">
      <c r="A114" s="615" t="s">
        <v>4120</v>
      </c>
      <c r="B114" s="616" t="s">
        <v>4121</v>
      </c>
      <c r="C114" s="616" t="s">
        <v>3011</v>
      </c>
      <c r="D114" s="616" t="s">
        <v>4284</v>
      </c>
      <c r="E114" s="616" t="s">
        <v>4285</v>
      </c>
      <c r="F114" s="619"/>
      <c r="G114" s="619"/>
      <c r="H114" s="619"/>
      <c r="I114" s="619"/>
      <c r="J114" s="619">
        <v>5</v>
      </c>
      <c r="K114" s="619">
        <v>2475</v>
      </c>
      <c r="L114" s="619"/>
      <c r="M114" s="619">
        <v>495</v>
      </c>
      <c r="N114" s="619"/>
      <c r="O114" s="619"/>
      <c r="P114" s="640"/>
      <c r="Q114" s="620"/>
    </row>
    <row r="115" spans="1:17" ht="14.4" customHeight="1" x14ac:dyDescent="0.3">
      <c r="A115" s="615" t="s">
        <v>4120</v>
      </c>
      <c r="B115" s="616" t="s">
        <v>4121</v>
      </c>
      <c r="C115" s="616" t="s">
        <v>3011</v>
      </c>
      <c r="D115" s="616" t="s">
        <v>4286</v>
      </c>
      <c r="E115" s="616" t="s">
        <v>4287</v>
      </c>
      <c r="F115" s="619"/>
      <c r="G115" s="619"/>
      <c r="H115" s="619"/>
      <c r="I115" s="619"/>
      <c r="J115" s="619">
        <v>1</v>
      </c>
      <c r="K115" s="619">
        <v>572</v>
      </c>
      <c r="L115" s="619"/>
      <c r="M115" s="619">
        <v>572</v>
      </c>
      <c r="N115" s="619">
        <v>3</v>
      </c>
      <c r="O115" s="619">
        <v>1737</v>
      </c>
      <c r="P115" s="640"/>
      <c r="Q115" s="620">
        <v>579</v>
      </c>
    </row>
    <row r="116" spans="1:17" ht="14.4" customHeight="1" x14ac:dyDescent="0.3">
      <c r="A116" s="615" t="s">
        <v>4120</v>
      </c>
      <c r="B116" s="616" t="s">
        <v>4121</v>
      </c>
      <c r="C116" s="616" t="s">
        <v>3011</v>
      </c>
      <c r="D116" s="616" t="s">
        <v>4110</v>
      </c>
      <c r="E116" s="616" t="s">
        <v>4111</v>
      </c>
      <c r="F116" s="619"/>
      <c r="G116" s="619"/>
      <c r="H116" s="619"/>
      <c r="I116" s="619"/>
      <c r="J116" s="619">
        <v>1</v>
      </c>
      <c r="K116" s="619">
        <v>1008</v>
      </c>
      <c r="L116" s="619"/>
      <c r="M116" s="619">
        <v>1008</v>
      </c>
      <c r="N116" s="619">
        <v>3</v>
      </c>
      <c r="O116" s="619">
        <v>3033</v>
      </c>
      <c r="P116" s="640"/>
      <c r="Q116" s="620">
        <v>1011</v>
      </c>
    </row>
    <row r="117" spans="1:17" ht="14.4" customHeight="1" x14ac:dyDescent="0.3">
      <c r="A117" s="615" t="s">
        <v>4120</v>
      </c>
      <c r="B117" s="616" t="s">
        <v>4121</v>
      </c>
      <c r="C117" s="616" t="s">
        <v>3011</v>
      </c>
      <c r="D117" s="616" t="s">
        <v>4288</v>
      </c>
      <c r="E117" s="616" t="s">
        <v>4289</v>
      </c>
      <c r="F117" s="619"/>
      <c r="G117" s="619"/>
      <c r="H117" s="619"/>
      <c r="I117" s="619"/>
      <c r="J117" s="619">
        <v>3</v>
      </c>
      <c r="K117" s="619">
        <v>501</v>
      </c>
      <c r="L117" s="619"/>
      <c r="M117" s="619">
        <v>167</v>
      </c>
      <c r="N117" s="619">
        <v>7</v>
      </c>
      <c r="O117" s="619">
        <v>1176</v>
      </c>
      <c r="P117" s="640"/>
      <c r="Q117" s="620">
        <v>168</v>
      </c>
    </row>
    <row r="118" spans="1:17" ht="14.4" customHeight="1" x14ac:dyDescent="0.3">
      <c r="A118" s="615" t="s">
        <v>4120</v>
      </c>
      <c r="B118" s="616" t="s">
        <v>4121</v>
      </c>
      <c r="C118" s="616" t="s">
        <v>3011</v>
      </c>
      <c r="D118" s="616" t="s">
        <v>4290</v>
      </c>
      <c r="E118" s="616" t="s">
        <v>4291</v>
      </c>
      <c r="F118" s="619"/>
      <c r="G118" s="619"/>
      <c r="H118" s="619"/>
      <c r="I118" s="619"/>
      <c r="J118" s="619"/>
      <c r="K118" s="619"/>
      <c r="L118" s="619"/>
      <c r="M118" s="619"/>
      <c r="N118" s="619">
        <v>1</v>
      </c>
      <c r="O118" s="619">
        <v>127</v>
      </c>
      <c r="P118" s="640"/>
      <c r="Q118" s="620">
        <v>127</v>
      </c>
    </row>
    <row r="119" spans="1:17" ht="14.4" customHeight="1" x14ac:dyDescent="0.3">
      <c r="A119" s="615" t="s">
        <v>4120</v>
      </c>
      <c r="B119" s="616" t="s">
        <v>4121</v>
      </c>
      <c r="C119" s="616" t="s">
        <v>3011</v>
      </c>
      <c r="D119" s="616" t="s">
        <v>4292</v>
      </c>
      <c r="E119" s="616" t="s">
        <v>4293</v>
      </c>
      <c r="F119" s="619">
        <v>2</v>
      </c>
      <c r="G119" s="619">
        <v>620</v>
      </c>
      <c r="H119" s="619">
        <v>1</v>
      </c>
      <c r="I119" s="619">
        <v>310</v>
      </c>
      <c r="J119" s="619">
        <v>1</v>
      </c>
      <c r="K119" s="619">
        <v>310</v>
      </c>
      <c r="L119" s="619">
        <v>0.5</v>
      </c>
      <c r="M119" s="619">
        <v>310</v>
      </c>
      <c r="N119" s="619"/>
      <c r="O119" s="619"/>
      <c r="P119" s="640"/>
      <c r="Q119" s="620"/>
    </row>
    <row r="120" spans="1:17" ht="14.4" customHeight="1" x14ac:dyDescent="0.3">
      <c r="A120" s="615" t="s">
        <v>4120</v>
      </c>
      <c r="B120" s="616" t="s">
        <v>4121</v>
      </c>
      <c r="C120" s="616" t="s">
        <v>3011</v>
      </c>
      <c r="D120" s="616" t="s">
        <v>4294</v>
      </c>
      <c r="E120" s="616" t="s">
        <v>4295</v>
      </c>
      <c r="F120" s="619">
        <v>4</v>
      </c>
      <c r="G120" s="619">
        <v>92</v>
      </c>
      <c r="H120" s="619">
        <v>1</v>
      </c>
      <c r="I120" s="619">
        <v>23</v>
      </c>
      <c r="J120" s="619">
        <v>4</v>
      </c>
      <c r="K120" s="619">
        <v>92</v>
      </c>
      <c r="L120" s="619">
        <v>1</v>
      </c>
      <c r="M120" s="619">
        <v>23</v>
      </c>
      <c r="N120" s="619">
        <v>5</v>
      </c>
      <c r="O120" s="619">
        <v>115</v>
      </c>
      <c r="P120" s="640">
        <v>1.25</v>
      </c>
      <c r="Q120" s="620">
        <v>23</v>
      </c>
    </row>
    <row r="121" spans="1:17" ht="14.4" customHeight="1" x14ac:dyDescent="0.3">
      <c r="A121" s="615" t="s">
        <v>4120</v>
      </c>
      <c r="B121" s="616" t="s">
        <v>4121</v>
      </c>
      <c r="C121" s="616" t="s">
        <v>3011</v>
      </c>
      <c r="D121" s="616" t="s">
        <v>4296</v>
      </c>
      <c r="E121" s="616" t="s">
        <v>4297</v>
      </c>
      <c r="F121" s="619">
        <v>1</v>
      </c>
      <c r="G121" s="619">
        <v>17</v>
      </c>
      <c r="H121" s="619">
        <v>1</v>
      </c>
      <c r="I121" s="619">
        <v>17</v>
      </c>
      <c r="J121" s="619"/>
      <c r="K121" s="619"/>
      <c r="L121" s="619"/>
      <c r="M121" s="619"/>
      <c r="N121" s="619">
        <v>3</v>
      </c>
      <c r="O121" s="619">
        <v>51</v>
      </c>
      <c r="P121" s="640">
        <v>3</v>
      </c>
      <c r="Q121" s="620">
        <v>17</v>
      </c>
    </row>
    <row r="122" spans="1:17" ht="14.4" customHeight="1" x14ac:dyDescent="0.3">
      <c r="A122" s="615" t="s">
        <v>4120</v>
      </c>
      <c r="B122" s="616" t="s">
        <v>4121</v>
      </c>
      <c r="C122" s="616" t="s">
        <v>3011</v>
      </c>
      <c r="D122" s="616" t="s">
        <v>4298</v>
      </c>
      <c r="E122" s="616" t="s">
        <v>4299</v>
      </c>
      <c r="F122" s="619"/>
      <c r="G122" s="619"/>
      <c r="H122" s="619"/>
      <c r="I122" s="619"/>
      <c r="J122" s="619">
        <v>3</v>
      </c>
      <c r="K122" s="619">
        <v>396</v>
      </c>
      <c r="L122" s="619"/>
      <c r="M122" s="619">
        <v>132</v>
      </c>
      <c r="N122" s="619">
        <v>1</v>
      </c>
      <c r="O122" s="619">
        <v>133</v>
      </c>
      <c r="P122" s="640"/>
      <c r="Q122" s="620">
        <v>133</v>
      </c>
    </row>
    <row r="123" spans="1:17" ht="14.4" customHeight="1" x14ac:dyDescent="0.3">
      <c r="A123" s="615" t="s">
        <v>4120</v>
      </c>
      <c r="B123" s="616" t="s">
        <v>4121</v>
      </c>
      <c r="C123" s="616" t="s">
        <v>3011</v>
      </c>
      <c r="D123" s="616" t="s">
        <v>4300</v>
      </c>
      <c r="E123" s="616" t="s">
        <v>4301</v>
      </c>
      <c r="F123" s="619">
        <v>61</v>
      </c>
      <c r="G123" s="619">
        <v>17789</v>
      </c>
      <c r="H123" s="619">
        <v>1</v>
      </c>
      <c r="I123" s="619">
        <v>291.62295081967216</v>
      </c>
      <c r="J123" s="619">
        <v>73</v>
      </c>
      <c r="K123" s="619">
        <v>21389</v>
      </c>
      <c r="L123" s="619">
        <v>1.2023722525155995</v>
      </c>
      <c r="M123" s="619">
        <v>293</v>
      </c>
      <c r="N123" s="619">
        <v>111</v>
      </c>
      <c r="O123" s="619">
        <v>32634</v>
      </c>
      <c r="P123" s="640">
        <v>1.8345044690539096</v>
      </c>
      <c r="Q123" s="620">
        <v>294</v>
      </c>
    </row>
    <row r="124" spans="1:17" ht="14.4" customHeight="1" x14ac:dyDescent="0.3">
      <c r="A124" s="615" t="s">
        <v>4120</v>
      </c>
      <c r="B124" s="616" t="s">
        <v>4121</v>
      </c>
      <c r="C124" s="616" t="s">
        <v>3011</v>
      </c>
      <c r="D124" s="616" t="s">
        <v>4112</v>
      </c>
      <c r="E124" s="616" t="s">
        <v>4113</v>
      </c>
      <c r="F124" s="619"/>
      <c r="G124" s="619"/>
      <c r="H124" s="619"/>
      <c r="I124" s="619"/>
      <c r="J124" s="619">
        <v>1</v>
      </c>
      <c r="K124" s="619">
        <v>371</v>
      </c>
      <c r="L124" s="619"/>
      <c r="M124" s="619">
        <v>371</v>
      </c>
      <c r="N124" s="619"/>
      <c r="O124" s="619"/>
      <c r="P124" s="640"/>
      <c r="Q124" s="620"/>
    </row>
    <row r="125" spans="1:17" ht="14.4" customHeight="1" x14ac:dyDescent="0.3">
      <c r="A125" s="615" t="s">
        <v>4120</v>
      </c>
      <c r="B125" s="616" t="s">
        <v>4121</v>
      </c>
      <c r="C125" s="616" t="s">
        <v>3011</v>
      </c>
      <c r="D125" s="616" t="s">
        <v>4302</v>
      </c>
      <c r="E125" s="616" t="s">
        <v>4303</v>
      </c>
      <c r="F125" s="619">
        <v>5</v>
      </c>
      <c r="G125" s="619">
        <v>225</v>
      </c>
      <c r="H125" s="619">
        <v>1</v>
      </c>
      <c r="I125" s="619">
        <v>45</v>
      </c>
      <c r="J125" s="619">
        <v>2</v>
      </c>
      <c r="K125" s="619">
        <v>90</v>
      </c>
      <c r="L125" s="619">
        <v>0.4</v>
      </c>
      <c r="M125" s="619">
        <v>45</v>
      </c>
      <c r="N125" s="619">
        <v>4</v>
      </c>
      <c r="O125" s="619">
        <v>180</v>
      </c>
      <c r="P125" s="640">
        <v>0.8</v>
      </c>
      <c r="Q125" s="620">
        <v>45</v>
      </c>
    </row>
    <row r="126" spans="1:17" ht="14.4" customHeight="1" x14ac:dyDescent="0.3">
      <c r="A126" s="615" t="s">
        <v>4120</v>
      </c>
      <c r="B126" s="616" t="s">
        <v>4121</v>
      </c>
      <c r="C126" s="616" t="s">
        <v>3011</v>
      </c>
      <c r="D126" s="616" t="s">
        <v>4304</v>
      </c>
      <c r="E126" s="616" t="s">
        <v>4305</v>
      </c>
      <c r="F126" s="619">
        <v>14</v>
      </c>
      <c r="G126" s="619">
        <v>644</v>
      </c>
      <c r="H126" s="619">
        <v>1</v>
      </c>
      <c r="I126" s="619">
        <v>46</v>
      </c>
      <c r="J126" s="619"/>
      <c r="K126" s="619"/>
      <c r="L126" s="619"/>
      <c r="M126" s="619"/>
      <c r="N126" s="619">
        <v>3</v>
      </c>
      <c r="O126" s="619">
        <v>138</v>
      </c>
      <c r="P126" s="640">
        <v>0.21428571428571427</v>
      </c>
      <c r="Q126" s="620">
        <v>46</v>
      </c>
    </row>
    <row r="127" spans="1:17" ht="14.4" customHeight="1" x14ac:dyDescent="0.3">
      <c r="A127" s="615" t="s">
        <v>4120</v>
      </c>
      <c r="B127" s="616" t="s">
        <v>4121</v>
      </c>
      <c r="C127" s="616" t="s">
        <v>3011</v>
      </c>
      <c r="D127" s="616" t="s">
        <v>4306</v>
      </c>
      <c r="E127" s="616" t="s">
        <v>4307</v>
      </c>
      <c r="F127" s="619">
        <v>1</v>
      </c>
      <c r="G127" s="619">
        <v>308</v>
      </c>
      <c r="H127" s="619">
        <v>1</v>
      </c>
      <c r="I127" s="619">
        <v>308</v>
      </c>
      <c r="J127" s="619"/>
      <c r="K127" s="619"/>
      <c r="L127" s="619"/>
      <c r="M127" s="619"/>
      <c r="N127" s="619"/>
      <c r="O127" s="619"/>
      <c r="P127" s="640"/>
      <c r="Q127" s="620"/>
    </row>
    <row r="128" spans="1:17" ht="14.4" customHeight="1" x14ac:dyDescent="0.3">
      <c r="A128" s="615" t="s">
        <v>4120</v>
      </c>
      <c r="B128" s="616" t="s">
        <v>4121</v>
      </c>
      <c r="C128" s="616" t="s">
        <v>3011</v>
      </c>
      <c r="D128" s="616" t="s">
        <v>4308</v>
      </c>
      <c r="E128" s="616" t="s">
        <v>4309</v>
      </c>
      <c r="F128" s="619"/>
      <c r="G128" s="619"/>
      <c r="H128" s="619"/>
      <c r="I128" s="619"/>
      <c r="J128" s="619">
        <v>7</v>
      </c>
      <c r="K128" s="619">
        <v>217</v>
      </c>
      <c r="L128" s="619"/>
      <c r="M128" s="619">
        <v>31</v>
      </c>
      <c r="N128" s="619">
        <v>4</v>
      </c>
      <c r="O128" s="619">
        <v>124</v>
      </c>
      <c r="P128" s="640"/>
      <c r="Q128" s="620">
        <v>31</v>
      </c>
    </row>
    <row r="129" spans="1:17" ht="14.4" customHeight="1" x14ac:dyDescent="0.3">
      <c r="A129" s="615" t="s">
        <v>4120</v>
      </c>
      <c r="B129" s="616" t="s">
        <v>4121</v>
      </c>
      <c r="C129" s="616" t="s">
        <v>3011</v>
      </c>
      <c r="D129" s="616" t="s">
        <v>4310</v>
      </c>
      <c r="E129" s="616" t="s">
        <v>4311</v>
      </c>
      <c r="F129" s="619">
        <v>1</v>
      </c>
      <c r="G129" s="619">
        <v>26</v>
      </c>
      <c r="H129" s="619">
        <v>1</v>
      </c>
      <c r="I129" s="619">
        <v>26</v>
      </c>
      <c r="J129" s="619"/>
      <c r="K129" s="619"/>
      <c r="L129" s="619"/>
      <c r="M129" s="619"/>
      <c r="N129" s="619">
        <v>1</v>
      </c>
      <c r="O129" s="619">
        <v>26</v>
      </c>
      <c r="P129" s="640">
        <v>1</v>
      </c>
      <c r="Q129" s="620">
        <v>26</v>
      </c>
    </row>
    <row r="130" spans="1:17" ht="14.4" customHeight="1" x14ac:dyDescent="0.3">
      <c r="A130" s="615" t="s">
        <v>4120</v>
      </c>
      <c r="B130" s="616" t="s">
        <v>4121</v>
      </c>
      <c r="C130" s="616" t="s">
        <v>3011</v>
      </c>
      <c r="D130" s="616" t="s">
        <v>4312</v>
      </c>
      <c r="E130" s="616" t="s">
        <v>4313</v>
      </c>
      <c r="F130" s="619"/>
      <c r="G130" s="619"/>
      <c r="H130" s="619"/>
      <c r="I130" s="619"/>
      <c r="J130" s="619">
        <v>3</v>
      </c>
      <c r="K130" s="619">
        <v>819</v>
      </c>
      <c r="L130" s="619"/>
      <c r="M130" s="619">
        <v>273</v>
      </c>
      <c r="N130" s="619">
        <v>8</v>
      </c>
      <c r="O130" s="619">
        <v>2192</v>
      </c>
      <c r="P130" s="640"/>
      <c r="Q130" s="620">
        <v>274</v>
      </c>
    </row>
    <row r="131" spans="1:17" ht="14.4" customHeight="1" x14ac:dyDescent="0.3">
      <c r="A131" s="615" t="s">
        <v>4120</v>
      </c>
      <c r="B131" s="616" t="s">
        <v>4121</v>
      </c>
      <c r="C131" s="616" t="s">
        <v>3011</v>
      </c>
      <c r="D131" s="616" t="s">
        <v>4314</v>
      </c>
      <c r="E131" s="616" t="s">
        <v>4315</v>
      </c>
      <c r="F131" s="619"/>
      <c r="G131" s="619"/>
      <c r="H131" s="619"/>
      <c r="I131" s="619"/>
      <c r="J131" s="619"/>
      <c r="K131" s="619"/>
      <c r="L131" s="619"/>
      <c r="M131" s="619"/>
      <c r="N131" s="619">
        <v>9</v>
      </c>
      <c r="O131" s="619">
        <v>1197</v>
      </c>
      <c r="P131" s="640"/>
      <c r="Q131" s="620">
        <v>133</v>
      </c>
    </row>
    <row r="132" spans="1:17" ht="14.4" customHeight="1" x14ac:dyDescent="0.3">
      <c r="A132" s="615" t="s">
        <v>4120</v>
      </c>
      <c r="B132" s="616" t="s">
        <v>4121</v>
      </c>
      <c r="C132" s="616" t="s">
        <v>3011</v>
      </c>
      <c r="D132" s="616" t="s">
        <v>4316</v>
      </c>
      <c r="E132" s="616" t="s">
        <v>4317</v>
      </c>
      <c r="F132" s="619"/>
      <c r="G132" s="619"/>
      <c r="H132" s="619"/>
      <c r="I132" s="619"/>
      <c r="J132" s="619"/>
      <c r="K132" s="619"/>
      <c r="L132" s="619"/>
      <c r="M132" s="619"/>
      <c r="N132" s="619">
        <v>237</v>
      </c>
      <c r="O132" s="619">
        <v>8769</v>
      </c>
      <c r="P132" s="640"/>
      <c r="Q132" s="620">
        <v>37</v>
      </c>
    </row>
    <row r="133" spans="1:17" ht="14.4" customHeight="1" x14ac:dyDescent="0.3">
      <c r="A133" s="615" t="s">
        <v>4120</v>
      </c>
      <c r="B133" s="616" t="s">
        <v>4121</v>
      </c>
      <c r="C133" s="616" t="s">
        <v>3011</v>
      </c>
      <c r="D133" s="616" t="s">
        <v>4318</v>
      </c>
      <c r="E133" s="616" t="s">
        <v>4319</v>
      </c>
      <c r="F133" s="619"/>
      <c r="G133" s="619"/>
      <c r="H133" s="619"/>
      <c r="I133" s="619"/>
      <c r="J133" s="619"/>
      <c r="K133" s="619"/>
      <c r="L133" s="619"/>
      <c r="M133" s="619"/>
      <c r="N133" s="619">
        <v>5</v>
      </c>
      <c r="O133" s="619">
        <v>465</v>
      </c>
      <c r="P133" s="640"/>
      <c r="Q133" s="620">
        <v>93</v>
      </c>
    </row>
    <row r="134" spans="1:17" ht="14.4" customHeight="1" x14ac:dyDescent="0.3">
      <c r="A134" s="615" t="s">
        <v>4120</v>
      </c>
      <c r="B134" s="616" t="s">
        <v>4121</v>
      </c>
      <c r="C134" s="616" t="s">
        <v>3011</v>
      </c>
      <c r="D134" s="616" t="s">
        <v>4320</v>
      </c>
      <c r="E134" s="616" t="s">
        <v>4321</v>
      </c>
      <c r="F134" s="619"/>
      <c r="G134" s="619"/>
      <c r="H134" s="619"/>
      <c r="I134" s="619"/>
      <c r="J134" s="619"/>
      <c r="K134" s="619"/>
      <c r="L134" s="619"/>
      <c r="M134" s="619"/>
      <c r="N134" s="619">
        <v>6</v>
      </c>
      <c r="O134" s="619">
        <v>5652</v>
      </c>
      <c r="P134" s="640"/>
      <c r="Q134" s="620">
        <v>942</v>
      </c>
    </row>
    <row r="135" spans="1:17" ht="14.4" customHeight="1" x14ac:dyDescent="0.3">
      <c r="A135" s="615" t="s">
        <v>4120</v>
      </c>
      <c r="B135" s="616" t="s">
        <v>4322</v>
      </c>
      <c r="C135" s="616" t="s">
        <v>3011</v>
      </c>
      <c r="D135" s="616" t="s">
        <v>4323</v>
      </c>
      <c r="E135" s="616" t="s">
        <v>4324</v>
      </c>
      <c r="F135" s="619">
        <v>3</v>
      </c>
      <c r="G135" s="619">
        <v>3109</v>
      </c>
      <c r="H135" s="619">
        <v>1</v>
      </c>
      <c r="I135" s="619">
        <v>1036.3333333333333</v>
      </c>
      <c r="J135" s="619">
        <v>9</v>
      </c>
      <c r="K135" s="619">
        <v>9333</v>
      </c>
      <c r="L135" s="619">
        <v>3.001929880990672</v>
      </c>
      <c r="M135" s="619">
        <v>1037</v>
      </c>
      <c r="N135" s="619">
        <v>10</v>
      </c>
      <c r="O135" s="619">
        <v>10380</v>
      </c>
      <c r="P135" s="640">
        <v>3.3386941138629784</v>
      </c>
      <c r="Q135" s="620">
        <v>1038</v>
      </c>
    </row>
    <row r="136" spans="1:17" ht="14.4" customHeight="1" x14ac:dyDescent="0.3">
      <c r="A136" s="615" t="s">
        <v>4325</v>
      </c>
      <c r="B136" s="616" t="s">
        <v>3899</v>
      </c>
      <c r="C136" s="616" t="s">
        <v>3313</v>
      </c>
      <c r="D136" s="616" t="s">
        <v>4326</v>
      </c>
      <c r="E136" s="616" t="s">
        <v>4327</v>
      </c>
      <c r="F136" s="619">
        <v>0.66</v>
      </c>
      <c r="G136" s="619">
        <v>1763.16</v>
      </c>
      <c r="H136" s="619">
        <v>1</v>
      </c>
      <c r="I136" s="619">
        <v>2671.4545454545455</v>
      </c>
      <c r="J136" s="619">
        <v>0.67</v>
      </c>
      <c r="K136" s="619">
        <v>1712.05</v>
      </c>
      <c r="L136" s="619">
        <v>0.97101227341818097</v>
      </c>
      <c r="M136" s="619">
        <v>2555.2985074626863</v>
      </c>
      <c r="N136" s="619">
        <v>1</v>
      </c>
      <c r="O136" s="619">
        <v>2708.04</v>
      </c>
      <c r="P136" s="640">
        <v>1.5359014496699108</v>
      </c>
      <c r="Q136" s="620">
        <v>2708.04</v>
      </c>
    </row>
    <row r="137" spans="1:17" ht="14.4" customHeight="1" x14ac:dyDescent="0.3">
      <c r="A137" s="615" t="s">
        <v>4325</v>
      </c>
      <c r="B137" s="616" t="s">
        <v>3899</v>
      </c>
      <c r="C137" s="616" t="s">
        <v>3313</v>
      </c>
      <c r="D137" s="616" t="s">
        <v>4328</v>
      </c>
      <c r="E137" s="616" t="s">
        <v>3342</v>
      </c>
      <c r="F137" s="619"/>
      <c r="G137" s="619"/>
      <c r="H137" s="619"/>
      <c r="I137" s="619"/>
      <c r="J137" s="619">
        <v>0.43000000000000005</v>
      </c>
      <c r="K137" s="619">
        <v>2125.87</v>
      </c>
      <c r="L137" s="619"/>
      <c r="M137" s="619">
        <v>4943.8837209302319</v>
      </c>
      <c r="N137" s="619">
        <v>0.92</v>
      </c>
      <c r="O137" s="619">
        <v>4548.43</v>
      </c>
      <c r="P137" s="640"/>
      <c r="Q137" s="620">
        <v>4943.945652173913</v>
      </c>
    </row>
    <row r="138" spans="1:17" ht="14.4" customHeight="1" x14ac:dyDescent="0.3">
      <c r="A138" s="615" t="s">
        <v>4325</v>
      </c>
      <c r="B138" s="616" t="s">
        <v>3899</v>
      </c>
      <c r="C138" s="616" t="s">
        <v>3313</v>
      </c>
      <c r="D138" s="616" t="s">
        <v>4329</v>
      </c>
      <c r="E138" s="616" t="s">
        <v>4330</v>
      </c>
      <c r="F138" s="619">
        <v>16.07</v>
      </c>
      <c r="G138" s="619">
        <v>15893.670000000002</v>
      </c>
      <c r="H138" s="619">
        <v>1</v>
      </c>
      <c r="I138" s="619">
        <v>989.0273802115745</v>
      </c>
      <c r="J138" s="619">
        <v>9.6700000000000017</v>
      </c>
      <c r="K138" s="619">
        <v>9199.3900000000012</v>
      </c>
      <c r="L138" s="619">
        <v>0.57880841869750665</v>
      </c>
      <c r="M138" s="619">
        <v>951.3329886246122</v>
      </c>
      <c r="N138" s="619">
        <v>8.8500000000000014</v>
      </c>
      <c r="O138" s="619">
        <v>8890.0400000000009</v>
      </c>
      <c r="P138" s="640">
        <v>0.55934469508930285</v>
      </c>
      <c r="Q138" s="620">
        <v>1004.5242937853106</v>
      </c>
    </row>
    <row r="139" spans="1:17" ht="14.4" customHeight="1" x14ac:dyDescent="0.3">
      <c r="A139" s="615" t="s">
        <v>4325</v>
      </c>
      <c r="B139" s="616" t="s">
        <v>3899</v>
      </c>
      <c r="C139" s="616" t="s">
        <v>3313</v>
      </c>
      <c r="D139" s="616" t="s">
        <v>4331</v>
      </c>
      <c r="E139" s="616" t="s">
        <v>3342</v>
      </c>
      <c r="F139" s="619">
        <v>4.9699999999999989</v>
      </c>
      <c r="G139" s="619">
        <v>51324.999999999993</v>
      </c>
      <c r="H139" s="619">
        <v>1</v>
      </c>
      <c r="I139" s="619">
        <v>10326.961770623744</v>
      </c>
      <c r="J139" s="619">
        <v>2.09</v>
      </c>
      <c r="K139" s="619">
        <v>20665.650000000001</v>
      </c>
      <c r="L139" s="619">
        <v>0.40264296151972734</v>
      </c>
      <c r="M139" s="619">
        <v>9887.8708133971304</v>
      </c>
      <c r="N139" s="619">
        <v>2.5499999999999994</v>
      </c>
      <c r="O139" s="619">
        <v>25214.069999999996</v>
      </c>
      <c r="P139" s="640">
        <v>0.49126293229420359</v>
      </c>
      <c r="Q139" s="620">
        <v>9887.8705882352951</v>
      </c>
    </row>
    <row r="140" spans="1:17" ht="14.4" customHeight="1" x14ac:dyDescent="0.3">
      <c r="A140" s="615" t="s">
        <v>4325</v>
      </c>
      <c r="B140" s="616" t="s">
        <v>3899</v>
      </c>
      <c r="C140" s="616" t="s">
        <v>3313</v>
      </c>
      <c r="D140" s="616" t="s">
        <v>3341</v>
      </c>
      <c r="E140" s="616" t="s">
        <v>3342</v>
      </c>
      <c r="F140" s="619">
        <v>0.4</v>
      </c>
      <c r="G140" s="619">
        <v>2602.6</v>
      </c>
      <c r="H140" s="619">
        <v>1</v>
      </c>
      <c r="I140" s="619">
        <v>6506.4999999999991</v>
      </c>
      <c r="J140" s="619"/>
      <c r="K140" s="619"/>
      <c r="L140" s="619"/>
      <c r="M140" s="619"/>
      <c r="N140" s="619"/>
      <c r="O140" s="619"/>
      <c r="P140" s="640"/>
      <c r="Q140" s="620"/>
    </row>
    <row r="141" spans="1:17" ht="14.4" customHeight="1" x14ac:dyDescent="0.3">
      <c r="A141" s="615" t="s">
        <v>4325</v>
      </c>
      <c r="B141" s="616" t="s">
        <v>3899</v>
      </c>
      <c r="C141" s="616" t="s">
        <v>3313</v>
      </c>
      <c r="D141" s="616" t="s">
        <v>4332</v>
      </c>
      <c r="E141" s="616" t="s">
        <v>4333</v>
      </c>
      <c r="F141" s="619">
        <v>1</v>
      </c>
      <c r="G141" s="619">
        <v>416.3</v>
      </c>
      <c r="H141" s="619">
        <v>1</v>
      </c>
      <c r="I141" s="619">
        <v>416.3</v>
      </c>
      <c r="J141" s="619">
        <v>1</v>
      </c>
      <c r="K141" s="619">
        <v>398.2</v>
      </c>
      <c r="L141" s="619">
        <v>0.9565217391304347</v>
      </c>
      <c r="M141" s="619">
        <v>398.2</v>
      </c>
      <c r="N141" s="619"/>
      <c r="O141" s="619"/>
      <c r="P141" s="640"/>
      <c r="Q141" s="620"/>
    </row>
    <row r="142" spans="1:17" ht="14.4" customHeight="1" x14ac:dyDescent="0.3">
      <c r="A142" s="615" t="s">
        <v>4325</v>
      </c>
      <c r="B142" s="616" t="s">
        <v>3899</v>
      </c>
      <c r="C142" s="616" t="s">
        <v>3313</v>
      </c>
      <c r="D142" s="616" t="s">
        <v>3362</v>
      </c>
      <c r="E142" s="616" t="s">
        <v>3363</v>
      </c>
      <c r="F142" s="619">
        <v>1.32</v>
      </c>
      <c r="G142" s="619">
        <v>7208.24</v>
      </c>
      <c r="H142" s="619">
        <v>1</v>
      </c>
      <c r="I142" s="619">
        <v>5460.7878787878781</v>
      </c>
      <c r="J142" s="619">
        <v>1.3900000000000001</v>
      </c>
      <c r="K142" s="619">
        <v>6153.53</v>
      </c>
      <c r="L142" s="619">
        <v>0.85367995516242523</v>
      </c>
      <c r="M142" s="619">
        <v>4426.9999999999991</v>
      </c>
      <c r="N142" s="619">
        <v>0.81</v>
      </c>
      <c r="O142" s="619">
        <v>3652.1899999999996</v>
      </c>
      <c r="P142" s="640">
        <v>0.50666875686714086</v>
      </c>
      <c r="Q142" s="620">
        <v>4508.8765432098753</v>
      </c>
    </row>
    <row r="143" spans="1:17" ht="14.4" customHeight="1" x14ac:dyDescent="0.3">
      <c r="A143" s="615" t="s">
        <v>4325</v>
      </c>
      <c r="B143" s="616" t="s">
        <v>3899</v>
      </c>
      <c r="C143" s="616" t="s">
        <v>3313</v>
      </c>
      <c r="D143" s="616" t="s">
        <v>4334</v>
      </c>
      <c r="E143" s="616" t="s">
        <v>3363</v>
      </c>
      <c r="F143" s="619">
        <v>2.08</v>
      </c>
      <c r="G143" s="619">
        <v>22716.85</v>
      </c>
      <c r="H143" s="619">
        <v>1</v>
      </c>
      <c r="I143" s="619">
        <v>10921.562499999998</v>
      </c>
      <c r="J143" s="619">
        <v>0.36000000000000004</v>
      </c>
      <c r="K143" s="619">
        <v>3187.4399999999996</v>
      </c>
      <c r="L143" s="619">
        <v>0.14031170694880671</v>
      </c>
      <c r="M143" s="619">
        <v>8853.9999999999982</v>
      </c>
      <c r="N143" s="619">
        <v>0.45999999999999996</v>
      </c>
      <c r="O143" s="619">
        <v>4072.84</v>
      </c>
      <c r="P143" s="640">
        <v>0.17928718110125305</v>
      </c>
      <c r="Q143" s="620">
        <v>8854.0000000000018</v>
      </c>
    </row>
    <row r="144" spans="1:17" ht="14.4" customHeight="1" x14ac:dyDescent="0.3">
      <c r="A144" s="615" t="s">
        <v>4325</v>
      </c>
      <c r="B144" s="616" t="s">
        <v>3899</v>
      </c>
      <c r="C144" s="616" t="s">
        <v>3313</v>
      </c>
      <c r="D144" s="616" t="s">
        <v>4335</v>
      </c>
      <c r="E144" s="616" t="s">
        <v>4336</v>
      </c>
      <c r="F144" s="619">
        <v>1.8</v>
      </c>
      <c r="G144" s="619">
        <v>3520.98</v>
      </c>
      <c r="H144" s="619">
        <v>1</v>
      </c>
      <c r="I144" s="619">
        <v>1956.1</v>
      </c>
      <c r="J144" s="619">
        <v>2.3000000000000003</v>
      </c>
      <c r="K144" s="619">
        <v>4483.3900000000003</v>
      </c>
      <c r="L144" s="619">
        <v>1.2733358326375044</v>
      </c>
      <c r="M144" s="619">
        <v>1949.3</v>
      </c>
      <c r="N144" s="619">
        <v>1.6</v>
      </c>
      <c r="O144" s="619">
        <v>3118.8799999999997</v>
      </c>
      <c r="P144" s="640">
        <v>0.88579884009565513</v>
      </c>
      <c r="Q144" s="620">
        <v>1949.2999999999997</v>
      </c>
    </row>
    <row r="145" spans="1:17" ht="14.4" customHeight="1" x14ac:dyDescent="0.3">
      <c r="A145" s="615" t="s">
        <v>4325</v>
      </c>
      <c r="B145" s="616" t="s">
        <v>3899</v>
      </c>
      <c r="C145" s="616" t="s">
        <v>3313</v>
      </c>
      <c r="D145" s="616" t="s">
        <v>4337</v>
      </c>
      <c r="E145" s="616" t="s">
        <v>3363</v>
      </c>
      <c r="F145" s="619">
        <v>10.030000000000001</v>
      </c>
      <c r="G145" s="619">
        <v>21908.620000000003</v>
      </c>
      <c r="H145" s="619">
        <v>1</v>
      </c>
      <c r="I145" s="619">
        <v>2184.3090727816552</v>
      </c>
      <c r="J145" s="619">
        <v>13.2</v>
      </c>
      <c r="K145" s="619">
        <v>23374.559999999998</v>
      </c>
      <c r="L145" s="619">
        <v>1.0669115626634629</v>
      </c>
      <c r="M145" s="619">
        <v>1770.8</v>
      </c>
      <c r="N145" s="619">
        <v>13.55</v>
      </c>
      <c r="O145" s="619">
        <v>24312.71</v>
      </c>
      <c r="P145" s="640">
        <v>1.1097326075307343</v>
      </c>
      <c r="Q145" s="620">
        <v>1794.2959409594093</v>
      </c>
    </row>
    <row r="146" spans="1:17" ht="14.4" customHeight="1" x14ac:dyDescent="0.3">
      <c r="A146" s="615" t="s">
        <v>4325</v>
      </c>
      <c r="B146" s="616" t="s">
        <v>3899</v>
      </c>
      <c r="C146" s="616" t="s">
        <v>3313</v>
      </c>
      <c r="D146" s="616" t="s">
        <v>4338</v>
      </c>
      <c r="E146" s="616" t="s">
        <v>4339</v>
      </c>
      <c r="F146" s="619">
        <v>0.65</v>
      </c>
      <c r="G146" s="619">
        <v>246.56</v>
      </c>
      <c r="H146" s="619">
        <v>1</v>
      </c>
      <c r="I146" s="619">
        <v>379.32307692307694</v>
      </c>
      <c r="J146" s="619">
        <v>0.95</v>
      </c>
      <c r="K146" s="619">
        <v>491.72</v>
      </c>
      <c r="L146" s="619">
        <v>1.9943218689162883</v>
      </c>
      <c r="M146" s="619">
        <v>517.6</v>
      </c>
      <c r="N146" s="619">
        <v>0.32999999999999996</v>
      </c>
      <c r="O146" s="619">
        <v>170.8</v>
      </c>
      <c r="P146" s="640">
        <v>0.69273199221284887</v>
      </c>
      <c r="Q146" s="620">
        <v>517.57575757575762</v>
      </c>
    </row>
    <row r="147" spans="1:17" ht="14.4" customHeight="1" x14ac:dyDescent="0.3">
      <c r="A147" s="615" t="s">
        <v>4325</v>
      </c>
      <c r="B147" s="616" t="s">
        <v>3899</v>
      </c>
      <c r="C147" s="616" t="s">
        <v>3313</v>
      </c>
      <c r="D147" s="616" t="s">
        <v>4340</v>
      </c>
      <c r="E147" s="616" t="s">
        <v>4341</v>
      </c>
      <c r="F147" s="619">
        <v>0.1</v>
      </c>
      <c r="G147" s="619">
        <v>94.48</v>
      </c>
      <c r="H147" s="619">
        <v>1</v>
      </c>
      <c r="I147" s="619">
        <v>944.8</v>
      </c>
      <c r="J147" s="619">
        <v>0.1</v>
      </c>
      <c r="K147" s="619">
        <v>90.38</v>
      </c>
      <c r="L147" s="619">
        <v>0.95660457239627428</v>
      </c>
      <c r="M147" s="619">
        <v>903.8</v>
      </c>
      <c r="N147" s="619">
        <v>0.15000000000000002</v>
      </c>
      <c r="O147" s="619">
        <v>135.57</v>
      </c>
      <c r="P147" s="640">
        <v>1.4349068585944114</v>
      </c>
      <c r="Q147" s="620">
        <v>903.79999999999984</v>
      </c>
    </row>
    <row r="148" spans="1:17" ht="14.4" customHeight="1" x14ac:dyDescent="0.3">
      <c r="A148" s="615" t="s">
        <v>4325</v>
      </c>
      <c r="B148" s="616" t="s">
        <v>3899</v>
      </c>
      <c r="C148" s="616" t="s">
        <v>3313</v>
      </c>
      <c r="D148" s="616" t="s">
        <v>4342</v>
      </c>
      <c r="E148" s="616" t="s">
        <v>3363</v>
      </c>
      <c r="F148" s="619"/>
      <c r="G148" s="619"/>
      <c r="H148" s="619"/>
      <c r="I148" s="619"/>
      <c r="J148" s="619">
        <v>0.47</v>
      </c>
      <c r="K148" s="619">
        <v>15476.82</v>
      </c>
      <c r="L148" s="619"/>
      <c r="M148" s="619">
        <v>32929.404255319147</v>
      </c>
      <c r="N148" s="619">
        <v>0.67000000000000015</v>
      </c>
      <c r="O148" s="619">
        <v>21527.82</v>
      </c>
      <c r="P148" s="640"/>
      <c r="Q148" s="620">
        <v>32131.074626865666</v>
      </c>
    </row>
    <row r="149" spans="1:17" ht="14.4" customHeight="1" x14ac:dyDescent="0.3">
      <c r="A149" s="615" t="s">
        <v>4325</v>
      </c>
      <c r="B149" s="616" t="s">
        <v>3899</v>
      </c>
      <c r="C149" s="616" t="s">
        <v>3460</v>
      </c>
      <c r="D149" s="616" t="s">
        <v>4343</v>
      </c>
      <c r="E149" s="616" t="s">
        <v>4344</v>
      </c>
      <c r="F149" s="619">
        <v>3</v>
      </c>
      <c r="G149" s="619">
        <v>1768.77</v>
      </c>
      <c r="H149" s="619">
        <v>1</v>
      </c>
      <c r="I149" s="619">
        <v>589.59</v>
      </c>
      <c r="J149" s="619"/>
      <c r="K149" s="619"/>
      <c r="L149" s="619"/>
      <c r="M149" s="619"/>
      <c r="N149" s="619">
        <v>1</v>
      </c>
      <c r="O149" s="619">
        <v>589.59</v>
      </c>
      <c r="P149" s="640">
        <v>0.33333333333333337</v>
      </c>
      <c r="Q149" s="620">
        <v>589.59</v>
      </c>
    </row>
    <row r="150" spans="1:17" ht="14.4" customHeight="1" x14ac:dyDescent="0.3">
      <c r="A150" s="615" t="s">
        <v>4325</v>
      </c>
      <c r="B150" s="616" t="s">
        <v>3899</v>
      </c>
      <c r="C150" s="616" t="s">
        <v>3460</v>
      </c>
      <c r="D150" s="616" t="s">
        <v>4345</v>
      </c>
      <c r="E150" s="616" t="s">
        <v>4346</v>
      </c>
      <c r="F150" s="619"/>
      <c r="G150" s="619"/>
      <c r="H150" s="619"/>
      <c r="I150" s="619"/>
      <c r="J150" s="619">
        <v>1</v>
      </c>
      <c r="K150" s="619">
        <v>1707.1</v>
      </c>
      <c r="L150" s="619"/>
      <c r="M150" s="619">
        <v>1707.1</v>
      </c>
      <c r="N150" s="619"/>
      <c r="O150" s="619"/>
      <c r="P150" s="640"/>
      <c r="Q150" s="620"/>
    </row>
    <row r="151" spans="1:17" ht="14.4" customHeight="1" x14ac:dyDescent="0.3">
      <c r="A151" s="615" t="s">
        <v>4325</v>
      </c>
      <c r="B151" s="616" t="s">
        <v>3899</v>
      </c>
      <c r="C151" s="616" t="s">
        <v>3460</v>
      </c>
      <c r="D151" s="616" t="s">
        <v>4347</v>
      </c>
      <c r="E151" s="616" t="s">
        <v>4348</v>
      </c>
      <c r="F151" s="619"/>
      <c r="G151" s="619"/>
      <c r="H151" s="619"/>
      <c r="I151" s="619"/>
      <c r="J151" s="619">
        <v>1</v>
      </c>
      <c r="K151" s="619">
        <v>1447.28</v>
      </c>
      <c r="L151" s="619"/>
      <c r="M151" s="619">
        <v>1447.28</v>
      </c>
      <c r="N151" s="619"/>
      <c r="O151" s="619"/>
      <c r="P151" s="640"/>
      <c r="Q151" s="620"/>
    </row>
    <row r="152" spans="1:17" ht="14.4" customHeight="1" x14ac:dyDescent="0.3">
      <c r="A152" s="615" t="s">
        <v>4325</v>
      </c>
      <c r="B152" s="616" t="s">
        <v>3899</v>
      </c>
      <c r="C152" s="616" t="s">
        <v>3460</v>
      </c>
      <c r="D152" s="616" t="s">
        <v>4349</v>
      </c>
      <c r="E152" s="616" t="s">
        <v>4350</v>
      </c>
      <c r="F152" s="619">
        <v>3</v>
      </c>
      <c r="G152" s="619">
        <v>2916.96</v>
      </c>
      <c r="H152" s="619">
        <v>1</v>
      </c>
      <c r="I152" s="619">
        <v>972.32</v>
      </c>
      <c r="J152" s="619">
        <v>9</v>
      </c>
      <c r="K152" s="619">
        <v>8750.8799999999992</v>
      </c>
      <c r="L152" s="619">
        <v>2.9999999999999996</v>
      </c>
      <c r="M152" s="619">
        <v>972.31999999999994</v>
      </c>
      <c r="N152" s="619">
        <v>6</v>
      </c>
      <c r="O152" s="619">
        <v>5833.92</v>
      </c>
      <c r="P152" s="640">
        <v>2</v>
      </c>
      <c r="Q152" s="620">
        <v>972.32</v>
      </c>
    </row>
    <row r="153" spans="1:17" ht="14.4" customHeight="1" x14ac:dyDescent="0.3">
      <c r="A153" s="615" t="s">
        <v>4325</v>
      </c>
      <c r="B153" s="616" t="s">
        <v>3899</v>
      </c>
      <c r="C153" s="616" t="s">
        <v>3460</v>
      </c>
      <c r="D153" s="616" t="s">
        <v>4351</v>
      </c>
      <c r="E153" s="616" t="s">
        <v>4350</v>
      </c>
      <c r="F153" s="619"/>
      <c r="G153" s="619"/>
      <c r="H153" s="619"/>
      <c r="I153" s="619"/>
      <c r="J153" s="619"/>
      <c r="K153" s="619"/>
      <c r="L153" s="619"/>
      <c r="M153" s="619"/>
      <c r="N153" s="619">
        <v>1</v>
      </c>
      <c r="O153" s="619">
        <v>1408.42</v>
      </c>
      <c r="P153" s="640"/>
      <c r="Q153" s="620">
        <v>1408.42</v>
      </c>
    </row>
    <row r="154" spans="1:17" ht="14.4" customHeight="1" x14ac:dyDescent="0.3">
      <c r="A154" s="615" t="s">
        <v>4325</v>
      </c>
      <c r="B154" s="616" t="s">
        <v>3899</v>
      </c>
      <c r="C154" s="616" t="s">
        <v>3460</v>
      </c>
      <c r="D154" s="616" t="s">
        <v>4352</v>
      </c>
      <c r="E154" s="616" t="s">
        <v>4350</v>
      </c>
      <c r="F154" s="619">
        <v>24</v>
      </c>
      <c r="G154" s="619">
        <v>40975.440000000002</v>
      </c>
      <c r="H154" s="619">
        <v>1</v>
      </c>
      <c r="I154" s="619">
        <v>1707.3100000000002</v>
      </c>
      <c r="J154" s="619">
        <v>10</v>
      </c>
      <c r="K154" s="619">
        <v>17073.099999999999</v>
      </c>
      <c r="L154" s="619">
        <v>0.41666666666666663</v>
      </c>
      <c r="M154" s="619">
        <v>1707.31</v>
      </c>
      <c r="N154" s="619">
        <v>22</v>
      </c>
      <c r="O154" s="619">
        <v>37560.82</v>
      </c>
      <c r="P154" s="640">
        <v>0.91666666666666663</v>
      </c>
      <c r="Q154" s="620">
        <v>1707.31</v>
      </c>
    </row>
    <row r="155" spans="1:17" ht="14.4" customHeight="1" x14ac:dyDescent="0.3">
      <c r="A155" s="615" t="s">
        <v>4325</v>
      </c>
      <c r="B155" s="616" t="s">
        <v>3899</v>
      </c>
      <c r="C155" s="616" t="s">
        <v>3460</v>
      </c>
      <c r="D155" s="616" t="s">
        <v>4353</v>
      </c>
      <c r="E155" s="616" t="s">
        <v>4350</v>
      </c>
      <c r="F155" s="619">
        <v>4</v>
      </c>
      <c r="G155" s="619">
        <v>8265.2000000000007</v>
      </c>
      <c r="H155" s="619">
        <v>1</v>
      </c>
      <c r="I155" s="619">
        <v>2066.3000000000002</v>
      </c>
      <c r="J155" s="619">
        <v>1</v>
      </c>
      <c r="K155" s="619">
        <v>2066.3000000000002</v>
      </c>
      <c r="L155" s="619">
        <v>0.25</v>
      </c>
      <c r="M155" s="619">
        <v>2066.3000000000002</v>
      </c>
      <c r="N155" s="619">
        <v>4</v>
      </c>
      <c r="O155" s="619">
        <v>8265.2000000000007</v>
      </c>
      <c r="P155" s="640">
        <v>1</v>
      </c>
      <c r="Q155" s="620">
        <v>2066.3000000000002</v>
      </c>
    </row>
    <row r="156" spans="1:17" ht="14.4" customHeight="1" x14ac:dyDescent="0.3">
      <c r="A156" s="615" t="s">
        <v>4325</v>
      </c>
      <c r="B156" s="616" t="s">
        <v>3899</v>
      </c>
      <c r="C156" s="616" t="s">
        <v>3460</v>
      </c>
      <c r="D156" s="616" t="s">
        <v>4354</v>
      </c>
      <c r="E156" s="616" t="s">
        <v>4355</v>
      </c>
      <c r="F156" s="619"/>
      <c r="G156" s="619"/>
      <c r="H156" s="619"/>
      <c r="I156" s="619"/>
      <c r="J156" s="619">
        <v>1</v>
      </c>
      <c r="K156" s="619">
        <v>1932.09</v>
      </c>
      <c r="L156" s="619"/>
      <c r="M156" s="619">
        <v>1932.09</v>
      </c>
      <c r="N156" s="619">
        <v>2</v>
      </c>
      <c r="O156" s="619">
        <v>3864.18</v>
      </c>
      <c r="P156" s="640"/>
      <c r="Q156" s="620">
        <v>1932.09</v>
      </c>
    </row>
    <row r="157" spans="1:17" ht="14.4" customHeight="1" x14ac:dyDescent="0.3">
      <c r="A157" s="615" t="s">
        <v>4325</v>
      </c>
      <c r="B157" s="616" t="s">
        <v>3899</v>
      </c>
      <c r="C157" s="616" t="s">
        <v>3460</v>
      </c>
      <c r="D157" s="616" t="s">
        <v>4356</v>
      </c>
      <c r="E157" s="616" t="s">
        <v>4357</v>
      </c>
      <c r="F157" s="619">
        <v>21</v>
      </c>
      <c r="G157" s="619">
        <v>21582.959999999999</v>
      </c>
      <c r="H157" s="619">
        <v>1</v>
      </c>
      <c r="I157" s="619">
        <v>1027.76</v>
      </c>
      <c r="J157" s="619">
        <v>7</v>
      </c>
      <c r="K157" s="619">
        <v>7194.3200000000006</v>
      </c>
      <c r="L157" s="619">
        <v>0.33333333333333337</v>
      </c>
      <c r="M157" s="619">
        <v>1027.76</v>
      </c>
      <c r="N157" s="619">
        <v>15</v>
      </c>
      <c r="O157" s="619">
        <v>15416.400000000001</v>
      </c>
      <c r="P157" s="640">
        <v>0.71428571428571441</v>
      </c>
      <c r="Q157" s="620">
        <v>1027.76</v>
      </c>
    </row>
    <row r="158" spans="1:17" ht="14.4" customHeight="1" x14ac:dyDescent="0.3">
      <c r="A158" s="615" t="s">
        <v>4325</v>
      </c>
      <c r="B158" s="616" t="s">
        <v>3899</v>
      </c>
      <c r="C158" s="616" t="s">
        <v>3460</v>
      </c>
      <c r="D158" s="616" t="s">
        <v>4358</v>
      </c>
      <c r="E158" s="616" t="s">
        <v>4357</v>
      </c>
      <c r="F158" s="619">
        <v>5</v>
      </c>
      <c r="G158" s="619">
        <v>10709.25</v>
      </c>
      <c r="H158" s="619">
        <v>1</v>
      </c>
      <c r="I158" s="619">
        <v>2141.85</v>
      </c>
      <c r="J158" s="619">
        <v>3</v>
      </c>
      <c r="K158" s="619">
        <v>6425.5499999999993</v>
      </c>
      <c r="L158" s="619">
        <v>0.6</v>
      </c>
      <c r="M158" s="619">
        <v>2141.85</v>
      </c>
      <c r="N158" s="619">
        <v>8</v>
      </c>
      <c r="O158" s="619">
        <v>17134.8</v>
      </c>
      <c r="P158" s="640">
        <v>1.5999999999999999</v>
      </c>
      <c r="Q158" s="620">
        <v>2141.85</v>
      </c>
    </row>
    <row r="159" spans="1:17" ht="14.4" customHeight="1" x14ac:dyDescent="0.3">
      <c r="A159" s="615" t="s">
        <v>4325</v>
      </c>
      <c r="B159" s="616" t="s">
        <v>3899</v>
      </c>
      <c r="C159" s="616" t="s">
        <v>3460</v>
      </c>
      <c r="D159" s="616" t="s">
        <v>4359</v>
      </c>
      <c r="E159" s="616" t="s">
        <v>4360</v>
      </c>
      <c r="F159" s="619">
        <v>1</v>
      </c>
      <c r="G159" s="619">
        <v>466.78</v>
      </c>
      <c r="H159" s="619">
        <v>1</v>
      </c>
      <c r="I159" s="619">
        <v>466.78</v>
      </c>
      <c r="J159" s="619"/>
      <c r="K159" s="619"/>
      <c r="L159" s="619"/>
      <c r="M159" s="619"/>
      <c r="N159" s="619"/>
      <c r="O159" s="619"/>
      <c r="P159" s="640"/>
      <c r="Q159" s="620"/>
    </row>
    <row r="160" spans="1:17" ht="14.4" customHeight="1" x14ac:dyDescent="0.3">
      <c r="A160" s="615" t="s">
        <v>4325</v>
      </c>
      <c r="B160" s="616" t="s">
        <v>3899</v>
      </c>
      <c r="C160" s="616" t="s">
        <v>3460</v>
      </c>
      <c r="D160" s="616" t="s">
        <v>4361</v>
      </c>
      <c r="E160" s="616" t="s">
        <v>4362</v>
      </c>
      <c r="F160" s="619"/>
      <c r="G160" s="619"/>
      <c r="H160" s="619"/>
      <c r="I160" s="619"/>
      <c r="J160" s="619"/>
      <c r="K160" s="619"/>
      <c r="L160" s="619"/>
      <c r="M160" s="619"/>
      <c r="N160" s="619">
        <v>1</v>
      </c>
      <c r="O160" s="619">
        <v>8536.5499999999993</v>
      </c>
      <c r="P160" s="640"/>
      <c r="Q160" s="620">
        <v>8536.5499999999993</v>
      </c>
    </row>
    <row r="161" spans="1:17" ht="14.4" customHeight="1" x14ac:dyDescent="0.3">
      <c r="A161" s="615" t="s">
        <v>4325</v>
      </c>
      <c r="B161" s="616" t="s">
        <v>3899</v>
      </c>
      <c r="C161" s="616" t="s">
        <v>3460</v>
      </c>
      <c r="D161" s="616" t="s">
        <v>4363</v>
      </c>
      <c r="E161" s="616" t="s">
        <v>4364</v>
      </c>
      <c r="F161" s="619"/>
      <c r="G161" s="619"/>
      <c r="H161" s="619"/>
      <c r="I161" s="619"/>
      <c r="J161" s="619"/>
      <c r="K161" s="619"/>
      <c r="L161" s="619"/>
      <c r="M161" s="619"/>
      <c r="N161" s="619">
        <v>1</v>
      </c>
      <c r="O161" s="619">
        <v>55397.2</v>
      </c>
      <c r="P161" s="640"/>
      <c r="Q161" s="620">
        <v>55397.2</v>
      </c>
    </row>
    <row r="162" spans="1:17" ht="14.4" customHeight="1" x14ac:dyDescent="0.3">
      <c r="A162" s="615" t="s">
        <v>4325</v>
      </c>
      <c r="B162" s="616" t="s">
        <v>3899</v>
      </c>
      <c r="C162" s="616" t="s">
        <v>3460</v>
      </c>
      <c r="D162" s="616" t="s">
        <v>4365</v>
      </c>
      <c r="E162" s="616" t="s">
        <v>4366</v>
      </c>
      <c r="F162" s="619">
        <v>2</v>
      </c>
      <c r="G162" s="619">
        <v>5166</v>
      </c>
      <c r="H162" s="619">
        <v>1</v>
      </c>
      <c r="I162" s="619">
        <v>2583</v>
      </c>
      <c r="J162" s="619"/>
      <c r="K162" s="619"/>
      <c r="L162" s="619"/>
      <c r="M162" s="619"/>
      <c r="N162" s="619"/>
      <c r="O162" s="619"/>
      <c r="P162" s="640"/>
      <c r="Q162" s="620"/>
    </row>
    <row r="163" spans="1:17" ht="14.4" customHeight="1" x14ac:dyDescent="0.3">
      <c r="A163" s="615" t="s">
        <v>4325</v>
      </c>
      <c r="B163" s="616" t="s">
        <v>3899</v>
      </c>
      <c r="C163" s="616" t="s">
        <v>3460</v>
      </c>
      <c r="D163" s="616" t="s">
        <v>4367</v>
      </c>
      <c r="E163" s="616" t="s">
        <v>4368</v>
      </c>
      <c r="F163" s="619">
        <v>4</v>
      </c>
      <c r="G163" s="619">
        <v>12013.52</v>
      </c>
      <c r="H163" s="619">
        <v>1</v>
      </c>
      <c r="I163" s="619">
        <v>3003.38</v>
      </c>
      <c r="J163" s="619">
        <v>1</v>
      </c>
      <c r="K163" s="619">
        <v>3003.38</v>
      </c>
      <c r="L163" s="619">
        <v>0.25</v>
      </c>
      <c r="M163" s="619">
        <v>3003.38</v>
      </c>
      <c r="N163" s="619">
        <v>3</v>
      </c>
      <c r="O163" s="619">
        <v>9010.14</v>
      </c>
      <c r="P163" s="640">
        <v>0.74999999999999989</v>
      </c>
      <c r="Q163" s="620">
        <v>3003.3799999999997</v>
      </c>
    </row>
    <row r="164" spans="1:17" ht="14.4" customHeight="1" x14ac:dyDescent="0.3">
      <c r="A164" s="615" t="s">
        <v>4325</v>
      </c>
      <c r="B164" s="616" t="s">
        <v>3899</v>
      </c>
      <c r="C164" s="616" t="s">
        <v>3460</v>
      </c>
      <c r="D164" s="616" t="s">
        <v>4369</v>
      </c>
      <c r="E164" s="616" t="s">
        <v>4370</v>
      </c>
      <c r="F164" s="619">
        <v>1</v>
      </c>
      <c r="G164" s="619">
        <v>2236.5</v>
      </c>
      <c r="H164" s="619">
        <v>1</v>
      </c>
      <c r="I164" s="619">
        <v>2236.5</v>
      </c>
      <c r="J164" s="619"/>
      <c r="K164" s="619"/>
      <c r="L164" s="619"/>
      <c r="M164" s="619"/>
      <c r="N164" s="619">
        <v>2</v>
      </c>
      <c r="O164" s="619">
        <v>4473</v>
      </c>
      <c r="P164" s="640">
        <v>2</v>
      </c>
      <c r="Q164" s="620">
        <v>2236.5</v>
      </c>
    </row>
    <row r="165" spans="1:17" ht="14.4" customHeight="1" x14ac:dyDescent="0.3">
      <c r="A165" s="615" t="s">
        <v>4325</v>
      </c>
      <c r="B165" s="616" t="s">
        <v>3899</v>
      </c>
      <c r="C165" s="616" t="s">
        <v>3460</v>
      </c>
      <c r="D165" s="616" t="s">
        <v>4371</v>
      </c>
      <c r="E165" s="616" t="s">
        <v>4372</v>
      </c>
      <c r="F165" s="619">
        <v>19</v>
      </c>
      <c r="G165" s="619">
        <v>130924.81999999999</v>
      </c>
      <c r="H165" s="619">
        <v>1</v>
      </c>
      <c r="I165" s="619">
        <v>6890.78</v>
      </c>
      <c r="J165" s="619">
        <v>7</v>
      </c>
      <c r="K165" s="619">
        <v>48235.46</v>
      </c>
      <c r="L165" s="619">
        <v>0.36842105263157898</v>
      </c>
      <c r="M165" s="619">
        <v>6890.78</v>
      </c>
      <c r="N165" s="619">
        <v>25</v>
      </c>
      <c r="O165" s="619">
        <v>172269.5</v>
      </c>
      <c r="P165" s="640">
        <v>1.3157894736842106</v>
      </c>
      <c r="Q165" s="620">
        <v>6890.78</v>
      </c>
    </row>
    <row r="166" spans="1:17" ht="14.4" customHeight="1" x14ac:dyDescent="0.3">
      <c r="A166" s="615" t="s">
        <v>4325</v>
      </c>
      <c r="B166" s="616" t="s">
        <v>3899</v>
      </c>
      <c r="C166" s="616" t="s">
        <v>3460</v>
      </c>
      <c r="D166" s="616" t="s">
        <v>4373</v>
      </c>
      <c r="E166" s="616" t="s">
        <v>4374</v>
      </c>
      <c r="F166" s="619"/>
      <c r="G166" s="619"/>
      <c r="H166" s="619"/>
      <c r="I166" s="619"/>
      <c r="J166" s="619">
        <v>1</v>
      </c>
      <c r="K166" s="619">
        <v>19196.8</v>
      </c>
      <c r="L166" s="619"/>
      <c r="M166" s="619">
        <v>19196.8</v>
      </c>
      <c r="N166" s="619">
        <v>1</v>
      </c>
      <c r="O166" s="619">
        <v>19196.8</v>
      </c>
      <c r="P166" s="640"/>
      <c r="Q166" s="620">
        <v>19196.8</v>
      </c>
    </row>
    <row r="167" spans="1:17" ht="14.4" customHeight="1" x14ac:dyDescent="0.3">
      <c r="A167" s="615" t="s">
        <v>4325</v>
      </c>
      <c r="B167" s="616" t="s">
        <v>3899</v>
      </c>
      <c r="C167" s="616" t="s">
        <v>3460</v>
      </c>
      <c r="D167" s="616" t="s">
        <v>4375</v>
      </c>
      <c r="E167" s="616" t="s">
        <v>4376</v>
      </c>
      <c r="F167" s="619">
        <v>5</v>
      </c>
      <c r="G167" s="619">
        <v>20689.45</v>
      </c>
      <c r="H167" s="619">
        <v>1</v>
      </c>
      <c r="I167" s="619">
        <v>4137.8900000000003</v>
      </c>
      <c r="J167" s="619">
        <v>2</v>
      </c>
      <c r="K167" s="619">
        <v>8275.7800000000007</v>
      </c>
      <c r="L167" s="619">
        <v>0.4</v>
      </c>
      <c r="M167" s="619">
        <v>4137.8900000000003</v>
      </c>
      <c r="N167" s="619">
        <v>1</v>
      </c>
      <c r="O167" s="619">
        <v>4137.8900000000003</v>
      </c>
      <c r="P167" s="640">
        <v>0.2</v>
      </c>
      <c r="Q167" s="620">
        <v>4137.8900000000003</v>
      </c>
    </row>
    <row r="168" spans="1:17" ht="14.4" customHeight="1" x14ac:dyDescent="0.3">
      <c r="A168" s="615" t="s">
        <v>4325</v>
      </c>
      <c r="B168" s="616" t="s">
        <v>3899</v>
      </c>
      <c r="C168" s="616" t="s">
        <v>3460</v>
      </c>
      <c r="D168" s="616" t="s">
        <v>4377</v>
      </c>
      <c r="E168" s="616" t="s">
        <v>4378</v>
      </c>
      <c r="F168" s="619">
        <v>1</v>
      </c>
      <c r="G168" s="619">
        <v>1123.73</v>
      </c>
      <c r="H168" s="619">
        <v>1</v>
      </c>
      <c r="I168" s="619">
        <v>1123.73</v>
      </c>
      <c r="J168" s="619"/>
      <c r="K168" s="619"/>
      <c r="L168" s="619"/>
      <c r="M168" s="619"/>
      <c r="N168" s="619"/>
      <c r="O168" s="619"/>
      <c r="P168" s="640"/>
      <c r="Q168" s="620"/>
    </row>
    <row r="169" spans="1:17" ht="14.4" customHeight="1" x14ac:dyDescent="0.3">
      <c r="A169" s="615" t="s">
        <v>4325</v>
      </c>
      <c r="B169" s="616" t="s">
        <v>3899</v>
      </c>
      <c r="C169" s="616" t="s">
        <v>3460</v>
      </c>
      <c r="D169" s="616" t="s">
        <v>4379</v>
      </c>
      <c r="E169" s="616" t="s">
        <v>4380</v>
      </c>
      <c r="F169" s="619">
        <v>3</v>
      </c>
      <c r="G169" s="619">
        <v>51219.149999999994</v>
      </c>
      <c r="H169" s="619">
        <v>1</v>
      </c>
      <c r="I169" s="619">
        <v>17073.05</v>
      </c>
      <c r="J169" s="619">
        <v>1</v>
      </c>
      <c r="K169" s="619">
        <v>17073.05</v>
      </c>
      <c r="L169" s="619">
        <v>0.33333333333333337</v>
      </c>
      <c r="M169" s="619">
        <v>17073.05</v>
      </c>
      <c r="N169" s="619"/>
      <c r="O169" s="619"/>
      <c r="P169" s="640"/>
      <c r="Q169" s="620"/>
    </row>
    <row r="170" spans="1:17" ht="14.4" customHeight="1" x14ac:dyDescent="0.3">
      <c r="A170" s="615" t="s">
        <v>4325</v>
      </c>
      <c r="B170" s="616" t="s">
        <v>3899</v>
      </c>
      <c r="C170" s="616" t="s">
        <v>3460</v>
      </c>
      <c r="D170" s="616" t="s">
        <v>4381</v>
      </c>
      <c r="E170" s="616" t="s">
        <v>4382</v>
      </c>
      <c r="F170" s="619">
        <v>4</v>
      </c>
      <c r="G170" s="619">
        <v>4011.2</v>
      </c>
      <c r="H170" s="619">
        <v>1</v>
      </c>
      <c r="I170" s="619">
        <v>1002.8</v>
      </c>
      <c r="J170" s="619">
        <v>4</v>
      </c>
      <c r="K170" s="619">
        <v>4011.2</v>
      </c>
      <c r="L170" s="619">
        <v>1</v>
      </c>
      <c r="M170" s="619">
        <v>1002.8</v>
      </c>
      <c r="N170" s="619">
        <v>12</v>
      </c>
      <c r="O170" s="619">
        <v>12033.6</v>
      </c>
      <c r="P170" s="640">
        <v>3.0000000000000004</v>
      </c>
      <c r="Q170" s="620">
        <v>1002.8000000000001</v>
      </c>
    </row>
    <row r="171" spans="1:17" ht="14.4" customHeight="1" x14ac:dyDescent="0.3">
      <c r="A171" s="615" t="s">
        <v>4325</v>
      </c>
      <c r="B171" s="616" t="s">
        <v>3899</v>
      </c>
      <c r="C171" s="616" t="s">
        <v>3460</v>
      </c>
      <c r="D171" s="616" t="s">
        <v>4383</v>
      </c>
      <c r="E171" s="616" t="s">
        <v>4384</v>
      </c>
      <c r="F171" s="619">
        <v>7</v>
      </c>
      <c r="G171" s="619">
        <v>53550</v>
      </c>
      <c r="H171" s="619">
        <v>1</v>
      </c>
      <c r="I171" s="619">
        <v>7650</v>
      </c>
      <c r="J171" s="619">
        <v>3</v>
      </c>
      <c r="K171" s="619">
        <v>22950</v>
      </c>
      <c r="L171" s="619">
        <v>0.42857142857142855</v>
      </c>
      <c r="M171" s="619">
        <v>7650</v>
      </c>
      <c r="N171" s="619">
        <v>10</v>
      </c>
      <c r="O171" s="619">
        <v>76500</v>
      </c>
      <c r="P171" s="640">
        <v>1.4285714285714286</v>
      </c>
      <c r="Q171" s="620">
        <v>7650</v>
      </c>
    </row>
    <row r="172" spans="1:17" ht="14.4" customHeight="1" x14ac:dyDescent="0.3">
      <c r="A172" s="615" t="s">
        <v>4325</v>
      </c>
      <c r="B172" s="616" t="s">
        <v>3899</v>
      </c>
      <c r="C172" s="616" t="s">
        <v>3460</v>
      </c>
      <c r="D172" s="616" t="s">
        <v>4385</v>
      </c>
      <c r="E172" s="616" t="s">
        <v>4386</v>
      </c>
      <c r="F172" s="619">
        <v>3</v>
      </c>
      <c r="G172" s="619">
        <v>39853.56</v>
      </c>
      <c r="H172" s="619">
        <v>1</v>
      </c>
      <c r="I172" s="619">
        <v>13284.519999999999</v>
      </c>
      <c r="J172" s="619">
        <v>1</v>
      </c>
      <c r="K172" s="619">
        <v>13284.52</v>
      </c>
      <c r="L172" s="619">
        <v>0.33333333333333337</v>
      </c>
      <c r="M172" s="619">
        <v>13284.52</v>
      </c>
      <c r="N172" s="619"/>
      <c r="O172" s="619"/>
      <c r="P172" s="640"/>
      <c r="Q172" s="620"/>
    </row>
    <row r="173" spans="1:17" ht="14.4" customHeight="1" x14ac:dyDescent="0.3">
      <c r="A173" s="615" t="s">
        <v>4325</v>
      </c>
      <c r="B173" s="616" t="s">
        <v>3899</v>
      </c>
      <c r="C173" s="616" t="s">
        <v>3460</v>
      </c>
      <c r="D173" s="616" t="s">
        <v>4387</v>
      </c>
      <c r="E173" s="616" t="s">
        <v>4388</v>
      </c>
      <c r="F173" s="619">
        <v>4</v>
      </c>
      <c r="G173" s="619">
        <v>8683.8799999999992</v>
      </c>
      <c r="H173" s="619">
        <v>1</v>
      </c>
      <c r="I173" s="619">
        <v>2170.9699999999998</v>
      </c>
      <c r="J173" s="619">
        <v>1</v>
      </c>
      <c r="K173" s="619">
        <v>2170.9699999999998</v>
      </c>
      <c r="L173" s="619">
        <v>0.25</v>
      </c>
      <c r="M173" s="619">
        <v>2170.9699999999998</v>
      </c>
      <c r="N173" s="619">
        <v>3</v>
      </c>
      <c r="O173" s="619">
        <v>6512.91</v>
      </c>
      <c r="P173" s="640">
        <v>0.75</v>
      </c>
      <c r="Q173" s="620">
        <v>2170.9699999999998</v>
      </c>
    </row>
    <row r="174" spans="1:17" ht="14.4" customHeight="1" x14ac:dyDescent="0.3">
      <c r="A174" s="615" t="s">
        <v>4325</v>
      </c>
      <c r="B174" s="616" t="s">
        <v>3899</v>
      </c>
      <c r="C174" s="616" t="s">
        <v>3460</v>
      </c>
      <c r="D174" s="616" t="s">
        <v>4389</v>
      </c>
      <c r="E174" s="616" t="s">
        <v>4390</v>
      </c>
      <c r="F174" s="619">
        <v>4</v>
      </c>
      <c r="G174" s="619">
        <v>3188</v>
      </c>
      <c r="H174" s="619">
        <v>1</v>
      </c>
      <c r="I174" s="619">
        <v>797</v>
      </c>
      <c r="J174" s="619">
        <v>1</v>
      </c>
      <c r="K174" s="619">
        <v>797</v>
      </c>
      <c r="L174" s="619">
        <v>0.25</v>
      </c>
      <c r="M174" s="619">
        <v>797</v>
      </c>
      <c r="N174" s="619">
        <v>6</v>
      </c>
      <c r="O174" s="619">
        <v>4782</v>
      </c>
      <c r="P174" s="640">
        <v>1.5</v>
      </c>
      <c r="Q174" s="620">
        <v>797</v>
      </c>
    </row>
    <row r="175" spans="1:17" ht="14.4" customHeight="1" x14ac:dyDescent="0.3">
      <c r="A175" s="615" t="s">
        <v>4325</v>
      </c>
      <c r="B175" s="616" t="s">
        <v>3899</v>
      </c>
      <c r="C175" s="616" t="s">
        <v>3460</v>
      </c>
      <c r="D175" s="616" t="s">
        <v>4391</v>
      </c>
      <c r="E175" s="616" t="s">
        <v>4392</v>
      </c>
      <c r="F175" s="619">
        <v>1</v>
      </c>
      <c r="G175" s="619">
        <v>10072.94</v>
      </c>
      <c r="H175" s="619">
        <v>1</v>
      </c>
      <c r="I175" s="619">
        <v>10072.94</v>
      </c>
      <c r="J175" s="619"/>
      <c r="K175" s="619"/>
      <c r="L175" s="619"/>
      <c r="M175" s="619"/>
      <c r="N175" s="619"/>
      <c r="O175" s="619"/>
      <c r="P175" s="640"/>
      <c r="Q175" s="620"/>
    </row>
    <row r="176" spans="1:17" ht="14.4" customHeight="1" x14ac:dyDescent="0.3">
      <c r="A176" s="615" t="s">
        <v>4325</v>
      </c>
      <c r="B176" s="616" t="s">
        <v>3899</v>
      </c>
      <c r="C176" s="616" t="s">
        <v>3460</v>
      </c>
      <c r="D176" s="616" t="s">
        <v>4393</v>
      </c>
      <c r="E176" s="616" t="s">
        <v>4394</v>
      </c>
      <c r="F176" s="619">
        <v>2</v>
      </c>
      <c r="G176" s="619">
        <v>5948.72</v>
      </c>
      <c r="H176" s="619">
        <v>1</v>
      </c>
      <c r="I176" s="619">
        <v>2974.36</v>
      </c>
      <c r="J176" s="619">
        <v>1</v>
      </c>
      <c r="K176" s="619">
        <v>2974.36</v>
      </c>
      <c r="L176" s="619">
        <v>0.5</v>
      </c>
      <c r="M176" s="619">
        <v>2974.36</v>
      </c>
      <c r="N176" s="619"/>
      <c r="O176" s="619"/>
      <c r="P176" s="640"/>
      <c r="Q176" s="620"/>
    </row>
    <row r="177" spans="1:17" ht="14.4" customHeight="1" x14ac:dyDescent="0.3">
      <c r="A177" s="615" t="s">
        <v>4325</v>
      </c>
      <c r="B177" s="616" t="s">
        <v>3899</v>
      </c>
      <c r="C177" s="616" t="s">
        <v>3460</v>
      </c>
      <c r="D177" s="616" t="s">
        <v>3602</v>
      </c>
      <c r="E177" s="616" t="s">
        <v>3603</v>
      </c>
      <c r="F177" s="619"/>
      <c r="G177" s="619"/>
      <c r="H177" s="619"/>
      <c r="I177" s="619"/>
      <c r="J177" s="619">
        <v>1</v>
      </c>
      <c r="K177" s="619">
        <v>3360</v>
      </c>
      <c r="L177" s="619"/>
      <c r="M177" s="619">
        <v>3360</v>
      </c>
      <c r="N177" s="619"/>
      <c r="O177" s="619"/>
      <c r="P177" s="640"/>
      <c r="Q177" s="620"/>
    </row>
    <row r="178" spans="1:17" ht="14.4" customHeight="1" x14ac:dyDescent="0.3">
      <c r="A178" s="615" t="s">
        <v>4325</v>
      </c>
      <c r="B178" s="616" t="s">
        <v>3899</v>
      </c>
      <c r="C178" s="616" t="s">
        <v>3460</v>
      </c>
      <c r="D178" s="616" t="s">
        <v>4395</v>
      </c>
      <c r="E178" s="616" t="s">
        <v>4396</v>
      </c>
      <c r="F178" s="619">
        <v>3</v>
      </c>
      <c r="G178" s="619">
        <v>15777.689999999999</v>
      </c>
      <c r="H178" s="619">
        <v>1</v>
      </c>
      <c r="I178" s="619">
        <v>5259.23</v>
      </c>
      <c r="J178" s="619">
        <v>8</v>
      </c>
      <c r="K178" s="619">
        <v>42073.84</v>
      </c>
      <c r="L178" s="619">
        <v>2.6666666666666665</v>
      </c>
      <c r="M178" s="619">
        <v>5259.23</v>
      </c>
      <c r="N178" s="619">
        <v>8</v>
      </c>
      <c r="O178" s="619">
        <v>42073.840000000004</v>
      </c>
      <c r="P178" s="640">
        <v>2.666666666666667</v>
      </c>
      <c r="Q178" s="620">
        <v>5259.2300000000005</v>
      </c>
    </row>
    <row r="179" spans="1:17" ht="14.4" customHeight="1" x14ac:dyDescent="0.3">
      <c r="A179" s="615" t="s">
        <v>4325</v>
      </c>
      <c r="B179" s="616" t="s">
        <v>3899</v>
      </c>
      <c r="C179" s="616" t="s">
        <v>3460</v>
      </c>
      <c r="D179" s="616" t="s">
        <v>4397</v>
      </c>
      <c r="E179" s="616" t="s">
        <v>4398</v>
      </c>
      <c r="F179" s="619"/>
      <c r="G179" s="619"/>
      <c r="H179" s="619"/>
      <c r="I179" s="619"/>
      <c r="J179" s="619"/>
      <c r="K179" s="619"/>
      <c r="L179" s="619"/>
      <c r="M179" s="619"/>
      <c r="N179" s="619">
        <v>1</v>
      </c>
      <c r="O179" s="619">
        <v>1497.44</v>
      </c>
      <c r="P179" s="640"/>
      <c r="Q179" s="620">
        <v>1497.44</v>
      </c>
    </row>
    <row r="180" spans="1:17" ht="14.4" customHeight="1" x14ac:dyDescent="0.3">
      <c r="A180" s="615" t="s">
        <v>4325</v>
      </c>
      <c r="B180" s="616" t="s">
        <v>3899</v>
      </c>
      <c r="C180" s="616" t="s">
        <v>3460</v>
      </c>
      <c r="D180" s="616" t="s">
        <v>4399</v>
      </c>
      <c r="E180" s="616" t="s">
        <v>4400</v>
      </c>
      <c r="F180" s="619">
        <v>1</v>
      </c>
      <c r="G180" s="619">
        <v>605.65</v>
      </c>
      <c r="H180" s="619">
        <v>1</v>
      </c>
      <c r="I180" s="619">
        <v>605.65</v>
      </c>
      <c r="J180" s="619">
        <v>2</v>
      </c>
      <c r="K180" s="619">
        <v>1211.3</v>
      </c>
      <c r="L180" s="619">
        <v>2</v>
      </c>
      <c r="M180" s="619">
        <v>605.65</v>
      </c>
      <c r="N180" s="619">
        <v>1</v>
      </c>
      <c r="O180" s="619">
        <v>605.65</v>
      </c>
      <c r="P180" s="640">
        <v>1</v>
      </c>
      <c r="Q180" s="620">
        <v>605.65</v>
      </c>
    </row>
    <row r="181" spans="1:17" ht="14.4" customHeight="1" x14ac:dyDescent="0.3">
      <c r="A181" s="615" t="s">
        <v>4325</v>
      </c>
      <c r="B181" s="616" t="s">
        <v>3899</v>
      </c>
      <c r="C181" s="616" t="s">
        <v>3460</v>
      </c>
      <c r="D181" s="616" t="s">
        <v>4401</v>
      </c>
      <c r="E181" s="616" t="s">
        <v>4402</v>
      </c>
      <c r="F181" s="619">
        <v>2</v>
      </c>
      <c r="G181" s="619">
        <v>34763.980000000003</v>
      </c>
      <c r="H181" s="619">
        <v>1</v>
      </c>
      <c r="I181" s="619">
        <v>17381.990000000002</v>
      </c>
      <c r="J181" s="619">
        <v>1</v>
      </c>
      <c r="K181" s="619">
        <v>17381.990000000002</v>
      </c>
      <c r="L181" s="619">
        <v>0.5</v>
      </c>
      <c r="M181" s="619">
        <v>17381.990000000002</v>
      </c>
      <c r="N181" s="619"/>
      <c r="O181" s="619"/>
      <c r="P181" s="640"/>
      <c r="Q181" s="620"/>
    </row>
    <row r="182" spans="1:17" ht="14.4" customHeight="1" x14ac:dyDescent="0.3">
      <c r="A182" s="615" t="s">
        <v>4325</v>
      </c>
      <c r="B182" s="616" t="s">
        <v>3899</v>
      </c>
      <c r="C182" s="616" t="s">
        <v>3460</v>
      </c>
      <c r="D182" s="616" t="s">
        <v>4403</v>
      </c>
      <c r="E182" s="616" t="s">
        <v>4404</v>
      </c>
      <c r="F182" s="619">
        <v>2</v>
      </c>
      <c r="G182" s="619">
        <v>1662.32</v>
      </c>
      <c r="H182" s="619">
        <v>1</v>
      </c>
      <c r="I182" s="619">
        <v>831.16</v>
      </c>
      <c r="J182" s="619">
        <v>1</v>
      </c>
      <c r="K182" s="619">
        <v>831.16</v>
      </c>
      <c r="L182" s="619">
        <v>0.5</v>
      </c>
      <c r="M182" s="619">
        <v>831.16</v>
      </c>
      <c r="N182" s="619">
        <v>2</v>
      </c>
      <c r="O182" s="619">
        <v>1662.32</v>
      </c>
      <c r="P182" s="640">
        <v>1</v>
      </c>
      <c r="Q182" s="620">
        <v>831.16</v>
      </c>
    </row>
    <row r="183" spans="1:17" ht="14.4" customHeight="1" x14ac:dyDescent="0.3">
      <c r="A183" s="615" t="s">
        <v>4325</v>
      </c>
      <c r="B183" s="616" t="s">
        <v>3899</v>
      </c>
      <c r="C183" s="616" t="s">
        <v>3460</v>
      </c>
      <c r="D183" s="616" t="s">
        <v>4405</v>
      </c>
      <c r="E183" s="616" t="s">
        <v>4404</v>
      </c>
      <c r="F183" s="619">
        <v>8</v>
      </c>
      <c r="G183" s="619">
        <v>7104.48</v>
      </c>
      <c r="H183" s="619">
        <v>1</v>
      </c>
      <c r="I183" s="619">
        <v>888.06</v>
      </c>
      <c r="J183" s="619">
        <v>11</v>
      </c>
      <c r="K183" s="619">
        <v>9768.659999999998</v>
      </c>
      <c r="L183" s="619">
        <v>1.3749999999999998</v>
      </c>
      <c r="M183" s="619">
        <v>888.05999999999983</v>
      </c>
      <c r="N183" s="619">
        <v>8</v>
      </c>
      <c r="O183" s="619">
        <v>7104.48</v>
      </c>
      <c r="P183" s="640">
        <v>1</v>
      </c>
      <c r="Q183" s="620">
        <v>888.06</v>
      </c>
    </row>
    <row r="184" spans="1:17" ht="14.4" customHeight="1" x14ac:dyDescent="0.3">
      <c r="A184" s="615" t="s">
        <v>4325</v>
      </c>
      <c r="B184" s="616" t="s">
        <v>3899</v>
      </c>
      <c r="C184" s="616" t="s">
        <v>3460</v>
      </c>
      <c r="D184" s="616" t="s">
        <v>4406</v>
      </c>
      <c r="E184" s="616" t="s">
        <v>4407</v>
      </c>
      <c r="F184" s="619">
        <v>6</v>
      </c>
      <c r="G184" s="619">
        <v>5328.36</v>
      </c>
      <c r="H184" s="619">
        <v>1</v>
      </c>
      <c r="I184" s="619">
        <v>888.06</v>
      </c>
      <c r="J184" s="619">
        <v>3</v>
      </c>
      <c r="K184" s="619">
        <v>2664.18</v>
      </c>
      <c r="L184" s="619">
        <v>0.5</v>
      </c>
      <c r="M184" s="619">
        <v>888.06</v>
      </c>
      <c r="N184" s="619">
        <v>3</v>
      </c>
      <c r="O184" s="619">
        <v>2664.18</v>
      </c>
      <c r="P184" s="640">
        <v>0.5</v>
      </c>
      <c r="Q184" s="620">
        <v>888.06</v>
      </c>
    </row>
    <row r="185" spans="1:17" ht="14.4" customHeight="1" x14ac:dyDescent="0.3">
      <c r="A185" s="615" t="s">
        <v>4325</v>
      </c>
      <c r="B185" s="616" t="s">
        <v>3899</v>
      </c>
      <c r="C185" s="616" t="s">
        <v>3460</v>
      </c>
      <c r="D185" s="616" t="s">
        <v>4408</v>
      </c>
      <c r="E185" s="616" t="s">
        <v>4409</v>
      </c>
      <c r="F185" s="619">
        <v>2</v>
      </c>
      <c r="G185" s="619">
        <v>1662.32</v>
      </c>
      <c r="H185" s="619">
        <v>1</v>
      </c>
      <c r="I185" s="619">
        <v>831.16</v>
      </c>
      <c r="J185" s="619">
        <v>1</v>
      </c>
      <c r="K185" s="619">
        <v>831.16</v>
      </c>
      <c r="L185" s="619">
        <v>0.5</v>
      </c>
      <c r="M185" s="619">
        <v>831.16</v>
      </c>
      <c r="N185" s="619"/>
      <c r="O185" s="619"/>
      <c r="P185" s="640"/>
      <c r="Q185" s="620"/>
    </row>
    <row r="186" spans="1:17" ht="14.4" customHeight="1" x14ac:dyDescent="0.3">
      <c r="A186" s="615" t="s">
        <v>4325</v>
      </c>
      <c r="B186" s="616" t="s">
        <v>3899</v>
      </c>
      <c r="C186" s="616" t="s">
        <v>3460</v>
      </c>
      <c r="D186" s="616" t="s">
        <v>4410</v>
      </c>
      <c r="E186" s="616" t="s">
        <v>4411</v>
      </c>
      <c r="F186" s="619"/>
      <c r="G186" s="619"/>
      <c r="H186" s="619"/>
      <c r="I186" s="619"/>
      <c r="J186" s="619"/>
      <c r="K186" s="619"/>
      <c r="L186" s="619"/>
      <c r="M186" s="619"/>
      <c r="N186" s="619">
        <v>2</v>
      </c>
      <c r="O186" s="619">
        <v>2187.7600000000002</v>
      </c>
      <c r="P186" s="640"/>
      <c r="Q186" s="620">
        <v>1093.8800000000001</v>
      </c>
    </row>
    <row r="187" spans="1:17" ht="14.4" customHeight="1" x14ac:dyDescent="0.3">
      <c r="A187" s="615" t="s">
        <v>4325</v>
      </c>
      <c r="B187" s="616" t="s">
        <v>3899</v>
      </c>
      <c r="C187" s="616" t="s">
        <v>3460</v>
      </c>
      <c r="D187" s="616" t="s">
        <v>4412</v>
      </c>
      <c r="E187" s="616" t="s">
        <v>4413</v>
      </c>
      <c r="F187" s="619">
        <v>6</v>
      </c>
      <c r="G187" s="619">
        <v>23392.799999999999</v>
      </c>
      <c r="H187" s="619">
        <v>1</v>
      </c>
      <c r="I187" s="619">
        <v>3898.7999999999997</v>
      </c>
      <c r="J187" s="619">
        <v>2</v>
      </c>
      <c r="K187" s="619">
        <v>7797.6</v>
      </c>
      <c r="L187" s="619">
        <v>0.33333333333333337</v>
      </c>
      <c r="M187" s="619">
        <v>3898.8</v>
      </c>
      <c r="N187" s="619"/>
      <c r="O187" s="619"/>
      <c r="P187" s="640"/>
      <c r="Q187" s="620"/>
    </row>
    <row r="188" spans="1:17" ht="14.4" customHeight="1" x14ac:dyDescent="0.3">
      <c r="A188" s="615" t="s">
        <v>4325</v>
      </c>
      <c r="B188" s="616" t="s">
        <v>3899</v>
      </c>
      <c r="C188" s="616" t="s">
        <v>3460</v>
      </c>
      <c r="D188" s="616" t="s">
        <v>4414</v>
      </c>
      <c r="E188" s="616" t="s">
        <v>4415</v>
      </c>
      <c r="F188" s="619">
        <v>4</v>
      </c>
      <c r="G188" s="619">
        <v>5891.52</v>
      </c>
      <c r="H188" s="619">
        <v>1</v>
      </c>
      <c r="I188" s="619">
        <v>1472.88</v>
      </c>
      <c r="J188" s="619"/>
      <c r="K188" s="619"/>
      <c r="L188" s="619"/>
      <c r="M188" s="619"/>
      <c r="N188" s="619"/>
      <c r="O188" s="619"/>
      <c r="P188" s="640"/>
      <c r="Q188" s="620"/>
    </row>
    <row r="189" spans="1:17" ht="14.4" customHeight="1" x14ac:dyDescent="0.3">
      <c r="A189" s="615" t="s">
        <v>4325</v>
      </c>
      <c r="B189" s="616" t="s">
        <v>3899</v>
      </c>
      <c r="C189" s="616" t="s">
        <v>3460</v>
      </c>
      <c r="D189" s="616" t="s">
        <v>4416</v>
      </c>
      <c r="E189" s="616" t="s">
        <v>4417</v>
      </c>
      <c r="F189" s="619">
        <v>3</v>
      </c>
      <c r="G189" s="619">
        <v>3936.42</v>
      </c>
      <c r="H189" s="619">
        <v>1</v>
      </c>
      <c r="I189" s="619">
        <v>1312.14</v>
      </c>
      <c r="J189" s="619">
        <v>3</v>
      </c>
      <c r="K189" s="619">
        <v>3936.42</v>
      </c>
      <c r="L189" s="619">
        <v>1</v>
      </c>
      <c r="M189" s="619">
        <v>1312.14</v>
      </c>
      <c r="N189" s="619"/>
      <c r="O189" s="619"/>
      <c r="P189" s="640"/>
      <c r="Q189" s="620"/>
    </row>
    <row r="190" spans="1:17" ht="14.4" customHeight="1" x14ac:dyDescent="0.3">
      <c r="A190" s="615" t="s">
        <v>4325</v>
      </c>
      <c r="B190" s="616" t="s">
        <v>3899</v>
      </c>
      <c r="C190" s="616" t="s">
        <v>3460</v>
      </c>
      <c r="D190" s="616" t="s">
        <v>4418</v>
      </c>
      <c r="E190" s="616" t="s">
        <v>4419</v>
      </c>
      <c r="F190" s="619">
        <v>23</v>
      </c>
      <c r="G190" s="619">
        <v>83825.34</v>
      </c>
      <c r="H190" s="619">
        <v>1</v>
      </c>
      <c r="I190" s="619">
        <v>3644.58</v>
      </c>
      <c r="J190" s="619">
        <v>10</v>
      </c>
      <c r="K190" s="619">
        <v>36445.800000000003</v>
      </c>
      <c r="L190" s="619">
        <v>0.43478260869565222</v>
      </c>
      <c r="M190" s="619">
        <v>3644.5800000000004</v>
      </c>
      <c r="N190" s="619">
        <v>16</v>
      </c>
      <c r="O190" s="619">
        <v>58313.279999999999</v>
      </c>
      <c r="P190" s="640">
        <v>0.69565217391304346</v>
      </c>
      <c r="Q190" s="620">
        <v>3644.58</v>
      </c>
    </row>
    <row r="191" spans="1:17" ht="14.4" customHeight="1" x14ac:dyDescent="0.3">
      <c r="A191" s="615" t="s">
        <v>4325</v>
      </c>
      <c r="B191" s="616" t="s">
        <v>3899</v>
      </c>
      <c r="C191" s="616" t="s">
        <v>3460</v>
      </c>
      <c r="D191" s="616" t="s">
        <v>4420</v>
      </c>
      <c r="E191" s="616" t="s">
        <v>4421</v>
      </c>
      <c r="F191" s="619">
        <v>1</v>
      </c>
      <c r="G191" s="619">
        <v>81091.31</v>
      </c>
      <c r="H191" s="619">
        <v>1</v>
      </c>
      <c r="I191" s="619">
        <v>81091.31</v>
      </c>
      <c r="J191" s="619"/>
      <c r="K191" s="619"/>
      <c r="L191" s="619"/>
      <c r="M191" s="619"/>
      <c r="N191" s="619"/>
      <c r="O191" s="619"/>
      <c r="P191" s="640"/>
      <c r="Q191" s="620"/>
    </row>
    <row r="192" spans="1:17" ht="14.4" customHeight="1" x14ac:dyDescent="0.3">
      <c r="A192" s="615" t="s">
        <v>4325</v>
      </c>
      <c r="B192" s="616" t="s">
        <v>3899</v>
      </c>
      <c r="C192" s="616" t="s">
        <v>3460</v>
      </c>
      <c r="D192" s="616" t="s">
        <v>4422</v>
      </c>
      <c r="E192" s="616" t="s">
        <v>4423</v>
      </c>
      <c r="F192" s="619">
        <v>20</v>
      </c>
      <c r="G192" s="619">
        <v>24999.97</v>
      </c>
      <c r="H192" s="619">
        <v>1</v>
      </c>
      <c r="I192" s="619">
        <v>1249.9985000000001</v>
      </c>
      <c r="J192" s="619">
        <v>9</v>
      </c>
      <c r="K192" s="619">
        <v>10316.969999999999</v>
      </c>
      <c r="L192" s="619">
        <v>0.41267929521515423</v>
      </c>
      <c r="M192" s="619">
        <v>1146.33</v>
      </c>
      <c r="N192" s="619">
        <v>17</v>
      </c>
      <c r="O192" s="619">
        <v>19487.61</v>
      </c>
      <c r="P192" s="640">
        <v>0.77950533540640243</v>
      </c>
      <c r="Q192" s="620">
        <v>1146.33</v>
      </c>
    </row>
    <row r="193" spans="1:17" ht="14.4" customHeight="1" x14ac:dyDescent="0.3">
      <c r="A193" s="615" t="s">
        <v>4325</v>
      </c>
      <c r="B193" s="616" t="s">
        <v>3899</v>
      </c>
      <c r="C193" s="616" t="s">
        <v>3460</v>
      </c>
      <c r="D193" s="616" t="s">
        <v>4424</v>
      </c>
      <c r="E193" s="616" t="s">
        <v>4425</v>
      </c>
      <c r="F193" s="619">
        <v>2</v>
      </c>
      <c r="G193" s="619">
        <v>160000</v>
      </c>
      <c r="H193" s="619">
        <v>1</v>
      </c>
      <c r="I193" s="619">
        <v>80000</v>
      </c>
      <c r="J193" s="619">
        <v>1</v>
      </c>
      <c r="K193" s="619">
        <v>80000</v>
      </c>
      <c r="L193" s="619">
        <v>0.5</v>
      </c>
      <c r="M193" s="619">
        <v>80000</v>
      </c>
      <c r="N193" s="619"/>
      <c r="O193" s="619"/>
      <c r="P193" s="640"/>
      <c r="Q193" s="620"/>
    </row>
    <row r="194" spans="1:17" ht="14.4" customHeight="1" x14ac:dyDescent="0.3">
      <c r="A194" s="615" t="s">
        <v>4325</v>
      </c>
      <c r="B194" s="616" t="s">
        <v>3899</v>
      </c>
      <c r="C194" s="616" t="s">
        <v>3460</v>
      </c>
      <c r="D194" s="616" t="s">
        <v>4426</v>
      </c>
      <c r="E194" s="616" t="s">
        <v>4427</v>
      </c>
      <c r="F194" s="619">
        <v>11</v>
      </c>
      <c r="G194" s="619">
        <v>3950.0999999999995</v>
      </c>
      <c r="H194" s="619">
        <v>1</v>
      </c>
      <c r="I194" s="619">
        <v>359.09999999999997</v>
      </c>
      <c r="J194" s="619">
        <v>11</v>
      </c>
      <c r="K194" s="619">
        <v>3950.1000000000004</v>
      </c>
      <c r="L194" s="619">
        <v>1.0000000000000002</v>
      </c>
      <c r="M194" s="619">
        <v>359.1</v>
      </c>
      <c r="N194" s="619">
        <v>7</v>
      </c>
      <c r="O194" s="619">
        <v>2513.7000000000003</v>
      </c>
      <c r="P194" s="640">
        <v>0.63636363636363658</v>
      </c>
      <c r="Q194" s="620">
        <v>359.1</v>
      </c>
    </row>
    <row r="195" spans="1:17" ht="14.4" customHeight="1" x14ac:dyDescent="0.3">
      <c r="A195" s="615" t="s">
        <v>4325</v>
      </c>
      <c r="B195" s="616" t="s">
        <v>3899</v>
      </c>
      <c r="C195" s="616" t="s">
        <v>3460</v>
      </c>
      <c r="D195" s="616" t="s">
        <v>4428</v>
      </c>
      <c r="E195" s="616" t="s">
        <v>4429</v>
      </c>
      <c r="F195" s="619">
        <v>2</v>
      </c>
      <c r="G195" s="619">
        <v>33663.379999999997</v>
      </c>
      <c r="H195" s="619">
        <v>1</v>
      </c>
      <c r="I195" s="619">
        <v>16831.689999999999</v>
      </c>
      <c r="J195" s="619">
        <v>7</v>
      </c>
      <c r="K195" s="619">
        <v>117821.82999999999</v>
      </c>
      <c r="L195" s="619">
        <v>3.5</v>
      </c>
      <c r="M195" s="619">
        <v>16831.689999999999</v>
      </c>
      <c r="N195" s="619">
        <v>2</v>
      </c>
      <c r="O195" s="619">
        <v>33663.379999999997</v>
      </c>
      <c r="P195" s="640">
        <v>1</v>
      </c>
      <c r="Q195" s="620">
        <v>16831.689999999999</v>
      </c>
    </row>
    <row r="196" spans="1:17" ht="14.4" customHeight="1" x14ac:dyDescent="0.3">
      <c r="A196" s="615" t="s">
        <v>4325</v>
      </c>
      <c r="B196" s="616" t="s">
        <v>3899</v>
      </c>
      <c r="C196" s="616" t="s">
        <v>3460</v>
      </c>
      <c r="D196" s="616" t="s">
        <v>4430</v>
      </c>
      <c r="E196" s="616" t="s">
        <v>4431</v>
      </c>
      <c r="F196" s="619">
        <v>1</v>
      </c>
      <c r="G196" s="619">
        <v>10645.01</v>
      </c>
      <c r="H196" s="619">
        <v>1</v>
      </c>
      <c r="I196" s="619">
        <v>10645.01</v>
      </c>
      <c r="J196" s="619">
        <v>1</v>
      </c>
      <c r="K196" s="619">
        <v>10645.01</v>
      </c>
      <c r="L196" s="619">
        <v>1</v>
      </c>
      <c r="M196" s="619">
        <v>10645.01</v>
      </c>
      <c r="N196" s="619"/>
      <c r="O196" s="619"/>
      <c r="P196" s="640"/>
      <c r="Q196" s="620"/>
    </row>
    <row r="197" spans="1:17" ht="14.4" customHeight="1" x14ac:dyDescent="0.3">
      <c r="A197" s="615" t="s">
        <v>4325</v>
      </c>
      <c r="B197" s="616" t="s">
        <v>3899</v>
      </c>
      <c r="C197" s="616" t="s">
        <v>3460</v>
      </c>
      <c r="D197" s="616" t="s">
        <v>4432</v>
      </c>
      <c r="E197" s="616" t="s">
        <v>4433</v>
      </c>
      <c r="F197" s="619">
        <v>2</v>
      </c>
      <c r="G197" s="619">
        <v>64358.18</v>
      </c>
      <c r="H197" s="619">
        <v>1</v>
      </c>
      <c r="I197" s="619">
        <v>32179.09</v>
      </c>
      <c r="J197" s="619">
        <v>2</v>
      </c>
      <c r="K197" s="619">
        <v>64358.18</v>
      </c>
      <c r="L197" s="619">
        <v>1</v>
      </c>
      <c r="M197" s="619">
        <v>32179.09</v>
      </c>
      <c r="N197" s="619">
        <v>1</v>
      </c>
      <c r="O197" s="619">
        <v>25743.27</v>
      </c>
      <c r="P197" s="640">
        <v>0.39999996892391926</v>
      </c>
      <c r="Q197" s="620">
        <v>25743.27</v>
      </c>
    </row>
    <row r="198" spans="1:17" ht="14.4" customHeight="1" x14ac:dyDescent="0.3">
      <c r="A198" s="615" t="s">
        <v>4325</v>
      </c>
      <c r="B198" s="616" t="s">
        <v>3899</v>
      </c>
      <c r="C198" s="616" t="s">
        <v>3460</v>
      </c>
      <c r="D198" s="616" t="s">
        <v>4434</v>
      </c>
      <c r="E198" s="616" t="s">
        <v>4435</v>
      </c>
      <c r="F198" s="619">
        <v>7</v>
      </c>
      <c r="G198" s="619">
        <v>46109.909999999996</v>
      </c>
      <c r="H198" s="619">
        <v>1</v>
      </c>
      <c r="I198" s="619">
        <v>6587.1299999999992</v>
      </c>
      <c r="J198" s="619">
        <v>10</v>
      </c>
      <c r="K198" s="619">
        <v>65871.299999999988</v>
      </c>
      <c r="L198" s="619">
        <v>1.4285714285714284</v>
      </c>
      <c r="M198" s="619">
        <v>6587.1299999999992</v>
      </c>
      <c r="N198" s="619">
        <v>7</v>
      </c>
      <c r="O198" s="619">
        <v>46109.91</v>
      </c>
      <c r="P198" s="640">
        <v>1.0000000000000002</v>
      </c>
      <c r="Q198" s="620">
        <v>6587.13</v>
      </c>
    </row>
    <row r="199" spans="1:17" ht="14.4" customHeight="1" x14ac:dyDescent="0.3">
      <c r="A199" s="615" t="s">
        <v>4325</v>
      </c>
      <c r="B199" s="616" t="s">
        <v>3899</v>
      </c>
      <c r="C199" s="616" t="s">
        <v>3460</v>
      </c>
      <c r="D199" s="616" t="s">
        <v>4436</v>
      </c>
      <c r="E199" s="616" t="s">
        <v>4437</v>
      </c>
      <c r="F199" s="619">
        <v>2</v>
      </c>
      <c r="G199" s="619">
        <v>3683.24</v>
      </c>
      <c r="H199" s="619">
        <v>1</v>
      </c>
      <c r="I199" s="619">
        <v>1841.62</v>
      </c>
      <c r="J199" s="619">
        <v>1</v>
      </c>
      <c r="K199" s="619">
        <v>1841.62</v>
      </c>
      <c r="L199" s="619">
        <v>0.5</v>
      </c>
      <c r="M199" s="619">
        <v>1841.62</v>
      </c>
      <c r="N199" s="619">
        <v>2</v>
      </c>
      <c r="O199" s="619">
        <v>3683.24</v>
      </c>
      <c r="P199" s="640">
        <v>1</v>
      </c>
      <c r="Q199" s="620">
        <v>1841.62</v>
      </c>
    </row>
    <row r="200" spans="1:17" ht="14.4" customHeight="1" x14ac:dyDescent="0.3">
      <c r="A200" s="615" t="s">
        <v>4325</v>
      </c>
      <c r="B200" s="616" t="s">
        <v>3899</v>
      </c>
      <c r="C200" s="616" t="s">
        <v>3460</v>
      </c>
      <c r="D200" s="616" t="s">
        <v>4438</v>
      </c>
      <c r="E200" s="616" t="s">
        <v>4439</v>
      </c>
      <c r="F200" s="619">
        <v>1</v>
      </c>
      <c r="G200" s="619">
        <v>31629.82</v>
      </c>
      <c r="H200" s="619">
        <v>1</v>
      </c>
      <c r="I200" s="619">
        <v>31629.82</v>
      </c>
      <c r="J200" s="619"/>
      <c r="K200" s="619"/>
      <c r="L200" s="619"/>
      <c r="M200" s="619"/>
      <c r="N200" s="619"/>
      <c r="O200" s="619"/>
      <c r="P200" s="640"/>
      <c r="Q200" s="620"/>
    </row>
    <row r="201" spans="1:17" ht="14.4" customHeight="1" x14ac:dyDescent="0.3">
      <c r="A201" s="615" t="s">
        <v>4325</v>
      </c>
      <c r="B201" s="616" t="s">
        <v>3899</v>
      </c>
      <c r="C201" s="616" t="s">
        <v>3460</v>
      </c>
      <c r="D201" s="616" t="s">
        <v>4440</v>
      </c>
      <c r="E201" s="616" t="s">
        <v>4441</v>
      </c>
      <c r="F201" s="619">
        <v>1</v>
      </c>
      <c r="G201" s="619">
        <v>15954.82</v>
      </c>
      <c r="H201" s="619">
        <v>1</v>
      </c>
      <c r="I201" s="619">
        <v>15954.82</v>
      </c>
      <c r="J201" s="619"/>
      <c r="K201" s="619"/>
      <c r="L201" s="619"/>
      <c r="M201" s="619"/>
      <c r="N201" s="619"/>
      <c r="O201" s="619"/>
      <c r="P201" s="640"/>
      <c r="Q201" s="620"/>
    </row>
    <row r="202" spans="1:17" ht="14.4" customHeight="1" x14ac:dyDescent="0.3">
      <c r="A202" s="615" t="s">
        <v>4325</v>
      </c>
      <c r="B202" s="616" t="s">
        <v>3899</v>
      </c>
      <c r="C202" s="616" t="s">
        <v>3460</v>
      </c>
      <c r="D202" s="616" t="s">
        <v>4442</v>
      </c>
      <c r="E202" s="616" t="s">
        <v>4443</v>
      </c>
      <c r="F202" s="619">
        <v>2</v>
      </c>
      <c r="G202" s="619">
        <v>52999.64</v>
      </c>
      <c r="H202" s="619">
        <v>1</v>
      </c>
      <c r="I202" s="619">
        <v>26499.82</v>
      </c>
      <c r="J202" s="619">
        <v>2</v>
      </c>
      <c r="K202" s="619">
        <v>52999.64</v>
      </c>
      <c r="L202" s="619">
        <v>1</v>
      </c>
      <c r="M202" s="619">
        <v>26499.82</v>
      </c>
      <c r="N202" s="619"/>
      <c r="O202" s="619"/>
      <c r="P202" s="640"/>
      <c r="Q202" s="620"/>
    </row>
    <row r="203" spans="1:17" ht="14.4" customHeight="1" x14ac:dyDescent="0.3">
      <c r="A203" s="615" t="s">
        <v>4325</v>
      </c>
      <c r="B203" s="616" t="s">
        <v>3899</v>
      </c>
      <c r="C203" s="616" t="s">
        <v>3460</v>
      </c>
      <c r="D203" s="616" t="s">
        <v>4444</v>
      </c>
      <c r="E203" s="616" t="s">
        <v>4445</v>
      </c>
      <c r="F203" s="619">
        <v>1</v>
      </c>
      <c r="G203" s="619">
        <v>74411</v>
      </c>
      <c r="H203" s="619">
        <v>1</v>
      </c>
      <c r="I203" s="619">
        <v>74411</v>
      </c>
      <c r="J203" s="619"/>
      <c r="K203" s="619"/>
      <c r="L203" s="619"/>
      <c r="M203" s="619"/>
      <c r="N203" s="619"/>
      <c r="O203" s="619"/>
      <c r="P203" s="640"/>
      <c r="Q203" s="620"/>
    </row>
    <row r="204" spans="1:17" ht="14.4" customHeight="1" x14ac:dyDescent="0.3">
      <c r="A204" s="615" t="s">
        <v>4325</v>
      </c>
      <c r="B204" s="616" t="s">
        <v>3899</v>
      </c>
      <c r="C204" s="616" t="s">
        <v>3460</v>
      </c>
      <c r="D204" s="616" t="s">
        <v>4446</v>
      </c>
      <c r="E204" s="616" t="s">
        <v>4447</v>
      </c>
      <c r="F204" s="619">
        <v>1</v>
      </c>
      <c r="G204" s="619">
        <v>4360</v>
      </c>
      <c r="H204" s="619">
        <v>1</v>
      </c>
      <c r="I204" s="619">
        <v>4360</v>
      </c>
      <c r="J204" s="619">
        <v>1</v>
      </c>
      <c r="K204" s="619">
        <v>4360</v>
      </c>
      <c r="L204" s="619">
        <v>1</v>
      </c>
      <c r="M204" s="619">
        <v>4360</v>
      </c>
      <c r="N204" s="619">
        <v>13</v>
      </c>
      <c r="O204" s="619">
        <v>56680</v>
      </c>
      <c r="P204" s="640">
        <v>13</v>
      </c>
      <c r="Q204" s="620">
        <v>4360</v>
      </c>
    </row>
    <row r="205" spans="1:17" ht="14.4" customHeight="1" x14ac:dyDescent="0.3">
      <c r="A205" s="615" t="s">
        <v>4325</v>
      </c>
      <c r="B205" s="616" t="s">
        <v>3899</v>
      </c>
      <c r="C205" s="616" t="s">
        <v>3460</v>
      </c>
      <c r="D205" s="616" t="s">
        <v>4448</v>
      </c>
      <c r="E205" s="616" t="s">
        <v>4449</v>
      </c>
      <c r="F205" s="619">
        <v>4</v>
      </c>
      <c r="G205" s="619">
        <v>132501.04</v>
      </c>
      <c r="H205" s="619">
        <v>1</v>
      </c>
      <c r="I205" s="619">
        <v>33125.26</v>
      </c>
      <c r="J205" s="619">
        <v>1</v>
      </c>
      <c r="K205" s="619">
        <v>33125.26</v>
      </c>
      <c r="L205" s="619">
        <v>0.25</v>
      </c>
      <c r="M205" s="619">
        <v>33125.26</v>
      </c>
      <c r="N205" s="619">
        <v>3</v>
      </c>
      <c r="O205" s="619">
        <v>79500.63</v>
      </c>
      <c r="P205" s="640">
        <v>0.60000004528266349</v>
      </c>
      <c r="Q205" s="620">
        <v>26500.210000000003</v>
      </c>
    </row>
    <row r="206" spans="1:17" ht="14.4" customHeight="1" x14ac:dyDescent="0.3">
      <c r="A206" s="615" t="s">
        <v>4325</v>
      </c>
      <c r="B206" s="616" t="s">
        <v>3899</v>
      </c>
      <c r="C206" s="616" t="s">
        <v>3460</v>
      </c>
      <c r="D206" s="616" t="s">
        <v>4450</v>
      </c>
      <c r="E206" s="616" t="s">
        <v>4451</v>
      </c>
      <c r="F206" s="619"/>
      <c r="G206" s="619"/>
      <c r="H206" s="619"/>
      <c r="I206" s="619"/>
      <c r="J206" s="619">
        <v>1</v>
      </c>
      <c r="K206" s="619">
        <v>380.86</v>
      </c>
      <c r="L206" s="619"/>
      <c r="M206" s="619">
        <v>380.86</v>
      </c>
      <c r="N206" s="619">
        <v>1</v>
      </c>
      <c r="O206" s="619">
        <v>380.86</v>
      </c>
      <c r="P206" s="640"/>
      <c r="Q206" s="620">
        <v>380.86</v>
      </c>
    </row>
    <row r="207" spans="1:17" ht="14.4" customHeight="1" x14ac:dyDescent="0.3">
      <c r="A207" s="615" t="s">
        <v>4325</v>
      </c>
      <c r="B207" s="616" t="s">
        <v>3899</v>
      </c>
      <c r="C207" s="616" t="s">
        <v>3460</v>
      </c>
      <c r="D207" s="616" t="s">
        <v>4452</v>
      </c>
      <c r="E207" s="616" t="s">
        <v>4453</v>
      </c>
      <c r="F207" s="619">
        <v>1</v>
      </c>
      <c r="G207" s="619">
        <v>38086.36</v>
      </c>
      <c r="H207" s="619">
        <v>1</v>
      </c>
      <c r="I207" s="619">
        <v>38086.36</v>
      </c>
      <c r="J207" s="619"/>
      <c r="K207" s="619"/>
      <c r="L207" s="619"/>
      <c r="M207" s="619"/>
      <c r="N207" s="619"/>
      <c r="O207" s="619"/>
      <c r="P207" s="640"/>
      <c r="Q207" s="620"/>
    </row>
    <row r="208" spans="1:17" ht="14.4" customHeight="1" x14ac:dyDescent="0.3">
      <c r="A208" s="615" t="s">
        <v>4325</v>
      </c>
      <c r="B208" s="616" t="s">
        <v>3899</v>
      </c>
      <c r="C208" s="616" t="s">
        <v>3460</v>
      </c>
      <c r="D208" s="616" t="s">
        <v>4454</v>
      </c>
      <c r="E208" s="616" t="s">
        <v>4455</v>
      </c>
      <c r="F208" s="619"/>
      <c r="G208" s="619"/>
      <c r="H208" s="619"/>
      <c r="I208" s="619"/>
      <c r="J208" s="619">
        <v>6</v>
      </c>
      <c r="K208" s="619">
        <v>19071.78</v>
      </c>
      <c r="L208" s="619"/>
      <c r="M208" s="619">
        <v>3178.6299999999997</v>
      </c>
      <c r="N208" s="619"/>
      <c r="O208" s="619"/>
      <c r="P208" s="640"/>
      <c r="Q208" s="620"/>
    </row>
    <row r="209" spans="1:17" ht="14.4" customHeight="1" x14ac:dyDescent="0.3">
      <c r="A209" s="615" t="s">
        <v>4325</v>
      </c>
      <c r="B209" s="616" t="s">
        <v>3899</v>
      </c>
      <c r="C209" s="616" t="s">
        <v>3460</v>
      </c>
      <c r="D209" s="616" t="s">
        <v>4456</v>
      </c>
      <c r="E209" s="616" t="s">
        <v>4457</v>
      </c>
      <c r="F209" s="619"/>
      <c r="G209" s="619"/>
      <c r="H209" s="619"/>
      <c r="I209" s="619"/>
      <c r="J209" s="619"/>
      <c r="K209" s="619"/>
      <c r="L209" s="619"/>
      <c r="M209" s="619"/>
      <c r="N209" s="619">
        <v>1</v>
      </c>
      <c r="O209" s="619">
        <v>17527.810000000001</v>
      </c>
      <c r="P209" s="640"/>
      <c r="Q209" s="620">
        <v>17527.810000000001</v>
      </c>
    </row>
    <row r="210" spans="1:17" ht="14.4" customHeight="1" x14ac:dyDescent="0.3">
      <c r="A210" s="615" t="s">
        <v>4325</v>
      </c>
      <c r="B210" s="616" t="s">
        <v>3899</v>
      </c>
      <c r="C210" s="616" t="s">
        <v>3460</v>
      </c>
      <c r="D210" s="616" t="s">
        <v>4458</v>
      </c>
      <c r="E210" s="616" t="s">
        <v>4459</v>
      </c>
      <c r="F210" s="619"/>
      <c r="G210" s="619"/>
      <c r="H210" s="619"/>
      <c r="I210" s="619"/>
      <c r="J210" s="619">
        <v>1</v>
      </c>
      <c r="K210" s="619">
        <v>310</v>
      </c>
      <c r="L210" s="619"/>
      <c r="M210" s="619">
        <v>310</v>
      </c>
      <c r="N210" s="619"/>
      <c r="O210" s="619"/>
      <c r="P210" s="640"/>
      <c r="Q210" s="620"/>
    </row>
    <row r="211" spans="1:17" ht="14.4" customHeight="1" x14ac:dyDescent="0.3">
      <c r="A211" s="615" t="s">
        <v>4325</v>
      </c>
      <c r="B211" s="616" t="s">
        <v>3899</v>
      </c>
      <c r="C211" s="616" t="s">
        <v>3460</v>
      </c>
      <c r="D211" s="616" t="s">
        <v>4460</v>
      </c>
      <c r="E211" s="616" t="s">
        <v>4461</v>
      </c>
      <c r="F211" s="619"/>
      <c r="G211" s="619"/>
      <c r="H211" s="619"/>
      <c r="I211" s="619"/>
      <c r="J211" s="619"/>
      <c r="K211" s="619"/>
      <c r="L211" s="619"/>
      <c r="M211" s="619"/>
      <c r="N211" s="619">
        <v>1</v>
      </c>
      <c r="O211" s="619">
        <v>33448</v>
      </c>
      <c r="P211" s="640"/>
      <c r="Q211" s="620">
        <v>33448</v>
      </c>
    </row>
    <row r="212" spans="1:17" ht="14.4" customHeight="1" x14ac:dyDescent="0.3">
      <c r="A212" s="615" t="s">
        <v>4325</v>
      </c>
      <c r="B212" s="616" t="s">
        <v>3899</v>
      </c>
      <c r="C212" s="616" t="s">
        <v>3460</v>
      </c>
      <c r="D212" s="616" t="s">
        <v>4462</v>
      </c>
      <c r="E212" s="616" t="s">
        <v>4463</v>
      </c>
      <c r="F212" s="619"/>
      <c r="G212" s="619"/>
      <c r="H212" s="619"/>
      <c r="I212" s="619"/>
      <c r="J212" s="619"/>
      <c r="K212" s="619"/>
      <c r="L212" s="619"/>
      <c r="M212" s="619"/>
      <c r="N212" s="619">
        <v>1</v>
      </c>
      <c r="O212" s="619">
        <v>44071.360000000001</v>
      </c>
      <c r="P212" s="640"/>
      <c r="Q212" s="620">
        <v>44071.360000000001</v>
      </c>
    </row>
    <row r="213" spans="1:17" ht="14.4" customHeight="1" x14ac:dyDescent="0.3">
      <c r="A213" s="615" t="s">
        <v>4325</v>
      </c>
      <c r="B213" s="616" t="s">
        <v>3899</v>
      </c>
      <c r="C213" s="616" t="s">
        <v>3460</v>
      </c>
      <c r="D213" s="616" t="s">
        <v>4464</v>
      </c>
      <c r="E213" s="616" t="s">
        <v>4465</v>
      </c>
      <c r="F213" s="619"/>
      <c r="G213" s="619"/>
      <c r="H213" s="619"/>
      <c r="I213" s="619"/>
      <c r="J213" s="619"/>
      <c r="K213" s="619"/>
      <c r="L213" s="619"/>
      <c r="M213" s="619"/>
      <c r="N213" s="619">
        <v>1</v>
      </c>
      <c r="O213" s="619">
        <v>34650</v>
      </c>
      <c r="P213" s="640"/>
      <c r="Q213" s="620">
        <v>34650</v>
      </c>
    </row>
    <row r="214" spans="1:17" ht="14.4" customHeight="1" x14ac:dyDescent="0.3">
      <c r="A214" s="615" t="s">
        <v>4325</v>
      </c>
      <c r="B214" s="616" t="s">
        <v>3899</v>
      </c>
      <c r="C214" s="616" t="s">
        <v>3460</v>
      </c>
      <c r="D214" s="616" t="s">
        <v>4466</v>
      </c>
      <c r="E214" s="616" t="s">
        <v>4467</v>
      </c>
      <c r="F214" s="619"/>
      <c r="G214" s="619"/>
      <c r="H214" s="619"/>
      <c r="I214" s="619"/>
      <c r="J214" s="619"/>
      <c r="K214" s="619"/>
      <c r="L214" s="619"/>
      <c r="M214" s="619"/>
      <c r="N214" s="619">
        <v>1</v>
      </c>
      <c r="O214" s="619">
        <v>1261.46</v>
      </c>
      <c r="P214" s="640"/>
      <c r="Q214" s="620">
        <v>1261.46</v>
      </c>
    </row>
    <row r="215" spans="1:17" ht="14.4" customHeight="1" x14ac:dyDescent="0.3">
      <c r="A215" s="615" t="s">
        <v>4325</v>
      </c>
      <c r="B215" s="616" t="s">
        <v>3899</v>
      </c>
      <c r="C215" s="616" t="s">
        <v>3011</v>
      </c>
      <c r="D215" s="616" t="s">
        <v>4468</v>
      </c>
      <c r="E215" s="616" t="s">
        <v>4469</v>
      </c>
      <c r="F215" s="619"/>
      <c r="G215" s="619"/>
      <c r="H215" s="619"/>
      <c r="I215" s="619"/>
      <c r="J215" s="619">
        <v>1</v>
      </c>
      <c r="K215" s="619">
        <v>207</v>
      </c>
      <c r="L215" s="619"/>
      <c r="M215" s="619">
        <v>207</v>
      </c>
      <c r="N215" s="619">
        <v>1</v>
      </c>
      <c r="O215" s="619">
        <v>213</v>
      </c>
      <c r="P215" s="640"/>
      <c r="Q215" s="620">
        <v>213</v>
      </c>
    </row>
    <row r="216" spans="1:17" ht="14.4" customHeight="1" x14ac:dyDescent="0.3">
      <c r="A216" s="615" t="s">
        <v>4325</v>
      </c>
      <c r="B216" s="616" t="s">
        <v>3899</v>
      </c>
      <c r="C216" s="616" t="s">
        <v>3011</v>
      </c>
      <c r="D216" s="616" t="s">
        <v>4470</v>
      </c>
      <c r="E216" s="616" t="s">
        <v>4471</v>
      </c>
      <c r="F216" s="619"/>
      <c r="G216" s="619"/>
      <c r="H216" s="619"/>
      <c r="I216" s="619"/>
      <c r="J216" s="619">
        <v>2</v>
      </c>
      <c r="K216" s="619">
        <v>302</v>
      </c>
      <c r="L216" s="619"/>
      <c r="M216" s="619">
        <v>151</v>
      </c>
      <c r="N216" s="619">
        <v>1</v>
      </c>
      <c r="O216" s="619">
        <v>155</v>
      </c>
      <c r="P216" s="640"/>
      <c r="Q216" s="620">
        <v>155</v>
      </c>
    </row>
    <row r="217" spans="1:17" ht="14.4" customHeight="1" x14ac:dyDescent="0.3">
      <c r="A217" s="615" t="s">
        <v>4325</v>
      </c>
      <c r="B217" s="616" t="s">
        <v>3899</v>
      </c>
      <c r="C217" s="616" t="s">
        <v>3011</v>
      </c>
      <c r="D217" s="616" t="s">
        <v>4472</v>
      </c>
      <c r="E217" s="616" t="s">
        <v>4473</v>
      </c>
      <c r="F217" s="619"/>
      <c r="G217" s="619"/>
      <c r="H217" s="619"/>
      <c r="I217" s="619"/>
      <c r="J217" s="619"/>
      <c r="K217" s="619"/>
      <c r="L217" s="619"/>
      <c r="M217" s="619"/>
      <c r="N217" s="619">
        <v>1</v>
      </c>
      <c r="O217" s="619">
        <v>187</v>
      </c>
      <c r="P217" s="640"/>
      <c r="Q217" s="620">
        <v>187</v>
      </c>
    </row>
    <row r="218" spans="1:17" ht="14.4" customHeight="1" x14ac:dyDescent="0.3">
      <c r="A218" s="615" t="s">
        <v>4325</v>
      </c>
      <c r="B218" s="616" t="s">
        <v>3899</v>
      </c>
      <c r="C218" s="616" t="s">
        <v>3011</v>
      </c>
      <c r="D218" s="616" t="s">
        <v>4474</v>
      </c>
      <c r="E218" s="616" t="s">
        <v>4475</v>
      </c>
      <c r="F218" s="619">
        <v>16</v>
      </c>
      <c r="G218" s="619">
        <v>1995</v>
      </c>
      <c r="H218" s="619">
        <v>1</v>
      </c>
      <c r="I218" s="619">
        <v>124.6875</v>
      </c>
      <c r="J218" s="619">
        <v>12</v>
      </c>
      <c r="K218" s="619">
        <v>1500</v>
      </c>
      <c r="L218" s="619">
        <v>0.75187969924812026</v>
      </c>
      <c r="M218" s="619">
        <v>125</v>
      </c>
      <c r="N218" s="619">
        <v>39</v>
      </c>
      <c r="O218" s="619">
        <v>4992</v>
      </c>
      <c r="P218" s="640">
        <v>2.5022556390977444</v>
      </c>
      <c r="Q218" s="620">
        <v>128</v>
      </c>
    </row>
    <row r="219" spans="1:17" ht="14.4" customHeight="1" x14ac:dyDescent="0.3">
      <c r="A219" s="615" t="s">
        <v>4325</v>
      </c>
      <c r="B219" s="616" t="s">
        <v>3899</v>
      </c>
      <c r="C219" s="616" t="s">
        <v>3011</v>
      </c>
      <c r="D219" s="616" t="s">
        <v>4476</v>
      </c>
      <c r="E219" s="616" t="s">
        <v>4477</v>
      </c>
      <c r="F219" s="619">
        <v>41</v>
      </c>
      <c r="G219" s="619">
        <v>8916</v>
      </c>
      <c r="H219" s="619">
        <v>1</v>
      </c>
      <c r="I219" s="619">
        <v>217.46341463414635</v>
      </c>
      <c r="J219" s="619">
        <v>45</v>
      </c>
      <c r="K219" s="619">
        <v>9855</v>
      </c>
      <c r="L219" s="619">
        <v>1.1053162853297442</v>
      </c>
      <c r="M219" s="619">
        <v>219</v>
      </c>
      <c r="N219" s="619">
        <v>77</v>
      </c>
      <c r="O219" s="619">
        <v>17171</v>
      </c>
      <c r="P219" s="640">
        <v>1.9258636159712876</v>
      </c>
      <c r="Q219" s="620">
        <v>223</v>
      </c>
    </row>
    <row r="220" spans="1:17" ht="14.4" customHeight="1" x14ac:dyDescent="0.3">
      <c r="A220" s="615" t="s">
        <v>4325</v>
      </c>
      <c r="B220" s="616" t="s">
        <v>3899</v>
      </c>
      <c r="C220" s="616" t="s">
        <v>3011</v>
      </c>
      <c r="D220" s="616" t="s">
        <v>4478</v>
      </c>
      <c r="E220" s="616" t="s">
        <v>4479</v>
      </c>
      <c r="F220" s="619">
        <v>37</v>
      </c>
      <c r="G220" s="619">
        <v>8128</v>
      </c>
      <c r="H220" s="619">
        <v>1</v>
      </c>
      <c r="I220" s="619">
        <v>219.67567567567568</v>
      </c>
      <c r="J220" s="619">
        <v>57</v>
      </c>
      <c r="K220" s="619">
        <v>12597</v>
      </c>
      <c r="L220" s="619">
        <v>1.5498277559055118</v>
      </c>
      <c r="M220" s="619">
        <v>221</v>
      </c>
      <c r="N220" s="619">
        <v>50</v>
      </c>
      <c r="O220" s="619">
        <v>11250</v>
      </c>
      <c r="P220" s="640">
        <v>1.3841043307086613</v>
      </c>
      <c r="Q220" s="620">
        <v>225</v>
      </c>
    </row>
    <row r="221" spans="1:17" ht="14.4" customHeight="1" x14ac:dyDescent="0.3">
      <c r="A221" s="615" t="s">
        <v>4325</v>
      </c>
      <c r="B221" s="616" t="s">
        <v>3899</v>
      </c>
      <c r="C221" s="616" t="s">
        <v>3011</v>
      </c>
      <c r="D221" s="616" t="s">
        <v>4480</v>
      </c>
      <c r="E221" s="616" t="s">
        <v>4481</v>
      </c>
      <c r="F221" s="619">
        <v>9</v>
      </c>
      <c r="G221" s="619">
        <v>5505</v>
      </c>
      <c r="H221" s="619">
        <v>1</v>
      </c>
      <c r="I221" s="619">
        <v>611.66666666666663</v>
      </c>
      <c r="J221" s="619">
        <v>10</v>
      </c>
      <c r="K221" s="619">
        <v>6130</v>
      </c>
      <c r="L221" s="619">
        <v>1.1135331516802907</v>
      </c>
      <c r="M221" s="619">
        <v>613</v>
      </c>
      <c r="N221" s="619">
        <v>2</v>
      </c>
      <c r="O221" s="619">
        <v>1250</v>
      </c>
      <c r="P221" s="640">
        <v>0.22706630336058128</v>
      </c>
      <c r="Q221" s="620">
        <v>625</v>
      </c>
    </row>
    <row r="222" spans="1:17" ht="14.4" customHeight="1" x14ac:dyDescent="0.3">
      <c r="A222" s="615" t="s">
        <v>4325</v>
      </c>
      <c r="B222" s="616" t="s">
        <v>3899</v>
      </c>
      <c r="C222" s="616" t="s">
        <v>3011</v>
      </c>
      <c r="D222" s="616" t="s">
        <v>3900</v>
      </c>
      <c r="E222" s="616" t="s">
        <v>3901</v>
      </c>
      <c r="F222" s="619"/>
      <c r="G222" s="619"/>
      <c r="H222" s="619"/>
      <c r="I222" s="619"/>
      <c r="J222" s="619">
        <v>1</v>
      </c>
      <c r="K222" s="619">
        <v>259</v>
      </c>
      <c r="L222" s="619"/>
      <c r="M222" s="619">
        <v>259</v>
      </c>
      <c r="N222" s="619"/>
      <c r="O222" s="619"/>
      <c r="P222" s="640"/>
      <c r="Q222" s="620"/>
    </row>
    <row r="223" spans="1:17" ht="14.4" customHeight="1" x14ac:dyDescent="0.3">
      <c r="A223" s="615" t="s">
        <v>4325</v>
      </c>
      <c r="B223" s="616" t="s">
        <v>3899</v>
      </c>
      <c r="C223" s="616" t="s">
        <v>3011</v>
      </c>
      <c r="D223" s="616" t="s">
        <v>3902</v>
      </c>
      <c r="E223" s="616" t="s">
        <v>3903</v>
      </c>
      <c r="F223" s="619">
        <v>2</v>
      </c>
      <c r="G223" s="619">
        <v>652</v>
      </c>
      <c r="H223" s="619">
        <v>1</v>
      </c>
      <c r="I223" s="619">
        <v>326</v>
      </c>
      <c r="J223" s="619"/>
      <c r="K223" s="619"/>
      <c r="L223" s="619"/>
      <c r="M223" s="619"/>
      <c r="N223" s="619"/>
      <c r="O223" s="619"/>
      <c r="P223" s="640"/>
      <c r="Q223" s="620"/>
    </row>
    <row r="224" spans="1:17" ht="14.4" customHeight="1" x14ac:dyDescent="0.3">
      <c r="A224" s="615" t="s">
        <v>4325</v>
      </c>
      <c r="B224" s="616" t="s">
        <v>3899</v>
      </c>
      <c r="C224" s="616" t="s">
        <v>3011</v>
      </c>
      <c r="D224" s="616" t="s">
        <v>4482</v>
      </c>
      <c r="E224" s="616" t="s">
        <v>4483</v>
      </c>
      <c r="F224" s="619">
        <v>1</v>
      </c>
      <c r="G224" s="619">
        <v>13717</v>
      </c>
      <c r="H224" s="619">
        <v>1</v>
      </c>
      <c r="I224" s="619">
        <v>13717</v>
      </c>
      <c r="J224" s="619"/>
      <c r="K224" s="619"/>
      <c r="L224" s="619"/>
      <c r="M224" s="619"/>
      <c r="N224" s="619"/>
      <c r="O224" s="619"/>
      <c r="P224" s="640"/>
      <c r="Q224" s="620"/>
    </row>
    <row r="225" spans="1:17" ht="14.4" customHeight="1" x14ac:dyDescent="0.3">
      <c r="A225" s="615" t="s">
        <v>4325</v>
      </c>
      <c r="B225" s="616" t="s">
        <v>3899</v>
      </c>
      <c r="C225" s="616" t="s">
        <v>3011</v>
      </c>
      <c r="D225" s="616" t="s">
        <v>4484</v>
      </c>
      <c r="E225" s="616" t="s">
        <v>4485</v>
      </c>
      <c r="F225" s="619">
        <v>11</v>
      </c>
      <c r="G225" s="619">
        <v>45437</v>
      </c>
      <c r="H225" s="619">
        <v>1</v>
      </c>
      <c r="I225" s="619">
        <v>4130.636363636364</v>
      </c>
      <c r="J225" s="619">
        <v>12</v>
      </c>
      <c r="K225" s="619">
        <v>49668</v>
      </c>
      <c r="L225" s="619">
        <v>1.0931179435262011</v>
      </c>
      <c r="M225" s="619">
        <v>4139</v>
      </c>
      <c r="N225" s="619">
        <v>7</v>
      </c>
      <c r="O225" s="619">
        <v>29148</v>
      </c>
      <c r="P225" s="640">
        <v>0.64150362039747344</v>
      </c>
      <c r="Q225" s="620">
        <v>4164</v>
      </c>
    </row>
    <row r="226" spans="1:17" ht="14.4" customHeight="1" x14ac:dyDescent="0.3">
      <c r="A226" s="615" t="s">
        <v>4325</v>
      </c>
      <c r="B226" s="616" t="s">
        <v>3899</v>
      </c>
      <c r="C226" s="616" t="s">
        <v>3011</v>
      </c>
      <c r="D226" s="616" t="s">
        <v>3904</v>
      </c>
      <c r="E226" s="616" t="s">
        <v>3905</v>
      </c>
      <c r="F226" s="619">
        <v>4</v>
      </c>
      <c r="G226" s="619">
        <v>1115</v>
      </c>
      <c r="H226" s="619">
        <v>1</v>
      </c>
      <c r="I226" s="619">
        <v>278.75</v>
      </c>
      <c r="J226" s="619">
        <v>3</v>
      </c>
      <c r="K226" s="619">
        <v>837</v>
      </c>
      <c r="L226" s="619">
        <v>0.75067264573991033</v>
      </c>
      <c r="M226" s="619">
        <v>279</v>
      </c>
      <c r="N226" s="619">
        <v>1</v>
      </c>
      <c r="O226" s="619">
        <v>283</v>
      </c>
      <c r="P226" s="640">
        <v>0.25381165919282511</v>
      </c>
      <c r="Q226" s="620">
        <v>283</v>
      </c>
    </row>
    <row r="227" spans="1:17" ht="14.4" customHeight="1" x14ac:dyDescent="0.3">
      <c r="A227" s="615" t="s">
        <v>4325</v>
      </c>
      <c r="B227" s="616" t="s">
        <v>3899</v>
      </c>
      <c r="C227" s="616" t="s">
        <v>3011</v>
      </c>
      <c r="D227" s="616" t="s">
        <v>4486</v>
      </c>
      <c r="E227" s="616" t="s">
        <v>4487</v>
      </c>
      <c r="F227" s="619">
        <v>5</v>
      </c>
      <c r="G227" s="619">
        <v>31290</v>
      </c>
      <c r="H227" s="619">
        <v>1</v>
      </c>
      <c r="I227" s="619">
        <v>6258</v>
      </c>
      <c r="J227" s="619">
        <v>2</v>
      </c>
      <c r="K227" s="619">
        <v>12528</v>
      </c>
      <c r="L227" s="619">
        <v>0.40038350910834131</v>
      </c>
      <c r="M227" s="619">
        <v>6264</v>
      </c>
      <c r="N227" s="619">
        <v>3</v>
      </c>
      <c r="O227" s="619">
        <v>18957</v>
      </c>
      <c r="P227" s="640">
        <v>0.60584851390220518</v>
      </c>
      <c r="Q227" s="620">
        <v>6319</v>
      </c>
    </row>
    <row r="228" spans="1:17" ht="14.4" customHeight="1" x14ac:dyDescent="0.3">
      <c r="A228" s="615" t="s">
        <v>4325</v>
      </c>
      <c r="B228" s="616" t="s">
        <v>3899</v>
      </c>
      <c r="C228" s="616" t="s">
        <v>3011</v>
      </c>
      <c r="D228" s="616" t="s">
        <v>4488</v>
      </c>
      <c r="E228" s="616" t="s">
        <v>4489</v>
      </c>
      <c r="F228" s="619">
        <v>3</v>
      </c>
      <c r="G228" s="619">
        <v>4553</v>
      </c>
      <c r="H228" s="619">
        <v>1</v>
      </c>
      <c r="I228" s="619">
        <v>1517.6666666666667</v>
      </c>
      <c r="J228" s="619">
        <v>2</v>
      </c>
      <c r="K228" s="619">
        <v>3054</v>
      </c>
      <c r="L228" s="619">
        <v>0.67076652756424338</v>
      </c>
      <c r="M228" s="619">
        <v>1527</v>
      </c>
      <c r="N228" s="619"/>
      <c r="O228" s="619"/>
      <c r="P228" s="640"/>
      <c r="Q228" s="620"/>
    </row>
    <row r="229" spans="1:17" ht="14.4" customHeight="1" x14ac:dyDescent="0.3">
      <c r="A229" s="615" t="s">
        <v>4325</v>
      </c>
      <c r="B229" s="616" t="s">
        <v>3899</v>
      </c>
      <c r="C229" s="616" t="s">
        <v>3011</v>
      </c>
      <c r="D229" s="616" t="s">
        <v>4490</v>
      </c>
      <c r="E229" s="616" t="s">
        <v>4491</v>
      </c>
      <c r="F229" s="619">
        <v>5</v>
      </c>
      <c r="G229" s="619">
        <v>75277</v>
      </c>
      <c r="H229" s="619">
        <v>1</v>
      </c>
      <c r="I229" s="619">
        <v>15055.4</v>
      </c>
      <c r="J229" s="619">
        <v>1</v>
      </c>
      <c r="K229" s="619">
        <v>15072</v>
      </c>
      <c r="L229" s="619">
        <v>0.20022051888358994</v>
      </c>
      <c r="M229" s="619">
        <v>15072</v>
      </c>
      <c r="N229" s="619">
        <v>2</v>
      </c>
      <c r="O229" s="619">
        <v>30520</v>
      </c>
      <c r="P229" s="640">
        <v>0.405435923323193</v>
      </c>
      <c r="Q229" s="620">
        <v>15260</v>
      </c>
    </row>
    <row r="230" spans="1:17" ht="14.4" customHeight="1" x14ac:dyDescent="0.3">
      <c r="A230" s="615" t="s">
        <v>4325</v>
      </c>
      <c r="B230" s="616" t="s">
        <v>3899</v>
      </c>
      <c r="C230" s="616" t="s">
        <v>3011</v>
      </c>
      <c r="D230" s="616" t="s">
        <v>4492</v>
      </c>
      <c r="E230" s="616" t="s">
        <v>4493</v>
      </c>
      <c r="F230" s="619">
        <v>53</v>
      </c>
      <c r="G230" s="619">
        <v>202345</v>
      </c>
      <c r="H230" s="619">
        <v>1</v>
      </c>
      <c r="I230" s="619">
        <v>3817.8301886792451</v>
      </c>
      <c r="J230" s="619">
        <v>34</v>
      </c>
      <c r="K230" s="619">
        <v>130016</v>
      </c>
      <c r="L230" s="619">
        <v>0.64254614643307217</v>
      </c>
      <c r="M230" s="619">
        <v>3824</v>
      </c>
      <c r="N230" s="619">
        <v>45</v>
      </c>
      <c r="O230" s="619">
        <v>173700</v>
      </c>
      <c r="P230" s="640">
        <v>0.85843485136771358</v>
      </c>
      <c r="Q230" s="620">
        <v>3860</v>
      </c>
    </row>
    <row r="231" spans="1:17" ht="14.4" customHeight="1" x14ac:dyDescent="0.3">
      <c r="A231" s="615" t="s">
        <v>4325</v>
      </c>
      <c r="B231" s="616" t="s">
        <v>3899</v>
      </c>
      <c r="C231" s="616" t="s">
        <v>3011</v>
      </c>
      <c r="D231" s="616" t="s">
        <v>4494</v>
      </c>
      <c r="E231" s="616" t="s">
        <v>4495</v>
      </c>
      <c r="F231" s="619">
        <v>7</v>
      </c>
      <c r="G231" s="619">
        <v>36082</v>
      </c>
      <c r="H231" s="619">
        <v>1</v>
      </c>
      <c r="I231" s="619">
        <v>5154.5714285714284</v>
      </c>
      <c r="J231" s="619">
        <v>3</v>
      </c>
      <c r="K231" s="619">
        <v>15486</v>
      </c>
      <c r="L231" s="619">
        <v>0.4291890693420542</v>
      </c>
      <c r="M231" s="619">
        <v>5162</v>
      </c>
      <c r="N231" s="619">
        <v>2</v>
      </c>
      <c r="O231" s="619">
        <v>10420</v>
      </c>
      <c r="P231" s="640">
        <v>0.28878665262457737</v>
      </c>
      <c r="Q231" s="620">
        <v>5210</v>
      </c>
    </row>
    <row r="232" spans="1:17" ht="14.4" customHeight="1" x14ac:dyDescent="0.3">
      <c r="A232" s="615" t="s">
        <v>4325</v>
      </c>
      <c r="B232" s="616" t="s">
        <v>3899</v>
      </c>
      <c r="C232" s="616" t="s">
        <v>3011</v>
      </c>
      <c r="D232" s="616" t="s">
        <v>4496</v>
      </c>
      <c r="E232" s="616" t="s">
        <v>4497</v>
      </c>
      <c r="F232" s="619">
        <v>31</v>
      </c>
      <c r="G232" s="619">
        <v>243080</v>
      </c>
      <c r="H232" s="619">
        <v>1</v>
      </c>
      <c r="I232" s="619">
        <v>7841.2903225806449</v>
      </c>
      <c r="J232" s="619">
        <v>10</v>
      </c>
      <c r="K232" s="619">
        <v>78530</v>
      </c>
      <c r="L232" s="619">
        <v>0.3230623662991608</v>
      </c>
      <c r="M232" s="619">
        <v>7853</v>
      </c>
      <c r="N232" s="619">
        <v>34</v>
      </c>
      <c r="O232" s="619">
        <v>269450</v>
      </c>
      <c r="P232" s="640">
        <v>1.1084828040151391</v>
      </c>
      <c r="Q232" s="620">
        <v>7925</v>
      </c>
    </row>
    <row r="233" spans="1:17" ht="14.4" customHeight="1" x14ac:dyDescent="0.3">
      <c r="A233" s="615" t="s">
        <v>4325</v>
      </c>
      <c r="B233" s="616" t="s">
        <v>3899</v>
      </c>
      <c r="C233" s="616" t="s">
        <v>3011</v>
      </c>
      <c r="D233" s="616" t="s">
        <v>4498</v>
      </c>
      <c r="E233" s="616" t="s">
        <v>4499</v>
      </c>
      <c r="F233" s="619">
        <v>1</v>
      </c>
      <c r="G233" s="619">
        <v>918</v>
      </c>
      <c r="H233" s="619">
        <v>1</v>
      </c>
      <c r="I233" s="619">
        <v>918</v>
      </c>
      <c r="J233" s="619"/>
      <c r="K233" s="619"/>
      <c r="L233" s="619"/>
      <c r="M233" s="619"/>
      <c r="N233" s="619"/>
      <c r="O233" s="619"/>
      <c r="P233" s="640"/>
      <c r="Q233" s="620"/>
    </row>
    <row r="234" spans="1:17" ht="14.4" customHeight="1" x14ac:dyDescent="0.3">
      <c r="A234" s="615" t="s">
        <v>4325</v>
      </c>
      <c r="B234" s="616" t="s">
        <v>3899</v>
      </c>
      <c r="C234" s="616" t="s">
        <v>3011</v>
      </c>
      <c r="D234" s="616" t="s">
        <v>4500</v>
      </c>
      <c r="E234" s="616" t="s">
        <v>4501</v>
      </c>
      <c r="F234" s="619">
        <v>5</v>
      </c>
      <c r="G234" s="619">
        <v>8309</v>
      </c>
      <c r="H234" s="619">
        <v>1</v>
      </c>
      <c r="I234" s="619">
        <v>1661.8</v>
      </c>
      <c r="J234" s="619">
        <v>1</v>
      </c>
      <c r="K234" s="619">
        <v>1666</v>
      </c>
      <c r="L234" s="619">
        <v>0.20050547598989049</v>
      </c>
      <c r="M234" s="619">
        <v>1666</v>
      </c>
      <c r="N234" s="619">
        <v>3</v>
      </c>
      <c r="O234" s="619">
        <v>5106</v>
      </c>
      <c r="P234" s="640">
        <v>0.61451438199542663</v>
      </c>
      <c r="Q234" s="620">
        <v>1702</v>
      </c>
    </row>
    <row r="235" spans="1:17" ht="14.4" customHeight="1" x14ac:dyDescent="0.3">
      <c r="A235" s="615" t="s">
        <v>4325</v>
      </c>
      <c r="B235" s="616" t="s">
        <v>3899</v>
      </c>
      <c r="C235" s="616" t="s">
        <v>3011</v>
      </c>
      <c r="D235" s="616" t="s">
        <v>4502</v>
      </c>
      <c r="E235" s="616" t="s">
        <v>4503</v>
      </c>
      <c r="F235" s="619"/>
      <c r="G235" s="619"/>
      <c r="H235" s="619"/>
      <c r="I235" s="619"/>
      <c r="J235" s="619">
        <v>1</v>
      </c>
      <c r="K235" s="619">
        <v>1046</v>
      </c>
      <c r="L235" s="619"/>
      <c r="M235" s="619">
        <v>1046</v>
      </c>
      <c r="N235" s="619"/>
      <c r="O235" s="619"/>
      <c r="P235" s="640"/>
      <c r="Q235" s="620"/>
    </row>
    <row r="236" spans="1:17" ht="14.4" customHeight="1" x14ac:dyDescent="0.3">
      <c r="A236" s="615" t="s">
        <v>4325</v>
      </c>
      <c r="B236" s="616" t="s">
        <v>3899</v>
      </c>
      <c r="C236" s="616" t="s">
        <v>3011</v>
      </c>
      <c r="D236" s="616" t="s">
        <v>4504</v>
      </c>
      <c r="E236" s="616" t="s">
        <v>4505</v>
      </c>
      <c r="F236" s="619">
        <v>35</v>
      </c>
      <c r="G236" s="619">
        <v>44758</v>
      </c>
      <c r="H236" s="619">
        <v>1</v>
      </c>
      <c r="I236" s="619">
        <v>1278.8</v>
      </c>
      <c r="J236" s="619">
        <v>40</v>
      </c>
      <c r="K236" s="619">
        <v>51240</v>
      </c>
      <c r="L236" s="619">
        <v>1.1448232718173288</v>
      </c>
      <c r="M236" s="619">
        <v>1281</v>
      </c>
      <c r="N236" s="619">
        <v>35</v>
      </c>
      <c r="O236" s="619">
        <v>45255</v>
      </c>
      <c r="P236" s="640">
        <v>1.0111041601501407</v>
      </c>
      <c r="Q236" s="620">
        <v>1293</v>
      </c>
    </row>
    <row r="237" spans="1:17" ht="14.4" customHeight="1" x14ac:dyDescent="0.3">
      <c r="A237" s="615" t="s">
        <v>4325</v>
      </c>
      <c r="B237" s="616" t="s">
        <v>3899</v>
      </c>
      <c r="C237" s="616" t="s">
        <v>3011</v>
      </c>
      <c r="D237" s="616" t="s">
        <v>4506</v>
      </c>
      <c r="E237" s="616" t="s">
        <v>4507</v>
      </c>
      <c r="F237" s="619">
        <v>26</v>
      </c>
      <c r="G237" s="619">
        <v>30292</v>
      </c>
      <c r="H237" s="619">
        <v>1</v>
      </c>
      <c r="I237" s="619">
        <v>1165.0769230769231</v>
      </c>
      <c r="J237" s="619">
        <v>32</v>
      </c>
      <c r="K237" s="619">
        <v>37344</v>
      </c>
      <c r="L237" s="619">
        <v>1.2328007394691667</v>
      </c>
      <c r="M237" s="619">
        <v>1167</v>
      </c>
      <c r="N237" s="619">
        <v>27</v>
      </c>
      <c r="O237" s="619">
        <v>31779</v>
      </c>
      <c r="P237" s="640">
        <v>1.0490888683480788</v>
      </c>
      <c r="Q237" s="620">
        <v>1177</v>
      </c>
    </row>
    <row r="238" spans="1:17" ht="14.4" customHeight="1" x14ac:dyDescent="0.3">
      <c r="A238" s="615" t="s">
        <v>4325</v>
      </c>
      <c r="B238" s="616" t="s">
        <v>3899</v>
      </c>
      <c r="C238" s="616" t="s">
        <v>3011</v>
      </c>
      <c r="D238" s="616" t="s">
        <v>4508</v>
      </c>
      <c r="E238" s="616" t="s">
        <v>4509</v>
      </c>
      <c r="F238" s="619">
        <v>1</v>
      </c>
      <c r="G238" s="619">
        <v>5074</v>
      </c>
      <c r="H238" s="619">
        <v>1</v>
      </c>
      <c r="I238" s="619">
        <v>5074</v>
      </c>
      <c r="J238" s="619">
        <v>3</v>
      </c>
      <c r="K238" s="619">
        <v>15228</v>
      </c>
      <c r="L238" s="619">
        <v>3.0011824990145843</v>
      </c>
      <c r="M238" s="619">
        <v>5076</v>
      </c>
      <c r="N238" s="619">
        <v>9</v>
      </c>
      <c r="O238" s="619">
        <v>46413</v>
      </c>
      <c r="P238" s="640">
        <v>9.1472211273157278</v>
      </c>
      <c r="Q238" s="620">
        <v>5157</v>
      </c>
    </row>
    <row r="239" spans="1:17" ht="14.4" customHeight="1" x14ac:dyDescent="0.3">
      <c r="A239" s="615" t="s">
        <v>4325</v>
      </c>
      <c r="B239" s="616" t="s">
        <v>3899</v>
      </c>
      <c r="C239" s="616" t="s">
        <v>3011</v>
      </c>
      <c r="D239" s="616" t="s">
        <v>4510</v>
      </c>
      <c r="E239" s="616" t="s">
        <v>4511</v>
      </c>
      <c r="F239" s="619"/>
      <c r="G239" s="619"/>
      <c r="H239" s="619"/>
      <c r="I239" s="619"/>
      <c r="J239" s="619"/>
      <c r="K239" s="619"/>
      <c r="L239" s="619"/>
      <c r="M239" s="619"/>
      <c r="N239" s="619">
        <v>1</v>
      </c>
      <c r="O239" s="619">
        <v>5620</v>
      </c>
      <c r="P239" s="640"/>
      <c r="Q239" s="620">
        <v>5620</v>
      </c>
    </row>
    <row r="240" spans="1:17" ht="14.4" customHeight="1" x14ac:dyDescent="0.3">
      <c r="A240" s="615" t="s">
        <v>4325</v>
      </c>
      <c r="B240" s="616" t="s">
        <v>3899</v>
      </c>
      <c r="C240" s="616" t="s">
        <v>3011</v>
      </c>
      <c r="D240" s="616" t="s">
        <v>4512</v>
      </c>
      <c r="E240" s="616" t="s">
        <v>4513</v>
      </c>
      <c r="F240" s="619">
        <v>3</v>
      </c>
      <c r="G240" s="619">
        <v>2247</v>
      </c>
      <c r="H240" s="619">
        <v>1</v>
      </c>
      <c r="I240" s="619">
        <v>749</v>
      </c>
      <c r="J240" s="619">
        <v>2</v>
      </c>
      <c r="K240" s="619">
        <v>1504</v>
      </c>
      <c r="L240" s="619">
        <v>0.66933689363595905</v>
      </c>
      <c r="M240" s="619">
        <v>752</v>
      </c>
      <c r="N240" s="619">
        <v>3</v>
      </c>
      <c r="O240" s="619">
        <v>2400</v>
      </c>
      <c r="P240" s="640">
        <v>1.0680907877169559</v>
      </c>
      <c r="Q240" s="620">
        <v>800</v>
      </c>
    </row>
    <row r="241" spans="1:17" ht="14.4" customHeight="1" x14ac:dyDescent="0.3">
      <c r="A241" s="615" t="s">
        <v>4325</v>
      </c>
      <c r="B241" s="616" t="s">
        <v>3899</v>
      </c>
      <c r="C241" s="616" t="s">
        <v>3011</v>
      </c>
      <c r="D241" s="616" t="s">
        <v>4514</v>
      </c>
      <c r="E241" s="616" t="s">
        <v>4515</v>
      </c>
      <c r="F241" s="619">
        <v>569</v>
      </c>
      <c r="G241" s="619">
        <v>98770</v>
      </c>
      <c r="H241" s="619">
        <v>1</v>
      </c>
      <c r="I241" s="619">
        <v>173.58523725834797</v>
      </c>
      <c r="J241" s="619">
        <v>497</v>
      </c>
      <c r="K241" s="619">
        <v>86975</v>
      </c>
      <c r="L241" s="619">
        <v>0.88058114812189936</v>
      </c>
      <c r="M241" s="619">
        <v>175</v>
      </c>
      <c r="N241" s="619">
        <v>601</v>
      </c>
      <c r="O241" s="619">
        <v>106377</v>
      </c>
      <c r="P241" s="640">
        <v>1.0770173129492762</v>
      </c>
      <c r="Q241" s="620">
        <v>177</v>
      </c>
    </row>
    <row r="242" spans="1:17" ht="14.4" customHeight="1" x14ac:dyDescent="0.3">
      <c r="A242" s="615" t="s">
        <v>4325</v>
      </c>
      <c r="B242" s="616" t="s">
        <v>3899</v>
      </c>
      <c r="C242" s="616" t="s">
        <v>3011</v>
      </c>
      <c r="D242" s="616" t="s">
        <v>4516</v>
      </c>
      <c r="E242" s="616" t="s">
        <v>4517</v>
      </c>
      <c r="F242" s="619">
        <v>34</v>
      </c>
      <c r="G242" s="619">
        <v>67936</v>
      </c>
      <c r="H242" s="619">
        <v>1</v>
      </c>
      <c r="I242" s="619">
        <v>1998.1176470588234</v>
      </c>
      <c r="J242" s="619">
        <v>37</v>
      </c>
      <c r="K242" s="619">
        <v>74037</v>
      </c>
      <c r="L242" s="619">
        <v>1.0898051106924165</v>
      </c>
      <c r="M242" s="619">
        <v>2001</v>
      </c>
      <c r="N242" s="619">
        <v>56</v>
      </c>
      <c r="O242" s="619">
        <v>114688</v>
      </c>
      <c r="P242" s="640">
        <v>1.6881771078662271</v>
      </c>
      <c r="Q242" s="620">
        <v>2048</v>
      </c>
    </row>
    <row r="243" spans="1:17" ht="14.4" customHeight="1" x14ac:dyDescent="0.3">
      <c r="A243" s="615" t="s">
        <v>4325</v>
      </c>
      <c r="B243" s="616" t="s">
        <v>3899</v>
      </c>
      <c r="C243" s="616" t="s">
        <v>3011</v>
      </c>
      <c r="D243" s="616" t="s">
        <v>4518</v>
      </c>
      <c r="E243" s="616" t="s">
        <v>4519</v>
      </c>
      <c r="F243" s="619">
        <v>1</v>
      </c>
      <c r="G243" s="619">
        <v>2695</v>
      </c>
      <c r="H243" s="619">
        <v>1</v>
      </c>
      <c r="I243" s="619">
        <v>2695</v>
      </c>
      <c r="J243" s="619">
        <v>2</v>
      </c>
      <c r="K243" s="619">
        <v>5392</v>
      </c>
      <c r="L243" s="619">
        <v>2.0007421150278293</v>
      </c>
      <c r="M243" s="619">
        <v>2696</v>
      </c>
      <c r="N243" s="619">
        <v>2</v>
      </c>
      <c r="O243" s="619">
        <v>5472</v>
      </c>
      <c r="P243" s="640">
        <v>2.0304267161410019</v>
      </c>
      <c r="Q243" s="620">
        <v>2736</v>
      </c>
    </row>
    <row r="244" spans="1:17" ht="14.4" customHeight="1" x14ac:dyDescent="0.3">
      <c r="A244" s="615" t="s">
        <v>4325</v>
      </c>
      <c r="B244" s="616" t="s">
        <v>3899</v>
      </c>
      <c r="C244" s="616" t="s">
        <v>3011</v>
      </c>
      <c r="D244" s="616" t="s">
        <v>4520</v>
      </c>
      <c r="E244" s="616" t="s">
        <v>4521</v>
      </c>
      <c r="F244" s="619">
        <v>2</v>
      </c>
      <c r="G244" s="619">
        <v>10366</v>
      </c>
      <c r="H244" s="619">
        <v>1</v>
      </c>
      <c r="I244" s="619">
        <v>5183</v>
      </c>
      <c r="J244" s="619">
        <v>1</v>
      </c>
      <c r="K244" s="619">
        <v>5188</v>
      </c>
      <c r="L244" s="619">
        <v>0.50048234613158404</v>
      </c>
      <c r="M244" s="619">
        <v>5188</v>
      </c>
      <c r="N244" s="619"/>
      <c r="O244" s="619"/>
      <c r="P244" s="640"/>
      <c r="Q244" s="620"/>
    </row>
    <row r="245" spans="1:17" ht="14.4" customHeight="1" x14ac:dyDescent="0.3">
      <c r="A245" s="615" t="s">
        <v>4325</v>
      </c>
      <c r="B245" s="616" t="s">
        <v>3899</v>
      </c>
      <c r="C245" s="616" t="s">
        <v>3011</v>
      </c>
      <c r="D245" s="616" t="s">
        <v>4522</v>
      </c>
      <c r="E245" s="616" t="s">
        <v>4523</v>
      </c>
      <c r="F245" s="619">
        <v>5</v>
      </c>
      <c r="G245" s="619">
        <v>3305</v>
      </c>
      <c r="H245" s="619">
        <v>1</v>
      </c>
      <c r="I245" s="619">
        <v>661</v>
      </c>
      <c r="J245" s="619">
        <v>7</v>
      </c>
      <c r="K245" s="619">
        <v>4634</v>
      </c>
      <c r="L245" s="619">
        <v>1.4021180030257185</v>
      </c>
      <c r="M245" s="619">
        <v>662</v>
      </c>
      <c r="N245" s="619">
        <v>2</v>
      </c>
      <c r="O245" s="619">
        <v>1348</v>
      </c>
      <c r="P245" s="640">
        <v>0.40786686838124053</v>
      </c>
      <c r="Q245" s="620">
        <v>674</v>
      </c>
    </row>
    <row r="246" spans="1:17" ht="14.4" customHeight="1" x14ac:dyDescent="0.3">
      <c r="A246" s="615" t="s">
        <v>4325</v>
      </c>
      <c r="B246" s="616" t="s">
        <v>3899</v>
      </c>
      <c r="C246" s="616" t="s">
        <v>3011</v>
      </c>
      <c r="D246" s="616" t="s">
        <v>4524</v>
      </c>
      <c r="E246" s="616" t="s">
        <v>4525</v>
      </c>
      <c r="F246" s="619">
        <v>7</v>
      </c>
      <c r="G246" s="619">
        <v>14557</v>
      </c>
      <c r="H246" s="619">
        <v>1</v>
      </c>
      <c r="I246" s="619">
        <v>2079.5714285714284</v>
      </c>
      <c r="J246" s="619">
        <v>3</v>
      </c>
      <c r="K246" s="619">
        <v>6246</v>
      </c>
      <c r="L246" s="619">
        <v>0.42907192416019785</v>
      </c>
      <c r="M246" s="619">
        <v>2082</v>
      </c>
      <c r="N246" s="619">
        <v>4</v>
      </c>
      <c r="O246" s="619">
        <v>8452</v>
      </c>
      <c r="P246" s="640">
        <v>0.5806141375283369</v>
      </c>
      <c r="Q246" s="620">
        <v>2113</v>
      </c>
    </row>
    <row r="247" spans="1:17" ht="14.4" customHeight="1" x14ac:dyDescent="0.3">
      <c r="A247" s="615" t="s">
        <v>4325</v>
      </c>
      <c r="B247" s="616" t="s">
        <v>3899</v>
      </c>
      <c r="C247" s="616" t="s">
        <v>3011</v>
      </c>
      <c r="D247" s="616" t="s">
        <v>4526</v>
      </c>
      <c r="E247" s="616" t="s">
        <v>4527</v>
      </c>
      <c r="F247" s="619">
        <v>3</v>
      </c>
      <c r="G247" s="619">
        <v>452</v>
      </c>
      <c r="H247" s="619">
        <v>1</v>
      </c>
      <c r="I247" s="619">
        <v>150.66666666666666</v>
      </c>
      <c r="J247" s="619">
        <v>7</v>
      </c>
      <c r="K247" s="619">
        <v>1057</v>
      </c>
      <c r="L247" s="619">
        <v>2.3384955752212391</v>
      </c>
      <c r="M247" s="619">
        <v>151</v>
      </c>
      <c r="N247" s="619">
        <v>13</v>
      </c>
      <c r="O247" s="619">
        <v>2015</v>
      </c>
      <c r="P247" s="640">
        <v>4.4579646017699117</v>
      </c>
      <c r="Q247" s="620">
        <v>155</v>
      </c>
    </row>
    <row r="248" spans="1:17" ht="14.4" customHeight="1" x14ac:dyDescent="0.3">
      <c r="A248" s="615" t="s">
        <v>4325</v>
      </c>
      <c r="B248" s="616" t="s">
        <v>3899</v>
      </c>
      <c r="C248" s="616" t="s">
        <v>3011</v>
      </c>
      <c r="D248" s="616" t="s">
        <v>4528</v>
      </c>
      <c r="E248" s="616" t="s">
        <v>4529</v>
      </c>
      <c r="F248" s="619">
        <v>1</v>
      </c>
      <c r="G248" s="619">
        <v>194</v>
      </c>
      <c r="H248" s="619">
        <v>1</v>
      </c>
      <c r="I248" s="619">
        <v>194</v>
      </c>
      <c r="J248" s="619">
        <v>2</v>
      </c>
      <c r="K248" s="619">
        <v>390</v>
      </c>
      <c r="L248" s="619">
        <v>2.0103092783505154</v>
      </c>
      <c r="M248" s="619">
        <v>195</v>
      </c>
      <c r="N248" s="619">
        <v>3</v>
      </c>
      <c r="O248" s="619">
        <v>597</v>
      </c>
      <c r="P248" s="640">
        <v>3.0773195876288661</v>
      </c>
      <c r="Q248" s="620">
        <v>199</v>
      </c>
    </row>
    <row r="249" spans="1:17" ht="14.4" customHeight="1" x14ac:dyDescent="0.3">
      <c r="A249" s="615" t="s">
        <v>4325</v>
      </c>
      <c r="B249" s="616" t="s">
        <v>3899</v>
      </c>
      <c r="C249" s="616" t="s">
        <v>3011</v>
      </c>
      <c r="D249" s="616" t="s">
        <v>4530</v>
      </c>
      <c r="E249" s="616" t="s">
        <v>4531</v>
      </c>
      <c r="F249" s="619">
        <v>120</v>
      </c>
      <c r="G249" s="619">
        <v>23826</v>
      </c>
      <c r="H249" s="619">
        <v>1</v>
      </c>
      <c r="I249" s="619">
        <v>198.55</v>
      </c>
      <c r="J249" s="619">
        <v>182</v>
      </c>
      <c r="K249" s="619">
        <v>36400</v>
      </c>
      <c r="L249" s="619">
        <v>1.5277428019810291</v>
      </c>
      <c r="M249" s="619">
        <v>200</v>
      </c>
      <c r="N249" s="619">
        <v>366</v>
      </c>
      <c r="O249" s="619">
        <v>74664</v>
      </c>
      <c r="P249" s="640">
        <v>3.1337194661294383</v>
      </c>
      <c r="Q249" s="620">
        <v>204</v>
      </c>
    </row>
    <row r="250" spans="1:17" ht="14.4" customHeight="1" x14ac:dyDescent="0.3">
      <c r="A250" s="615" t="s">
        <v>4325</v>
      </c>
      <c r="B250" s="616" t="s">
        <v>3899</v>
      </c>
      <c r="C250" s="616" t="s">
        <v>3011</v>
      </c>
      <c r="D250" s="616" t="s">
        <v>4532</v>
      </c>
      <c r="E250" s="616" t="s">
        <v>4533</v>
      </c>
      <c r="F250" s="619">
        <v>17</v>
      </c>
      <c r="G250" s="619">
        <v>7077</v>
      </c>
      <c r="H250" s="619">
        <v>1</v>
      </c>
      <c r="I250" s="619">
        <v>416.29411764705884</v>
      </c>
      <c r="J250" s="619">
        <v>16</v>
      </c>
      <c r="K250" s="619">
        <v>6688</v>
      </c>
      <c r="L250" s="619">
        <v>0.94503320616080255</v>
      </c>
      <c r="M250" s="619">
        <v>418</v>
      </c>
      <c r="N250" s="619">
        <v>4</v>
      </c>
      <c r="O250" s="619">
        <v>1704</v>
      </c>
      <c r="P250" s="640">
        <v>0.24077999152183127</v>
      </c>
      <c r="Q250" s="620">
        <v>426</v>
      </c>
    </row>
    <row r="251" spans="1:17" ht="14.4" customHeight="1" x14ac:dyDescent="0.3">
      <c r="A251" s="615" t="s">
        <v>4325</v>
      </c>
      <c r="B251" s="616" t="s">
        <v>3899</v>
      </c>
      <c r="C251" s="616" t="s">
        <v>3011</v>
      </c>
      <c r="D251" s="616" t="s">
        <v>4534</v>
      </c>
      <c r="E251" s="616" t="s">
        <v>4535</v>
      </c>
      <c r="F251" s="619">
        <v>4</v>
      </c>
      <c r="G251" s="619">
        <v>1708</v>
      </c>
      <c r="H251" s="619">
        <v>1</v>
      </c>
      <c r="I251" s="619">
        <v>427</v>
      </c>
      <c r="J251" s="619">
        <v>7</v>
      </c>
      <c r="K251" s="619">
        <v>2996</v>
      </c>
      <c r="L251" s="619">
        <v>1.7540983606557377</v>
      </c>
      <c r="M251" s="619">
        <v>428</v>
      </c>
      <c r="N251" s="619">
        <v>3</v>
      </c>
      <c r="O251" s="619">
        <v>1308</v>
      </c>
      <c r="P251" s="640">
        <v>0.76580796252927397</v>
      </c>
      <c r="Q251" s="620">
        <v>436</v>
      </c>
    </row>
    <row r="252" spans="1:17" ht="14.4" customHeight="1" x14ac:dyDescent="0.3">
      <c r="A252" s="615" t="s">
        <v>4325</v>
      </c>
      <c r="B252" s="616" t="s">
        <v>3899</v>
      </c>
      <c r="C252" s="616" t="s">
        <v>3011</v>
      </c>
      <c r="D252" s="616" t="s">
        <v>4536</v>
      </c>
      <c r="E252" s="616" t="s">
        <v>4537</v>
      </c>
      <c r="F252" s="619">
        <v>61</v>
      </c>
      <c r="G252" s="619">
        <v>129321</v>
      </c>
      <c r="H252" s="619">
        <v>1</v>
      </c>
      <c r="I252" s="619">
        <v>2120.0163934426228</v>
      </c>
      <c r="J252" s="619">
        <v>47</v>
      </c>
      <c r="K252" s="619">
        <v>99781</v>
      </c>
      <c r="L252" s="619">
        <v>0.77157615545812364</v>
      </c>
      <c r="M252" s="619">
        <v>2123</v>
      </c>
      <c r="N252" s="619">
        <v>112</v>
      </c>
      <c r="O252" s="619">
        <v>241248</v>
      </c>
      <c r="P252" s="640">
        <v>1.8654974830074003</v>
      </c>
      <c r="Q252" s="620">
        <v>2154</v>
      </c>
    </row>
    <row r="253" spans="1:17" ht="14.4" customHeight="1" x14ac:dyDescent="0.3">
      <c r="A253" s="615" t="s">
        <v>4325</v>
      </c>
      <c r="B253" s="616" t="s">
        <v>3899</v>
      </c>
      <c r="C253" s="616" t="s">
        <v>3011</v>
      </c>
      <c r="D253" s="616" t="s">
        <v>4538</v>
      </c>
      <c r="E253" s="616" t="s">
        <v>4493</v>
      </c>
      <c r="F253" s="619">
        <v>65</v>
      </c>
      <c r="G253" s="619">
        <v>121268</v>
      </c>
      <c r="H253" s="619">
        <v>1</v>
      </c>
      <c r="I253" s="619">
        <v>1865.6615384615384</v>
      </c>
      <c r="J253" s="619">
        <v>45</v>
      </c>
      <c r="K253" s="619">
        <v>84105</v>
      </c>
      <c r="L253" s="619">
        <v>0.69354652505195102</v>
      </c>
      <c r="M253" s="619">
        <v>1869</v>
      </c>
      <c r="N253" s="619">
        <v>57</v>
      </c>
      <c r="O253" s="619">
        <v>107616</v>
      </c>
      <c r="P253" s="640">
        <v>0.88742289804400176</v>
      </c>
      <c r="Q253" s="620">
        <v>1888</v>
      </c>
    </row>
    <row r="254" spans="1:17" ht="14.4" customHeight="1" x14ac:dyDescent="0.3">
      <c r="A254" s="615" t="s">
        <v>4325</v>
      </c>
      <c r="B254" s="616" t="s">
        <v>3899</v>
      </c>
      <c r="C254" s="616" t="s">
        <v>3011</v>
      </c>
      <c r="D254" s="616" t="s">
        <v>4539</v>
      </c>
      <c r="E254" s="616" t="s">
        <v>4540</v>
      </c>
      <c r="F254" s="619">
        <v>3</v>
      </c>
      <c r="G254" s="619">
        <v>2742</v>
      </c>
      <c r="H254" s="619">
        <v>1</v>
      </c>
      <c r="I254" s="619">
        <v>914</v>
      </c>
      <c r="J254" s="619">
        <v>3</v>
      </c>
      <c r="K254" s="619">
        <v>2751</v>
      </c>
      <c r="L254" s="619">
        <v>1.0032822757111597</v>
      </c>
      <c r="M254" s="619">
        <v>917</v>
      </c>
      <c r="N254" s="619">
        <v>3</v>
      </c>
      <c r="O254" s="619">
        <v>2799</v>
      </c>
      <c r="P254" s="640">
        <v>1.0207877461706782</v>
      </c>
      <c r="Q254" s="620">
        <v>933</v>
      </c>
    </row>
    <row r="255" spans="1:17" ht="14.4" customHeight="1" x14ac:dyDescent="0.3">
      <c r="A255" s="615" t="s">
        <v>4325</v>
      </c>
      <c r="B255" s="616" t="s">
        <v>3899</v>
      </c>
      <c r="C255" s="616" t="s">
        <v>3011</v>
      </c>
      <c r="D255" s="616" t="s">
        <v>4541</v>
      </c>
      <c r="E255" s="616" t="s">
        <v>4542</v>
      </c>
      <c r="F255" s="619">
        <v>42</v>
      </c>
      <c r="G255" s="619">
        <v>352392</v>
      </c>
      <c r="H255" s="619">
        <v>1</v>
      </c>
      <c r="I255" s="619">
        <v>8390.2857142857138</v>
      </c>
      <c r="J255" s="619">
        <v>26</v>
      </c>
      <c r="K255" s="619">
        <v>218374</v>
      </c>
      <c r="L255" s="619">
        <v>0.61969057186315235</v>
      </c>
      <c r="M255" s="619">
        <v>8399</v>
      </c>
      <c r="N255" s="619">
        <v>33</v>
      </c>
      <c r="O255" s="619">
        <v>279147</v>
      </c>
      <c r="P255" s="640">
        <v>0.79214908397466455</v>
      </c>
      <c r="Q255" s="620">
        <v>8459</v>
      </c>
    </row>
    <row r="256" spans="1:17" ht="14.4" customHeight="1" x14ac:dyDescent="0.3">
      <c r="A256" s="615" t="s">
        <v>4325</v>
      </c>
      <c r="B256" s="616" t="s">
        <v>3899</v>
      </c>
      <c r="C256" s="616" t="s">
        <v>3011</v>
      </c>
      <c r="D256" s="616" t="s">
        <v>4543</v>
      </c>
      <c r="E256" s="616" t="s">
        <v>4544</v>
      </c>
      <c r="F256" s="619">
        <v>3</v>
      </c>
      <c r="G256" s="619">
        <v>6003</v>
      </c>
      <c r="H256" s="619">
        <v>1</v>
      </c>
      <c r="I256" s="619">
        <v>2001</v>
      </c>
      <c r="J256" s="619">
        <v>1</v>
      </c>
      <c r="K256" s="619">
        <v>2005</v>
      </c>
      <c r="L256" s="619">
        <v>0.33399966683325005</v>
      </c>
      <c r="M256" s="619">
        <v>2005</v>
      </c>
      <c r="N256" s="619">
        <v>2</v>
      </c>
      <c r="O256" s="619">
        <v>4106</v>
      </c>
      <c r="P256" s="640">
        <v>0.68399133766450104</v>
      </c>
      <c r="Q256" s="620">
        <v>2053</v>
      </c>
    </row>
    <row r="257" spans="1:17" ht="14.4" customHeight="1" x14ac:dyDescent="0.3">
      <c r="A257" s="615" t="s">
        <v>4325</v>
      </c>
      <c r="B257" s="616" t="s">
        <v>3899</v>
      </c>
      <c r="C257" s="616" t="s">
        <v>3011</v>
      </c>
      <c r="D257" s="616" t="s">
        <v>4545</v>
      </c>
      <c r="E257" s="616" t="s">
        <v>4546</v>
      </c>
      <c r="F257" s="619">
        <v>2</v>
      </c>
      <c r="G257" s="619">
        <v>11386</v>
      </c>
      <c r="H257" s="619">
        <v>1</v>
      </c>
      <c r="I257" s="619">
        <v>5693</v>
      </c>
      <c r="J257" s="619"/>
      <c r="K257" s="619"/>
      <c r="L257" s="619"/>
      <c r="M257" s="619"/>
      <c r="N257" s="619"/>
      <c r="O257" s="619"/>
      <c r="P257" s="640"/>
      <c r="Q257" s="620"/>
    </row>
    <row r="258" spans="1:17" ht="14.4" customHeight="1" x14ac:dyDescent="0.3">
      <c r="A258" s="615" t="s">
        <v>4325</v>
      </c>
      <c r="B258" s="616" t="s">
        <v>3899</v>
      </c>
      <c r="C258" s="616" t="s">
        <v>3011</v>
      </c>
      <c r="D258" s="616" t="s">
        <v>4547</v>
      </c>
      <c r="E258" s="616" t="s">
        <v>4548</v>
      </c>
      <c r="F258" s="619">
        <v>3</v>
      </c>
      <c r="G258" s="619">
        <v>1680</v>
      </c>
      <c r="H258" s="619">
        <v>1</v>
      </c>
      <c r="I258" s="619">
        <v>560</v>
      </c>
      <c r="J258" s="619"/>
      <c r="K258" s="619"/>
      <c r="L258" s="619"/>
      <c r="M258" s="619"/>
      <c r="N258" s="619"/>
      <c r="O258" s="619"/>
      <c r="P258" s="640"/>
      <c r="Q258" s="620"/>
    </row>
    <row r="259" spans="1:17" ht="14.4" customHeight="1" x14ac:dyDescent="0.3">
      <c r="A259" s="615" t="s">
        <v>4549</v>
      </c>
      <c r="B259" s="616" t="s">
        <v>4550</v>
      </c>
      <c r="C259" s="616" t="s">
        <v>3011</v>
      </c>
      <c r="D259" s="616" t="s">
        <v>4551</v>
      </c>
      <c r="E259" s="616" t="s">
        <v>4552</v>
      </c>
      <c r="F259" s="619">
        <v>620</v>
      </c>
      <c r="G259" s="619">
        <v>126550</v>
      </c>
      <c r="H259" s="619">
        <v>1</v>
      </c>
      <c r="I259" s="619">
        <v>204.11290322580646</v>
      </c>
      <c r="J259" s="619">
        <v>730</v>
      </c>
      <c r="K259" s="619">
        <v>150380</v>
      </c>
      <c r="L259" s="619">
        <v>1.1883050177795338</v>
      </c>
      <c r="M259" s="619">
        <v>206</v>
      </c>
      <c r="N259" s="619">
        <v>772</v>
      </c>
      <c r="O259" s="619">
        <v>162892</v>
      </c>
      <c r="P259" s="640">
        <v>1.2871750296325564</v>
      </c>
      <c r="Q259" s="620">
        <v>211</v>
      </c>
    </row>
    <row r="260" spans="1:17" ht="14.4" customHeight="1" x14ac:dyDescent="0.3">
      <c r="A260" s="615" t="s">
        <v>4549</v>
      </c>
      <c r="B260" s="616" t="s">
        <v>4550</v>
      </c>
      <c r="C260" s="616" t="s">
        <v>3011</v>
      </c>
      <c r="D260" s="616" t="s">
        <v>4553</v>
      </c>
      <c r="E260" s="616" t="s">
        <v>4552</v>
      </c>
      <c r="F260" s="619">
        <v>1</v>
      </c>
      <c r="G260" s="619">
        <v>84</v>
      </c>
      <c r="H260" s="619">
        <v>1</v>
      </c>
      <c r="I260" s="619">
        <v>84</v>
      </c>
      <c r="J260" s="619">
        <v>2</v>
      </c>
      <c r="K260" s="619">
        <v>170</v>
      </c>
      <c r="L260" s="619">
        <v>2.0238095238095237</v>
      </c>
      <c r="M260" s="619">
        <v>85</v>
      </c>
      <c r="N260" s="619">
        <v>6</v>
      </c>
      <c r="O260" s="619">
        <v>522</v>
      </c>
      <c r="P260" s="640">
        <v>6.2142857142857144</v>
      </c>
      <c r="Q260" s="620">
        <v>87</v>
      </c>
    </row>
    <row r="261" spans="1:17" ht="14.4" customHeight="1" x14ac:dyDescent="0.3">
      <c r="A261" s="615" t="s">
        <v>4549</v>
      </c>
      <c r="B261" s="616" t="s">
        <v>4550</v>
      </c>
      <c r="C261" s="616" t="s">
        <v>3011</v>
      </c>
      <c r="D261" s="616" t="s">
        <v>4554</v>
      </c>
      <c r="E261" s="616" t="s">
        <v>4555</v>
      </c>
      <c r="F261" s="619">
        <v>251</v>
      </c>
      <c r="G261" s="619">
        <v>73510</v>
      </c>
      <c r="H261" s="619">
        <v>1</v>
      </c>
      <c r="I261" s="619">
        <v>292.86852589641433</v>
      </c>
      <c r="J261" s="619">
        <v>391</v>
      </c>
      <c r="K261" s="619">
        <v>115345</v>
      </c>
      <c r="L261" s="619">
        <v>1.5691062440484287</v>
      </c>
      <c r="M261" s="619">
        <v>295</v>
      </c>
      <c r="N261" s="619">
        <v>587</v>
      </c>
      <c r="O261" s="619">
        <v>176687</v>
      </c>
      <c r="P261" s="640">
        <v>2.4035777445245543</v>
      </c>
      <c r="Q261" s="620">
        <v>301</v>
      </c>
    </row>
    <row r="262" spans="1:17" ht="14.4" customHeight="1" x14ac:dyDescent="0.3">
      <c r="A262" s="615" t="s">
        <v>4549</v>
      </c>
      <c r="B262" s="616" t="s">
        <v>4550</v>
      </c>
      <c r="C262" s="616" t="s">
        <v>3011</v>
      </c>
      <c r="D262" s="616" t="s">
        <v>4556</v>
      </c>
      <c r="E262" s="616" t="s">
        <v>4557</v>
      </c>
      <c r="F262" s="619">
        <v>6</v>
      </c>
      <c r="G262" s="619">
        <v>558</v>
      </c>
      <c r="H262" s="619">
        <v>1</v>
      </c>
      <c r="I262" s="619">
        <v>93</v>
      </c>
      <c r="J262" s="619">
        <v>8</v>
      </c>
      <c r="K262" s="619">
        <v>760</v>
      </c>
      <c r="L262" s="619">
        <v>1.3620071684587813</v>
      </c>
      <c r="M262" s="619">
        <v>95</v>
      </c>
      <c r="N262" s="619">
        <v>6</v>
      </c>
      <c r="O262" s="619">
        <v>594</v>
      </c>
      <c r="P262" s="640">
        <v>1.064516129032258</v>
      </c>
      <c r="Q262" s="620">
        <v>99</v>
      </c>
    </row>
    <row r="263" spans="1:17" ht="14.4" customHeight="1" x14ac:dyDescent="0.3">
      <c r="A263" s="615" t="s">
        <v>4549</v>
      </c>
      <c r="B263" s="616" t="s">
        <v>4550</v>
      </c>
      <c r="C263" s="616" t="s">
        <v>3011</v>
      </c>
      <c r="D263" s="616" t="s">
        <v>4558</v>
      </c>
      <c r="E263" s="616" t="s">
        <v>4559</v>
      </c>
      <c r="F263" s="619">
        <v>110</v>
      </c>
      <c r="G263" s="619">
        <v>14799</v>
      </c>
      <c r="H263" s="619">
        <v>1</v>
      </c>
      <c r="I263" s="619">
        <v>134.53636363636363</v>
      </c>
      <c r="J263" s="619">
        <v>116</v>
      </c>
      <c r="K263" s="619">
        <v>15660</v>
      </c>
      <c r="L263" s="619">
        <v>1.0581796067301845</v>
      </c>
      <c r="M263" s="619">
        <v>135</v>
      </c>
      <c r="N263" s="619">
        <v>94</v>
      </c>
      <c r="O263" s="619">
        <v>12878</v>
      </c>
      <c r="P263" s="640">
        <v>0.870193932022434</v>
      </c>
      <c r="Q263" s="620">
        <v>137</v>
      </c>
    </row>
    <row r="264" spans="1:17" ht="14.4" customHeight="1" x14ac:dyDescent="0.3">
      <c r="A264" s="615" t="s">
        <v>4549</v>
      </c>
      <c r="B264" s="616" t="s">
        <v>4550</v>
      </c>
      <c r="C264" s="616" t="s">
        <v>3011</v>
      </c>
      <c r="D264" s="616" t="s">
        <v>4560</v>
      </c>
      <c r="E264" s="616" t="s">
        <v>4559</v>
      </c>
      <c r="F264" s="619">
        <v>1</v>
      </c>
      <c r="G264" s="619">
        <v>175</v>
      </c>
      <c r="H264" s="619">
        <v>1</v>
      </c>
      <c r="I264" s="619">
        <v>175</v>
      </c>
      <c r="J264" s="619">
        <v>1</v>
      </c>
      <c r="K264" s="619">
        <v>178</v>
      </c>
      <c r="L264" s="619">
        <v>1.0171428571428571</v>
      </c>
      <c r="M264" s="619">
        <v>178</v>
      </c>
      <c r="N264" s="619">
        <v>2</v>
      </c>
      <c r="O264" s="619">
        <v>366</v>
      </c>
      <c r="P264" s="640">
        <v>2.0914285714285716</v>
      </c>
      <c r="Q264" s="620">
        <v>183</v>
      </c>
    </row>
    <row r="265" spans="1:17" ht="14.4" customHeight="1" x14ac:dyDescent="0.3">
      <c r="A265" s="615" t="s">
        <v>4549</v>
      </c>
      <c r="B265" s="616" t="s">
        <v>4550</v>
      </c>
      <c r="C265" s="616" t="s">
        <v>3011</v>
      </c>
      <c r="D265" s="616" t="s">
        <v>4561</v>
      </c>
      <c r="E265" s="616" t="s">
        <v>4562</v>
      </c>
      <c r="F265" s="619">
        <v>1</v>
      </c>
      <c r="G265" s="619">
        <v>618</v>
      </c>
      <c r="H265" s="619">
        <v>1</v>
      </c>
      <c r="I265" s="619">
        <v>618</v>
      </c>
      <c r="J265" s="619">
        <v>1</v>
      </c>
      <c r="K265" s="619">
        <v>620</v>
      </c>
      <c r="L265" s="619">
        <v>1.0032362459546926</v>
      </c>
      <c r="M265" s="619">
        <v>620</v>
      </c>
      <c r="N265" s="619"/>
      <c r="O265" s="619"/>
      <c r="P265" s="640"/>
      <c r="Q265" s="620"/>
    </row>
    <row r="266" spans="1:17" ht="14.4" customHeight="1" x14ac:dyDescent="0.3">
      <c r="A266" s="615" t="s">
        <v>4549</v>
      </c>
      <c r="B266" s="616" t="s">
        <v>4550</v>
      </c>
      <c r="C266" s="616" t="s">
        <v>3011</v>
      </c>
      <c r="D266" s="616" t="s">
        <v>4563</v>
      </c>
      <c r="E266" s="616" t="s">
        <v>4564</v>
      </c>
      <c r="F266" s="619"/>
      <c r="G266" s="619"/>
      <c r="H266" s="619"/>
      <c r="I266" s="619"/>
      <c r="J266" s="619"/>
      <c r="K266" s="619"/>
      <c r="L266" s="619"/>
      <c r="M266" s="619"/>
      <c r="N266" s="619">
        <v>1</v>
      </c>
      <c r="O266" s="619">
        <v>608</v>
      </c>
      <c r="P266" s="640"/>
      <c r="Q266" s="620">
        <v>608</v>
      </c>
    </row>
    <row r="267" spans="1:17" ht="14.4" customHeight="1" x14ac:dyDescent="0.3">
      <c r="A267" s="615" t="s">
        <v>4549</v>
      </c>
      <c r="B267" s="616" t="s">
        <v>4550</v>
      </c>
      <c r="C267" s="616" t="s">
        <v>3011</v>
      </c>
      <c r="D267" s="616" t="s">
        <v>4565</v>
      </c>
      <c r="E267" s="616" t="s">
        <v>4566</v>
      </c>
      <c r="F267" s="619">
        <v>11</v>
      </c>
      <c r="G267" s="619">
        <v>1755</v>
      </c>
      <c r="H267" s="619">
        <v>1</v>
      </c>
      <c r="I267" s="619">
        <v>159.54545454545453</v>
      </c>
      <c r="J267" s="619">
        <v>11</v>
      </c>
      <c r="K267" s="619">
        <v>1771</v>
      </c>
      <c r="L267" s="619">
        <v>1.009116809116809</v>
      </c>
      <c r="M267" s="619">
        <v>161</v>
      </c>
      <c r="N267" s="619">
        <v>17</v>
      </c>
      <c r="O267" s="619">
        <v>2941</v>
      </c>
      <c r="P267" s="640">
        <v>1.6757834757834758</v>
      </c>
      <c r="Q267" s="620">
        <v>173</v>
      </c>
    </row>
    <row r="268" spans="1:17" ht="14.4" customHeight="1" x14ac:dyDescent="0.3">
      <c r="A268" s="615" t="s">
        <v>4549</v>
      </c>
      <c r="B268" s="616" t="s">
        <v>4550</v>
      </c>
      <c r="C268" s="616" t="s">
        <v>3011</v>
      </c>
      <c r="D268" s="616" t="s">
        <v>4567</v>
      </c>
      <c r="E268" s="616" t="s">
        <v>4568</v>
      </c>
      <c r="F268" s="619"/>
      <c r="G268" s="619"/>
      <c r="H268" s="619"/>
      <c r="I268" s="619"/>
      <c r="J268" s="619">
        <v>1</v>
      </c>
      <c r="K268" s="619">
        <v>383</v>
      </c>
      <c r="L268" s="619"/>
      <c r="M268" s="619">
        <v>383</v>
      </c>
      <c r="N268" s="619"/>
      <c r="O268" s="619"/>
      <c r="P268" s="640"/>
      <c r="Q268" s="620"/>
    </row>
    <row r="269" spans="1:17" ht="14.4" customHeight="1" x14ac:dyDescent="0.3">
      <c r="A269" s="615" t="s">
        <v>4549</v>
      </c>
      <c r="B269" s="616" t="s">
        <v>4550</v>
      </c>
      <c r="C269" s="616" t="s">
        <v>3011</v>
      </c>
      <c r="D269" s="616" t="s">
        <v>4569</v>
      </c>
      <c r="E269" s="616" t="s">
        <v>4570</v>
      </c>
      <c r="F269" s="619">
        <v>119</v>
      </c>
      <c r="G269" s="619">
        <v>31385</v>
      </c>
      <c r="H269" s="619">
        <v>1</v>
      </c>
      <c r="I269" s="619">
        <v>263.73949579831935</v>
      </c>
      <c r="J269" s="619">
        <v>88</v>
      </c>
      <c r="K269" s="619">
        <v>23408</v>
      </c>
      <c r="L269" s="619">
        <v>0.74583399713238807</v>
      </c>
      <c r="M269" s="619">
        <v>266</v>
      </c>
      <c r="N269" s="619">
        <v>80</v>
      </c>
      <c r="O269" s="619">
        <v>21840</v>
      </c>
      <c r="P269" s="640">
        <v>0.69587382507567308</v>
      </c>
      <c r="Q269" s="620">
        <v>273</v>
      </c>
    </row>
    <row r="270" spans="1:17" ht="14.4" customHeight="1" x14ac:dyDescent="0.3">
      <c r="A270" s="615" t="s">
        <v>4549</v>
      </c>
      <c r="B270" s="616" t="s">
        <v>4550</v>
      </c>
      <c r="C270" s="616" t="s">
        <v>3011</v>
      </c>
      <c r="D270" s="616" t="s">
        <v>4571</v>
      </c>
      <c r="E270" s="616" t="s">
        <v>4572</v>
      </c>
      <c r="F270" s="619">
        <v>140</v>
      </c>
      <c r="G270" s="619">
        <v>19740</v>
      </c>
      <c r="H270" s="619">
        <v>1</v>
      </c>
      <c r="I270" s="619">
        <v>141</v>
      </c>
      <c r="J270" s="619">
        <v>172</v>
      </c>
      <c r="K270" s="619">
        <v>24252</v>
      </c>
      <c r="L270" s="619">
        <v>1.2285714285714286</v>
      </c>
      <c r="M270" s="619">
        <v>141</v>
      </c>
      <c r="N270" s="619">
        <v>176</v>
      </c>
      <c r="O270" s="619">
        <v>24992</v>
      </c>
      <c r="P270" s="640">
        <v>1.2660587639311043</v>
      </c>
      <c r="Q270" s="620">
        <v>142</v>
      </c>
    </row>
    <row r="271" spans="1:17" ht="14.4" customHeight="1" x14ac:dyDescent="0.3">
      <c r="A271" s="615" t="s">
        <v>4549</v>
      </c>
      <c r="B271" s="616" t="s">
        <v>4550</v>
      </c>
      <c r="C271" s="616" t="s">
        <v>3011</v>
      </c>
      <c r="D271" s="616" t="s">
        <v>4573</v>
      </c>
      <c r="E271" s="616" t="s">
        <v>4572</v>
      </c>
      <c r="F271" s="619">
        <v>110</v>
      </c>
      <c r="G271" s="619">
        <v>8580</v>
      </c>
      <c r="H271" s="619">
        <v>1</v>
      </c>
      <c r="I271" s="619">
        <v>78</v>
      </c>
      <c r="J271" s="619">
        <v>116</v>
      </c>
      <c r="K271" s="619">
        <v>9048</v>
      </c>
      <c r="L271" s="619">
        <v>1.0545454545454545</v>
      </c>
      <c r="M271" s="619">
        <v>78</v>
      </c>
      <c r="N271" s="619">
        <v>94</v>
      </c>
      <c r="O271" s="619">
        <v>7332</v>
      </c>
      <c r="P271" s="640">
        <v>0.8545454545454545</v>
      </c>
      <c r="Q271" s="620">
        <v>78</v>
      </c>
    </row>
    <row r="272" spans="1:17" ht="14.4" customHeight="1" x14ac:dyDescent="0.3">
      <c r="A272" s="615" t="s">
        <v>4549</v>
      </c>
      <c r="B272" s="616" t="s">
        <v>4550</v>
      </c>
      <c r="C272" s="616" t="s">
        <v>3011</v>
      </c>
      <c r="D272" s="616" t="s">
        <v>4574</v>
      </c>
      <c r="E272" s="616" t="s">
        <v>4575</v>
      </c>
      <c r="F272" s="619">
        <v>140</v>
      </c>
      <c r="G272" s="619">
        <v>42678</v>
      </c>
      <c r="H272" s="619">
        <v>1</v>
      </c>
      <c r="I272" s="619">
        <v>304.84285714285716</v>
      </c>
      <c r="J272" s="619">
        <v>172</v>
      </c>
      <c r="K272" s="619">
        <v>52804</v>
      </c>
      <c r="L272" s="619">
        <v>1.2372651014574254</v>
      </c>
      <c r="M272" s="619">
        <v>307</v>
      </c>
      <c r="N272" s="619">
        <v>176</v>
      </c>
      <c r="O272" s="619">
        <v>55088</v>
      </c>
      <c r="P272" s="640">
        <v>1.2907821359951264</v>
      </c>
      <c r="Q272" s="620">
        <v>313</v>
      </c>
    </row>
    <row r="273" spans="1:17" ht="14.4" customHeight="1" x14ac:dyDescent="0.3">
      <c r="A273" s="615" t="s">
        <v>4549</v>
      </c>
      <c r="B273" s="616" t="s">
        <v>4550</v>
      </c>
      <c r="C273" s="616" t="s">
        <v>3011</v>
      </c>
      <c r="D273" s="616" t="s">
        <v>4576</v>
      </c>
      <c r="E273" s="616" t="s">
        <v>4577</v>
      </c>
      <c r="F273" s="619"/>
      <c r="G273" s="619"/>
      <c r="H273" s="619"/>
      <c r="I273" s="619"/>
      <c r="J273" s="619">
        <v>1</v>
      </c>
      <c r="K273" s="619">
        <v>487</v>
      </c>
      <c r="L273" s="619"/>
      <c r="M273" s="619">
        <v>487</v>
      </c>
      <c r="N273" s="619"/>
      <c r="O273" s="619"/>
      <c r="P273" s="640"/>
      <c r="Q273" s="620"/>
    </row>
    <row r="274" spans="1:17" ht="14.4" customHeight="1" x14ac:dyDescent="0.3">
      <c r="A274" s="615" t="s">
        <v>4549</v>
      </c>
      <c r="B274" s="616" t="s">
        <v>4550</v>
      </c>
      <c r="C274" s="616" t="s">
        <v>3011</v>
      </c>
      <c r="D274" s="616" t="s">
        <v>4578</v>
      </c>
      <c r="E274" s="616" t="s">
        <v>4579</v>
      </c>
      <c r="F274" s="619">
        <v>23</v>
      </c>
      <c r="G274" s="619">
        <v>3689</v>
      </c>
      <c r="H274" s="619">
        <v>1</v>
      </c>
      <c r="I274" s="619">
        <v>160.39130434782609</v>
      </c>
      <c r="J274" s="619">
        <v>30</v>
      </c>
      <c r="K274" s="619">
        <v>4830</v>
      </c>
      <c r="L274" s="619">
        <v>1.3092979127134725</v>
      </c>
      <c r="M274" s="619">
        <v>161</v>
      </c>
      <c r="N274" s="619">
        <v>22</v>
      </c>
      <c r="O274" s="619">
        <v>3586</v>
      </c>
      <c r="P274" s="640">
        <v>0.97207915424234215</v>
      </c>
      <c r="Q274" s="620">
        <v>163</v>
      </c>
    </row>
    <row r="275" spans="1:17" ht="14.4" customHeight="1" x14ac:dyDescent="0.3">
      <c r="A275" s="615" t="s">
        <v>4549</v>
      </c>
      <c r="B275" s="616" t="s">
        <v>4550</v>
      </c>
      <c r="C275" s="616" t="s">
        <v>3011</v>
      </c>
      <c r="D275" s="616" t="s">
        <v>4580</v>
      </c>
      <c r="E275" s="616" t="s">
        <v>4552</v>
      </c>
      <c r="F275" s="619">
        <v>300</v>
      </c>
      <c r="G275" s="619">
        <v>21160</v>
      </c>
      <c r="H275" s="619">
        <v>1</v>
      </c>
      <c r="I275" s="619">
        <v>70.533333333333331</v>
      </c>
      <c r="J275" s="619">
        <v>334</v>
      </c>
      <c r="K275" s="619">
        <v>23714</v>
      </c>
      <c r="L275" s="619">
        <v>1.1206994328922495</v>
      </c>
      <c r="M275" s="619">
        <v>71</v>
      </c>
      <c r="N275" s="619">
        <v>279</v>
      </c>
      <c r="O275" s="619">
        <v>20088</v>
      </c>
      <c r="P275" s="640">
        <v>0.94933837429111534</v>
      </c>
      <c r="Q275" s="620">
        <v>72</v>
      </c>
    </row>
    <row r="276" spans="1:17" ht="14.4" customHeight="1" x14ac:dyDescent="0.3">
      <c r="A276" s="615" t="s">
        <v>4549</v>
      </c>
      <c r="B276" s="616" t="s">
        <v>4550</v>
      </c>
      <c r="C276" s="616" t="s">
        <v>3011</v>
      </c>
      <c r="D276" s="616" t="s">
        <v>4581</v>
      </c>
      <c r="E276" s="616" t="s">
        <v>4582</v>
      </c>
      <c r="F276" s="619">
        <v>1</v>
      </c>
      <c r="G276" s="619">
        <v>216</v>
      </c>
      <c r="H276" s="619">
        <v>1</v>
      </c>
      <c r="I276" s="619">
        <v>216</v>
      </c>
      <c r="J276" s="619">
        <v>3</v>
      </c>
      <c r="K276" s="619">
        <v>660</v>
      </c>
      <c r="L276" s="619">
        <v>3.0555555555555554</v>
      </c>
      <c r="M276" s="619">
        <v>220</v>
      </c>
      <c r="N276" s="619">
        <v>4</v>
      </c>
      <c r="O276" s="619">
        <v>916</v>
      </c>
      <c r="P276" s="640">
        <v>4.2407407407407405</v>
      </c>
      <c r="Q276" s="620">
        <v>229</v>
      </c>
    </row>
    <row r="277" spans="1:17" ht="14.4" customHeight="1" x14ac:dyDescent="0.3">
      <c r="A277" s="615" t="s">
        <v>4549</v>
      </c>
      <c r="B277" s="616" t="s">
        <v>4550</v>
      </c>
      <c r="C277" s="616" t="s">
        <v>3011</v>
      </c>
      <c r="D277" s="616" t="s">
        <v>4583</v>
      </c>
      <c r="E277" s="616" t="s">
        <v>4584</v>
      </c>
      <c r="F277" s="619">
        <v>7</v>
      </c>
      <c r="G277" s="619">
        <v>8331</v>
      </c>
      <c r="H277" s="619">
        <v>1</v>
      </c>
      <c r="I277" s="619">
        <v>1190.1428571428571</v>
      </c>
      <c r="J277" s="619">
        <v>10</v>
      </c>
      <c r="K277" s="619">
        <v>11950</v>
      </c>
      <c r="L277" s="619">
        <v>1.4344016324570881</v>
      </c>
      <c r="M277" s="619">
        <v>1195</v>
      </c>
      <c r="N277" s="619">
        <v>17</v>
      </c>
      <c r="O277" s="619">
        <v>20587</v>
      </c>
      <c r="P277" s="640">
        <v>2.4711319169367423</v>
      </c>
      <c r="Q277" s="620">
        <v>1211</v>
      </c>
    </row>
    <row r="278" spans="1:17" ht="14.4" customHeight="1" x14ac:dyDescent="0.3">
      <c r="A278" s="615" t="s">
        <v>4549</v>
      </c>
      <c r="B278" s="616" t="s">
        <v>4550</v>
      </c>
      <c r="C278" s="616" t="s">
        <v>3011</v>
      </c>
      <c r="D278" s="616" t="s">
        <v>4585</v>
      </c>
      <c r="E278" s="616" t="s">
        <v>4586</v>
      </c>
      <c r="F278" s="619">
        <v>6</v>
      </c>
      <c r="G278" s="619">
        <v>650</v>
      </c>
      <c r="H278" s="619">
        <v>1</v>
      </c>
      <c r="I278" s="619">
        <v>108.33333333333333</v>
      </c>
      <c r="J278" s="619">
        <v>10</v>
      </c>
      <c r="K278" s="619">
        <v>1100</v>
      </c>
      <c r="L278" s="619">
        <v>1.6923076923076923</v>
      </c>
      <c r="M278" s="619">
        <v>110</v>
      </c>
      <c r="N278" s="619">
        <v>9</v>
      </c>
      <c r="O278" s="619">
        <v>1026</v>
      </c>
      <c r="P278" s="640">
        <v>1.5784615384615384</v>
      </c>
      <c r="Q278" s="620">
        <v>114</v>
      </c>
    </row>
    <row r="279" spans="1:17" ht="14.4" customHeight="1" x14ac:dyDescent="0.3">
      <c r="A279" s="615" t="s">
        <v>4549</v>
      </c>
      <c r="B279" s="616" t="s">
        <v>4550</v>
      </c>
      <c r="C279" s="616" t="s">
        <v>3011</v>
      </c>
      <c r="D279" s="616" t="s">
        <v>4587</v>
      </c>
      <c r="E279" s="616" t="s">
        <v>4588</v>
      </c>
      <c r="F279" s="619"/>
      <c r="G279" s="619"/>
      <c r="H279" s="619"/>
      <c r="I279" s="619"/>
      <c r="J279" s="619">
        <v>1</v>
      </c>
      <c r="K279" s="619">
        <v>323</v>
      </c>
      <c r="L279" s="619"/>
      <c r="M279" s="619">
        <v>323</v>
      </c>
      <c r="N279" s="619"/>
      <c r="O279" s="619"/>
      <c r="P279" s="640"/>
      <c r="Q279" s="620"/>
    </row>
    <row r="280" spans="1:17" ht="14.4" customHeight="1" x14ac:dyDescent="0.3">
      <c r="A280" s="615" t="s">
        <v>4549</v>
      </c>
      <c r="B280" s="616" t="s">
        <v>4550</v>
      </c>
      <c r="C280" s="616" t="s">
        <v>3011</v>
      </c>
      <c r="D280" s="616" t="s">
        <v>4589</v>
      </c>
      <c r="E280" s="616" t="s">
        <v>4590</v>
      </c>
      <c r="F280" s="619">
        <v>1</v>
      </c>
      <c r="G280" s="619">
        <v>144</v>
      </c>
      <c r="H280" s="619">
        <v>1</v>
      </c>
      <c r="I280" s="619">
        <v>144</v>
      </c>
      <c r="J280" s="619"/>
      <c r="K280" s="619"/>
      <c r="L280" s="619"/>
      <c r="M280" s="619"/>
      <c r="N280" s="619"/>
      <c r="O280" s="619"/>
      <c r="P280" s="640"/>
      <c r="Q280" s="620"/>
    </row>
    <row r="281" spans="1:17" ht="14.4" customHeight="1" x14ac:dyDescent="0.3">
      <c r="A281" s="615" t="s">
        <v>4549</v>
      </c>
      <c r="B281" s="616" t="s">
        <v>4550</v>
      </c>
      <c r="C281" s="616" t="s">
        <v>3011</v>
      </c>
      <c r="D281" s="616" t="s">
        <v>4591</v>
      </c>
      <c r="E281" s="616" t="s">
        <v>4592</v>
      </c>
      <c r="F281" s="619">
        <v>1</v>
      </c>
      <c r="G281" s="619">
        <v>1020</v>
      </c>
      <c r="H281" s="619">
        <v>1</v>
      </c>
      <c r="I281" s="619">
        <v>1020</v>
      </c>
      <c r="J281" s="619"/>
      <c r="K281" s="619"/>
      <c r="L281" s="619"/>
      <c r="M281" s="619"/>
      <c r="N281" s="619">
        <v>1</v>
      </c>
      <c r="O281" s="619">
        <v>1064</v>
      </c>
      <c r="P281" s="640">
        <v>1.0431372549019609</v>
      </c>
      <c r="Q281" s="620">
        <v>1064</v>
      </c>
    </row>
    <row r="282" spans="1:17" ht="14.4" customHeight="1" x14ac:dyDescent="0.3">
      <c r="A282" s="615" t="s">
        <v>4549</v>
      </c>
      <c r="B282" s="616" t="s">
        <v>4550</v>
      </c>
      <c r="C282" s="616" t="s">
        <v>3011</v>
      </c>
      <c r="D282" s="616" t="s">
        <v>4593</v>
      </c>
      <c r="E282" s="616" t="s">
        <v>4594</v>
      </c>
      <c r="F282" s="619">
        <v>1</v>
      </c>
      <c r="G282" s="619">
        <v>291</v>
      </c>
      <c r="H282" s="619">
        <v>1</v>
      </c>
      <c r="I282" s="619">
        <v>291</v>
      </c>
      <c r="J282" s="619"/>
      <c r="K282" s="619"/>
      <c r="L282" s="619"/>
      <c r="M282" s="619"/>
      <c r="N282" s="619">
        <v>2</v>
      </c>
      <c r="O282" s="619">
        <v>602</v>
      </c>
      <c r="P282" s="640">
        <v>2.06872852233677</v>
      </c>
      <c r="Q282" s="620">
        <v>301</v>
      </c>
    </row>
    <row r="283" spans="1:17" ht="14.4" customHeight="1" x14ac:dyDescent="0.3">
      <c r="A283" s="615" t="s">
        <v>4595</v>
      </c>
      <c r="B283" s="616" t="s">
        <v>4596</v>
      </c>
      <c r="C283" s="616" t="s">
        <v>3011</v>
      </c>
      <c r="D283" s="616" t="s">
        <v>4597</v>
      </c>
      <c r="E283" s="616" t="s">
        <v>4598</v>
      </c>
      <c r="F283" s="619">
        <v>564</v>
      </c>
      <c r="G283" s="619">
        <v>30226</v>
      </c>
      <c r="H283" s="619">
        <v>1</v>
      </c>
      <c r="I283" s="619">
        <v>53.592198581560282</v>
      </c>
      <c r="J283" s="619">
        <v>448</v>
      </c>
      <c r="K283" s="619">
        <v>24192</v>
      </c>
      <c r="L283" s="619">
        <v>0.80037054191755441</v>
      </c>
      <c r="M283" s="619">
        <v>54</v>
      </c>
      <c r="N283" s="619">
        <v>476</v>
      </c>
      <c r="O283" s="619">
        <v>27608</v>
      </c>
      <c r="P283" s="640">
        <v>0.91338582677165359</v>
      </c>
      <c r="Q283" s="620">
        <v>58</v>
      </c>
    </row>
    <row r="284" spans="1:17" ht="14.4" customHeight="1" x14ac:dyDescent="0.3">
      <c r="A284" s="615" t="s">
        <v>4595</v>
      </c>
      <c r="B284" s="616" t="s">
        <v>4596</v>
      </c>
      <c r="C284" s="616" t="s">
        <v>3011</v>
      </c>
      <c r="D284" s="616" t="s">
        <v>4599</v>
      </c>
      <c r="E284" s="616" t="s">
        <v>4600</v>
      </c>
      <c r="F284" s="619">
        <v>874</v>
      </c>
      <c r="G284" s="619">
        <v>106297</v>
      </c>
      <c r="H284" s="619">
        <v>1</v>
      </c>
      <c r="I284" s="619">
        <v>121.6212814645309</v>
      </c>
      <c r="J284" s="619">
        <v>716</v>
      </c>
      <c r="K284" s="619">
        <v>88068</v>
      </c>
      <c r="L284" s="619">
        <v>0.82850880081281697</v>
      </c>
      <c r="M284" s="619">
        <v>123</v>
      </c>
      <c r="N284" s="619">
        <v>761</v>
      </c>
      <c r="O284" s="619">
        <v>99691</v>
      </c>
      <c r="P284" s="640">
        <v>0.93785337309613626</v>
      </c>
      <c r="Q284" s="620">
        <v>131</v>
      </c>
    </row>
    <row r="285" spans="1:17" ht="14.4" customHeight="1" x14ac:dyDescent="0.3">
      <c r="A285" s="615" t="s">
        <v>4595</v>
      </c>
      <c r="B285" s="616" t="s">
        <v>4596</v>
      </c>
      <c r="C285" s="616" t="s">
        <v>3011</v>
      </c>
      <c r="D285" s="616" t="s">
        <v>4601</v>
      </c>
      <c r="E285" s="616" t="s">
        <v>4602</v>
      </c>
      <c r="F285" s="619">
        <v>64</v>
      </c>
      <c r="G285" s="619">
        <v>11216</v>
      </c>
      <c r="H285" s="619">
        <v>1</v>
      </c>
      <c r="I285" s="619">
        <v>175.25</v>
      </c>
      <c r="J285" s="619">
        <v>30</v>
      </c>
      <c r="K285" s="619">
        <v>5310</v>
      </c>
      <c r="L285" s="619">
        <v>0.4734308131241084</v>
      </c>
      <c r="M285" s="619">
        <v>177</v>
      </c>
      <c r="N285" s="619">
        <v>47</v>
      </c>
      <c r="O285" s="619">
        <v>8883</v>
      </c>
      <c r="P285" s="640">
        <v>0.79199358059914404</v>
      </c>
      <c r="Q285" s="620">
        <v>189</v>
      </c>
    </row>
    <row r="286" spans="1:17" ht="14.4" customHeight="1" x14ac:dyDescent="0.3">
      <c r="A286" s="615" t="s">
        <v>4595</v>
      </c>
      <c r="B286" s="616" t="s">
        <v>4596</v>
      </c>
      <c r="C286" s="616" t="s">
        <v>3011</v>
      </c>
      <c r="D286" s="616" t="s">
        <v>4603</v>
      </c>
      <c r="E286" s="616" t="s">
        <v>4604</v>
      </c>
      <c r="F286" s="619">
        <v>123</v>
      </c>
      <c r="G286" s="619">
        <v>46950</v>
      </c>
      <c r="H286" s="619">
        <v>1</v>
      </c>
      <c r="I286" s="619">
        <v>381.70731707317071</v>
      </c>
      <c r="J286" s="619">
        <v>90</v>
      </c>
      <c r="K286" s="619">
        <v>34560</v>
      </c>
      <c r="L286" s="619">
        <v>0.73610223642172523</v>
      </c>
      <c r="M286" s="619">
        <v>384</v>
      </c>
      <c r="N286" s="619">
        <v>100</v>
      </c>
      <c r="O286" s="619">
        <v>40700</v>
      </c>
      <c r="P286" s="640">
        <v>0.86687965921192756</v>
      </c>
      <c r="Q286" s="620">
        <v>407</v>
      </c>
    </row>
    <row r="287" spans="1:17" ht="14.4" customHeight="1" x14ac:dyDescent="0.3">
      <c r="A287" s="615" t="s">
        <v>4595</v>
      </c>
      <c r="B287" s="616" t="s">
        <v>4596</v>
      </c>
      <c r="C287" s="616" t="s">
        <v>3011</v>
      </c>
      <c r="D287" s="616" t="s">
        <v>4605</v>
      </c>
      <c r="E287" s="616" t="s">
        <v>4606</v>
      </c>
      <c r="F287" s="619">
        <v>40</v>
      </c>
      <c r="G287" s="619">
        <v>6801</v>
      </c>
      <c r="H287" s="619">
        <v>1</v>
      </c>
      <c r="I287" s="619">
        <v>170.02500000000001</v>
      </c>
      <c r="J287" s="619">
        <v>49</v>
      </c>
      <c r="K287" s="619">
        <v>8428</v>
      </c>
      <c r="L287" s="619">
        <v>1.2392295250698426</v>
      </c>
      <c r="M287" s="619">
        <v>172</v>
      </c>
      <c r="N287" s="619">
        <v>37</v>
      </c>
      <c r="O287" s="619">
        <v>6623</v>
      </c>
      <c r="P287" s="640">
        <v>0.97382737832671662</v>
      </c>
      <c r="Q287" s="620">
        <v>179</v>
      </c>
    </row>
    <row r="288" spans="1:17" ht="14.4" customHeight="1" x14ac:dyDescent="0.3">
      <c r="A288" s="615" t="s">
        <v>4595</v>
      </c>
      <c r="B288" s="616" t="s">
        <v>4596</v>
      </c>
      <c r="C288" s="616" t="s">
        <v>3011</v>
      </c>
      <c r="D288" s="616" t="s">
        <v>4607</v>
      </c>
      <c r="E288" s="616" t="s">
        <v>4608</v>
      </c>
      <c r="F288" s="619">
        <v>47</v>
      </c>
      <c r="G288" s="619">
        <v>15004</v>
      </c>
      <c r="H288" s="619">
        <v>1</v>
      </c>
      <c r="I288" s="619">
        <v>319.2340425531915</v>
      </c>
      <c r="J288" s="619">
        <v>56</v>
      </c>
      <c r="K288" s="619">
        <v>18032</v>
      </c>
      <c r="L288" s="619">
        <v>1.2018128499066916</v>
      </c>
      <c r="M288" s="619">
        <v>322</v>
      </c>
      <c r="N288" s="619">
        <v>21</v>
      </c>
      <c r="O288" s="619">
        <v>7035</v>
      </c>
      <c r="P288" s="640">
        <v>0.46887496667555317</v>
      </c>
      <c r="Q288" s="620">
        <v>335</v>
      </c>
    </row>
    <row r="289" spans="1:17" ht="14.4" customHeight="1" x14ac:dyDescent="0.3">
      <c r="A289" s="615" t="s">
        <v>4595</v>
      </c>
      <c r="B289" s="616" t="s">
        <v>4596</v>
      </c>
      <c r="C289" s="616" t="s">
        <v>3011</v>
      </c>
      <c r="D289" s="616" t="s">
        <v>4609</v>
      </c>
      <c r="E289" s="616" t="s">
        <v>4610</v>
      </c>
      <c r="F289" s="619"/>
      <c r="G289" s="619"/>
      <c r="H289" s="619"/>
      <c r="I289" s="619"/>
      <c r="J289" s="619">
        <v>1</v>
      </c>
      <c r="K289" s="619">
        <v>439</v>
      </c>
      <c r="L289" s="619"/>
      <c r="M289" s="619">
        <v>439</v>
      </c>
      <c r="N289" s="619"/>
      <c r="O289" s="619"/>
      <c r="P289" s="640"/>
      <c r="Q289" s="620"/>
    </row>
    <row r="290" spans="1:17" ht="14.4" customHeight="1" x14ac:dyDescent="0.3">
      <c r="A290" s="615" t="s">
        <v>4595</v>
      </c>
      <c r="B290" s="616" t="s">
        <v>4596</v>
      </c>
      <c r="C290" s="616" t="s">
        <v>3011</v>
      </c>
      <c r="D290" s="616" t="s">
        <v>4611</v>
      </c>
      <c r="E290" s="616" t="s">
        <v>4612</v>
      </c>
      <c r="F290" s="619">
        <v>396</v>
      </c>
      <c r="G290" s="619">
        <v>134342</v>
      </c>
      <c r="H290" s="619">
        <v>1</v>
      </c>
      <c r="I290" s="619">
        <v>339.24747474747477</v>
      </c>
      <c r="J290" s="619">
        <v>294</v>
      </c>
      <c r="K290" s="619">
        <v>100254</v>
      </c>
      <c r="L290" s="619">
        <v>0.74625954653049675</v>
      </c>
      <c r="M290" s="619">
        <v>341</v>
      </c>
      <c r="N290" s="619">
        <v>304</v>
      </c>
      <c r="O290" s="619">
        <v>106096</v>
      </c>
      <c r="P290" s="640">
        <v>0.78974557472718887</v>
      </c>
      <c r="Q290" s="620">
        <v>349</v>
      </c>
    </row>
    <row r="291" spans="1:17" ht="14.4" customHeight="1" x14ac:dyDescent="0.3">
      <c r="A291" s="615" t="s">
        <v>4595</v>
      </c>
      <c r="B291" s="616" t="s">
        <v>4596</v>
      </c>
      <c r="C291" s="616" t="s">
        <v>3011</v>
      </c>
      <c r="D291" s="616" t="s">
        <v>4613</v>
      </c>
      <c r="E291" s="616" t="s">
        <v>4614</v>
      </c>
      <c r="F291" s="619"/>
      <c r="G291" s="619"/>
      <c r="H291" s="619"/>
      <c r="I291" s="619"/>
      <c r="J291" s="619">
        <v>1</v>
      </c>
      <c r="K291" s="619">
        <v>1598</v>
      </c>
      <c r="L291" s="619"/>
      <c r="M291" s="619">
        <v>1598</v>
      </c>
      <c r="N291" s="619"/>
      <c r="O291" s="619"/>
      <c r="P291" s="640"/>
      <c r="Q291" s="620"/>
    </row>
    <row r="292" spans="1:17" ht="14.4" customHeight="1" x14ac:dyDescent="0.3">
      <c r="A292" s="615" t="s">
        <v>4595</v>
      </c>
      <c r="B292" s="616" t="s">
        <v>4596</v>
      </c>
      <c r="C292" s="616" t="s">
        <v>3011</v>
      </c>
      <c r="D292" s="616" t="s">
        <v>4615</v>
      </c>
      <c r="E292" s="616" t="s">
        <v>4616</v>
      </c>
      <c r="F292" s="619">
        <v>55</v>
      </c>
      <c r="G292" s="619">
        <v>5973</v>
      </c>
      <c r="H292" s="619">
        <v>1</v>
      </c>
      <c r="I292" s="619">
        <v>108.6</v>
      </c>
      <c r="J292" s="619">
        <v>37</v>
      </c>
      <c r="K292" s="619">
        <v>4033</v>
      </c>
      <c r="L292" s="619">
        <v>0.67520508956973047</v>
      </c>
      <c r="M292" s="619">
        <v>109</v>
      </c>
      <c r="N292" s="619">
        <v>33</v>
      </c>
      <c r="O292" s="619">
        <v>3861</v>
      </c>
      <c r="P292" s="640">
        <v>0.64640883977900554</v>
      </c>
      <c r="Q292" s="620">
        <v>117</v>
      </c>
    </row>
    <row r="293" spans="1:17" ht="14.4" customHeight="1" x14ac:dyDescent="0.3">
      <c r="A293" s="615" t="s">
        <v>4595</v>
      </c>
      <c r="B293" s="616" t="s">
        <v>4596</v>
      </c>
      <c r="C293" s="616" t="s">
        <v>3011</v>
      </c>
      <c r="D293" s="616" t="s">
        <v>4617</v>
      </c>
      <c r="E293" s="616" t="s">
        <v>4618</v>
      </c>
      <c r="F293" s="619">
        <v>3</v>
      </c>
      <c r="G293" s="619">
        <v>1119</v>
      </c>
      <c r="H293" s="619">
        <v>1</v>
      </c>
      <c r="I293" s="619">
        <v>373</v>
      </c>
      <c r="J293" s="619">
        <v>3</v>
      </c>
      <c r="K293" s="619">
        <v>1128</v>
      </c>
      <c r="L293" s="619">
        <v>1.0080428954423593</v>
      </c>
      <c r="M293" s="619">
        <v>376</v>
      </c>
      <c r="N293" s="619">
        <v>5</v>
      </c>
      <c r="O293" s="619">
        <v>1935</v>
      </c>
      <c r="P293" s="640">
        <v>1.7292225201072386</v>
      </c>
      <c r="Q293" s="620">
        <v>387</v>
      </c>
    </row>
    <row r="294" spans="1:17" ht="14.4" customHeight="1" x14ac:dyDescent="0.3">
      <c r="A294" s="615" t="s">
        <v>4595</v>
      </c>
      <c r="B294" s="616" t="s">
        <v>4596</v>
      </c>
      <c r="C294" s="616" t="s">
        <v>3011</v>
      </c>
      <c r="D294" s="616" t="s">
        <v>4619</v>
      </c>
      <c r="E294" s="616" t="s">
        <v>4620</v>
      </c>
      <c r="F294" s="619">
        <v>39</v>
      </c>
      <c r="G294" s="619">
        <v>1443</v>
      </c>
      <c r="H294" s="619">
        <v>1</v>
      </c>
      <c r="I294" s="619">
        <v>37</v>
      </c>
      <c r="J294" s="619">
        <v>27</v>
      </c>
      <c r="K294" s="619">
        <v>999</v>
      </c>
      <c r="L294" s="619">
        <v>0.69230769230769229</v>
      </c>
      <c r="M294" s="619">
        <v>37</v>
      </c>
      <c r="N294" s="619">
        <v>26</v>
      </c>
      <c r="O294" s="619">
        <v>988</v>
      </c>
      <c r="P294" s="640">
        <v>0.68468468468468469</v>
      </c>
      <c r="Q294" s="620">
        <v>38</v>
      </c>
    </row>
    <row r="295" spans="1:17" ht="14.4" customHeight="1" x14ac:dyDescent="0.3">
      <c r="A295" s="615" t="s">
        <v>4595</v>
      </c>
      <c r="B295" s="616" t="s">
        <v>4596</v>
      </c>
      <c r="C295" s="616" t="s">
        <v>3011</v>
      </c>
      <c r="D295" s="616" t="s">
        <v>4621</v>
      </c>
      <c r="E295" s="616" t="s">
        <v>4622</v>
      </c>
      <c r="F295" s="619">
        <v>1</v>
      </c>
      <c r="G295" s="619">
        <v>672</v>
      </c>
      <c r="H295" s="619">
        <v>1</v>
      </c>
      <c r="I295" s="619">
        <v>672</v>
      </c>
      <c r="J295" s="619">
        <v>4</v>
      </c>
      <c r="K295" s="619">
        <v>2704</v>
      </c>
      <c r="L295" s="619">
        <v>4.0238095238095237</v>
      </c>
      <c r="M295" s="619">
        <v>676</v>
      </c>
      <c r="N295" s="619">
        <v>6</v>
      </c>
      <c r="O295" s="619">
        <v>4224</v>
      </c>
      <c r="P295" s="640">
        <v>6.2857142857142856</v>
      </c>
      <c r="Q295" s="620">
        <v>704</v>
      </c>
    </row>
    <row r="296" spans="1:17" ht="14.4" customHeight="1" x14ac:dyDescent="0.3">
      <c r="A296" s="615" t="s">
        <v>4595</v>
      </c>
      <c r="B296" s="616" t="s">
        <v>4596</v>
      </c>
      <c r="C296" s="616" t="s">
        <v>3011</v>
      </c>
      <c r="D296" s="616" t="s">
        <v>4623</v>
      </c>
      <c r="E296" s="616" t="s">
        <v>4624</v>
      </c>
      <c r="F296" s="619">
        <v>1</v>
      </c>
      <c r="G296" s="619">
        <v>136</v>
      </c>
      <c r="H296" s="619">
        <v>1</v>
      </c>
      <c r="I296" s="619">
        <v>136</v>
      </c>
      <c r="J296" s="619">
        <v>1</v>
      </c>
      <c r="K296" s="619">
        <v>138</v>
      </c>
      <c r="L296" s="619">
        <v>1.0147058823529411</v>
      </c>
      <c r="M296" s="619">
        <v>138</v>
      </c>
      <c r="N296" s="619"/>
      <c r="O296" s="619"/>
      <c r="P296" s="640"/>
      <c r="Q296" s="620"/>
    </row>
    <row r="297" spans="1:17" ht="14.4" customHeight="1" x14ac:dyDescent="0.3">
      <c r="A297" s="615" t="s">
        <v>4595</v>
      </c>
      <c r="B297" s="616" t="s">
        <v>4596</v>
      </c>
      <c r="C297" s="616" t="s">
        <v>3011</v>
      </c>
      <c r="D297" s="616" t="s">
        <v>4625</v>
      </c>
      <c r="E297" s="616" t="s">
        <v>4626</v>
      </c>
      <c r="F297" s="619">
        <v>432</v>
      </c>
      <c r="G297" s="619">
        <v>122178</v>
      </c>
      <c r="H297" s="619">
        <v>1</v>
      </c>
      <c r="I297" s="619">
        <v>282.81944444444446</v>
      </c>
      <c r="J297" s="619">
        <v>354</v>
      </c>
      <c r="K297" s="619">
        <v>100890</v>
      </c>
      <c r="L297" s="619">
        <v>0.82576241221823898</v>
      </c>
      <c r="M297" s="619">
        <v>285</v>
      </c>
      <c r="N297" s="619">
        <v>400</v>
      </c>
      <c r="O297" s="619">
        <v>121600</v>
      </c>
      <c r="P297" s="640">
        <v>0.99526919740051401</v>
      </c>
      <c r="Q297" s="620">
        <v>304</v>
      </c>
    </row>
    <row r="298" spans="1:17" ht="14.4" customHeight="1" x14ac:dyDescent="0.3">
      <c r="A298" s="615" t="s">
        <v>4595</v>
      </c>
      <c r="B298" s="616" t="s">
        <v>4596</v>
      </c>
      <c r="C298" s="616" t="s">
        <v>3011</v>
      </c>
      <c r="D298" s="616" t="s">
        <v>4627</v>
      </c>
      <c r="E298" s="616" t="s">
        <v>4628</v>
      </c>
      <c r="F298" s="619">
        <v>307</v>
      </c>
      <c r="G298" s="619">
        <v>140688</v>
      </c>
      <c r="H298" s="619">
        <v>1</v>
      </c>
      <c r="I298" s="619">
        <v>458.26710097719871</v>
      </c>
      <c r="J298" s="619">
        <v>221</v>
      </c>
      <c r="K298" s="619">
        <v>102102</v>
      </c>
      <c r="L298" s="619">
        <v>0.72573353804162399</v>
      </c>
      <c r="M298" s="619">
        <v>462</v>
      </c>
      <c r="N298" s="619">
        <v>234</v>
      </c>
      <c r="O298" s="619">
        <v>115596</v>
      </c>
      <c r="P298" s="640">
        <v>0.82164790174002045</v>
      </c>
      <c r="Q298" s="620">
        <v>494</v>
      </c>
    </row>
    <row r="299" spans="1:17" ht="14.4" customHeight="1" x14ac:dyDescent="0.3">
      <c r="A299" s="615" t="s">
        <v>4595</v>
      </c>
      <c r="B299" s="616" t="s">
        <v>4596</v>
      </c>
      <c r="C299" s="616" t="s">
        <v>3011</v>
      </c>
      <c r="D299" s="616" t="s">
        <v>4629</v>
      </c>
      <c r="E299" s="616" t="s">
        <v>4630</v>
      </c>
      <c r="F299" s="619">
        <v>659</v>
      </c>
      <c r="G299" s="619">
        <v>231792</v>
      </c>
      <c r="H299" s="619">
        <v>1</v>
      </c>
      <c r="I299" s="619">
        <v>351.73292867981792</v>
      </c>
      <c r="J299" s="619">
        <v>509</v>
      </c>
      <c r="K299" s="619">
        <v>181204</v>
      </c>
      <c r="L299" s="619">
        <v>0.78175260578449646</v>
      </c>
      <c r="M299" s="619">
        <v>356</v>
      </c>
      <c r="N299" s="619">
        <v>547</v>
      </c>
      <c r="O299" s="619">
        <v>202390</v>
      </c>
      <c r="P299" s="640">
        <v>0.87315351694622767</v>
      </c>
      <c r="Q299" s="620">
        <v>370</v>
      </c>
    </row>
    <row r="300" spans="1:17" ht="14.4" customHeight="1" x14ac:dyDescent="0.3">
      <c r="A300" s="615" t="s">
        <v>4595</v>
      </c>
      <c r="B300" s="616" t="s">
        <v>4596</v>
      </c>
      <c r="C300" s="616" t="s">
        <v>3011</v>
      </c>
      <c r="D300" s="616" t="s">
        <v>4631</v>
      </c>
      <c r="E300" s="616" t="s">
        <v>4632</v>
      </c>
      <c r="F300" s="619">
        <v>1</v>
      </c>
      <c r="G300" s="619">
        <v>2907</v>
      </c>
      <c r="H300" s="619">
        <v>1</v>
      </c>
      <c r="I300" s="619">
        <v>2907</v>
      </c>
      <c r="J300" s="619"/>
      <c r="K300" s="619"/>
      <c r="L300" s="619"/>
      <c r="M300" s="619"/>
      <c r="N300" s="619"/>
      <c r="O300" s="619"/>
      <c r="P300" s="640"/>
      <c r="Q300" s="620"/>
    </row>
    <row r="301" spans="1:17" ht="14.4" customHeight="1" x14ac:dyDescent="0.3">
      <c r="A301" s="615" t="s">
        <v>4595</v>
      </c>
      <c r="B301" s="616" t="s">
        <v>4596</v>
      </c>
      <c r="C301" s="616" t="s">
        <v>3011</v>
      </c>
      <c r="D301" s="616" t="s">
        <v>4633</v>
      </c>
      <c r="E301" s="616" t="s">
        <v>4634</v>
      </c>
      <c r="F301" s="619"/>
      <c r="G301" s="619"/>
      <c r="H301" s="619"/>
      <c r="I301" s="619"/>
      <c r="J301" s="619"/>
      <c r="K301" s="619"/>
      <c r="L301" s="619"/>
      <c r="M301" s="619"/>
      <c r="N301" s="619">
        <v>1</v>
      </c>
      <c r="O301" s="619">
        <v>12793</v>
      </c>
      <c r="P301" s="640"/>
      <c r="Q301" s="620">
        <v>12793</v>
      </c>
    </row>
    <row r="302" spans="1:17" ht="14.4" customHeight="1" x14ac:dyDescent="0.3">
      <c r="A302" s="615" t="s">
        <v>4595</v>
      </c>
      <c r="B302" s="616" t="s">
        <v>4596</v>
      </c>
      <c r="C302" s="616" t="s">
        <v>3011</v>
      </c>
      <c r="D302" s="616" t="s">
        <v>4635</v>
      </c>
      <c r="E302" s="616" t="s">
        <v>4636</v>
      </c>
      <c r="F302" s="619">
        <v>4</v>
      </c>
      <c r="G302" s="619">
        <v>416</v>
      </c>
      <c r="H302" s="619">
        <v>1</v>
      </c>
      <c r="I302" s="619">
        <v>104</v>
      </c>
      <c r="J302" s="619">
        <v>9</v>
      </c>
      <c r="K302" s="619">
        <v>945</v>
      </c>
      <c r="L302" s="619">
        <v>2.2716346153846154</v>
      </c>
      <c r="M302" s="619">
        <v>105</v>
      </c>
      <c r="N302" s="619"/>
      <c r="O302" s="619"/>
      <c r="P302" s="640"/>
      <c r="Q302" s="620"/>
    </row>
    <row r="303" spans="1:17" ht="14.4" customHeight="1" x14ac:dyDescent="0.3">
      <c r="A303" s="615" t="s">
        <v>4595</v>
      </c>
      <c r="B303" s="616" t="s">
        <v>4596</v>
      </c>
      <c r="C303" s="616" t="s">
        <v>3011</v>
      </c>
      <c r="D303" s="616" t="s">
        <v>4637</v>
      </c>
      <c r="E303" s="616" t="s">
        <v>4638</v>
      </c>
      <c r="F303" s="619">
        <v>29</v>
      </c>
      <c r="G303" s="619">
        <v>3358</v>
      </c>
      <c r="H303" s="619">
        <v>1</v>
      </c>
      <c r="I303" s="619">
        <v>115.79310344827586</v>
      </c>
      <c r="J303" s="619">
        <v>14</v>
      </c>
      <c r="K303" s="619">
        <v>1638</v>
      </c>
      <c r="L303" s="619">
        <v>0.48779035139964266</v>
      </c>
      <c r="M303" s="619">
        <v>117</v>
      </c>
      <c r="N303" s="619">
        <v>42</v>
      </c>
      <c r="O303" s="619">
        <v>5250</v>
      </c>
      <c r="P303" s="640">
        <v>1.563430613460393</v>
      </c>
      <c r="Q303" s="620">
        <v>125</v>
      </c>
    </row>
    <row r="304" spans="1:17" ht="14.4" customHeight="1" x14ac:dyDescent="0.3">
      <c r="A304" s="615" t="s">
        <v>4595</v>
      </c>
      <c r="B304" s="616" t="s">
        <v>4596</v>
      </c>
      <c r="C304" s="616" t="s">
        <v>3011</v>
      </c>
      <c r="D304" s="616" t="s">
        <v>4639</v>
      </c>
      <c r="E304" s="616" t="s">
        <v>4640</v>
      </c>
      <c r="F304" s="619">
        <v>66</v>
      </c>
      <c r="G304" s="619">
        <v>30338</v>
      </c>
      <c r="H304" s="619">
        <v>1</v>
      </c>
      <c r="I304" s="619">
        <v>459.66666666666669</v>
      </c>
      <c r="J304" s="619">
        <v>43</v>
      </c>
      <c r="K304" s="619">
        <v>19909</v>
      </c>
      <c r="L304" s="619">
        <v>0.65623969938690752</v>
      </c>
      <c r="M304" s="619">
        <v>463</v>
      </c>
      <c r="N304" s="619">
        <v>38</v>
      </c>
      <c r="O304" s="619">
        <v>18810</v>
      </c>
      <c r="P304" s="640">
        <v>0.62001450326323426</v>
      </c>
      <c r="Q304" s="620">
        <v>495</v>
      </c>
    </row>
    <row r="305" spans="1:17" ht="14.4" customHeight="1" x14ac:dyDescent="0.3">
      <c r="A305" s="615" t="s">
        <v>4595</v>
      </c>
      <c r="B305" s="616" t="s">
        <v>4596</v>
      </c>
      <c r="C305" s="616" t="s">
        <v>3011</v>
      </c>
      <c r="D305" s="616" t="s">
        <v>4208</v>
      </c>
      <c r="E305" s="616" t="s">
        <v>4209</v>
      </c>
      <c r="F305" s="619">
        <v>2</v>
      </c>
      <c r="G305" s="619">
        <v>2522</v>
      </c>
      <c r="H305" s="619">
        <v>1</v>
      </c>
      <c r="I305" s="619">
        <v>1261</v>
      </c>
      <c r="J305" s="619">
        <v>3</v>
      </c>
      <c r="K305" s="619">
        <v>3804</v>
      </c>
      <c r="L305" s="619">
        <v>1.5083267248215702</v>
      </c>
      <c r="M305" s="619">
        <v>1268</v>
      </c>
      <c r="N305" s="619"/>
      <c r="O305" s="619"/>
      <c r="P305" s="640"/>
      <c r="Q305" s="620"/>
    </row>
    <row r="306" spans="1:17" ht="14.4" customHeight="1" x14ac:dyDescent="0.3">
      <c r="A306" s="615" t="s">
        <v>4595</v>
      </c>
      <c r="B306" s="616" t="s">
        <v>4596</v>
      </c>
      <c r="C306" s="616" t="s">
        <v>3011</v>
      </c>
      <c r="D306" s="616" t="s">
        <v>4641</v>
      </c>
      <c r="E306" s="616" t="s">
        <v>4642</v>
      </c>
      <c r="F306" s="619">
        <v>21</v>
      </c>
      <c r="G306" s="619">
        <v>9114</v>
      </c>
      <c r="H306" s="619">
        <v>1</v>
      </c>
      <c r="I306" s="619">
        <v>434</v>
      </c>
      <c r="J306" s="619">
        <v>13</v>
      </c>
      <c r="K306" s="619">
        <v>5681</v>
      </c>
      <c r="L306" s="619">
        <v>0.6233267500548606</v>
      </c>
      <c r="M306" s="619">
        <v>437</v>
      </c>
      <c r="N306" s="619">
        <v>2</v>
      </c>
      <c r="O306" s="619">
        <v>912</v>
      </c>
      <c r="P306" s="640">
        <v>0.10006583278472679</v>
      </c>
      <c r="Q306" s="620">
        <v>456</v>
      </c>
    </row>
    <row r="307" spans="1:17" ht="14.4" customHeight="1" x14ac:dyDescent="0.3">
      <c r="A307" s="615" t="s">
        <v>4595</v>
      </c>
      <c r="B307" s="616" t="s">
        <v>4596</v>
      </c>
      <c r="C307" s="616" t="s">
        <v>3011</v>
      </c>
      <c r="D307" s="616" t="s">
        <v>4643</v>
      </c>
      <c r="E307" s="616" t="s">
        <v>4644</v>
      </c>
      <c r="F307" s="619">
        <v>90</v>
      </c>
      <c r="G307" s="619">
        <v>4844</v>
      </c>
      <c r="H307" s="619">
        <v>1</v>
      </c>
      <c r="I307" s="619">
        <v>53.822222222222223</v>
      </c>
      <c r="J307" s="619">
        <v>14</v>
      </c>
      <c r="K307" s="619">
        <v>756</v>
      </c>
      <c r="L307" s="619">
        <v>0.15606936416184972</v>
      </c>
      <c r="M307" s="619">
        <v>54</v>
      </c>
      <c r="N307" s="619">
        <v>50</v>
      </c>
      <c r="O307" s="619">
        <v>2900</v>
      </c>
      <c r="P307" s="640">
        <v>0.59867877786952928</v>
      </c>
      <c r="Q307" s="620">
        <v>58</v>
      </c>
    </row>
    <row r="308" spans="1:17" ht="14.4" customHeight="1" x14ac:dyDescent="0.3">
      <c r="A308" s="615" t="s">
        <v>4595</v>
      </c>
      <c r="B308" s="616" t="s">
        <v>4596</v>
      </c>
      <c r="C308" s="616" t="s">
        <v>3011</v>
      </c>
      <c r="D308" s="616" t="s">
        <v>4645</v>
      </c>
      <c r="E308" s="616" t="s">
        <v>4646</v>
      </c>
      <c r="F308" s="619">
        <v>1</v>
      </c>
      <c r="G308" s="619">
        <v>2164</v>
      </c>
      <c r="H308" s="619">
        <v>1</v>
      </c>
      <c r="I308" s="619">
        <v>2164</v>
      </c>
      <c r="J308" s="619"/>
      <c r="K308" s="619"/>
      <c r="L308" s="619"/>
      <c r="M308" s="619"/>
      <c r="N308" s="619">
        <v>2</v>
      </c>
      <c r="O308" s="619">
        <v>4346</v>
      </c>
      <c r="P308" s="640">
        <v>2.0083179297597042</v>
      </c>
      <c r="Q308" s="620">
        <v>2173</v>
      </c>
    </row>
    <row r="309" spans="1:17" ht="14.4" customHeight="1" x14ac:dyDescent="0.3">
      <c r="A309" s="615" t="s">
        <v>4595</v>
      </c>
      <c r="B309" s="616" t="s">
        <v>4596</v>
      </c>
      <c r="C309" s="616" t="s">
        <v>3011</v>
      </c>
      <c r="D309" s="616" t="s">
        <v>4647</v>
      </c>
      <c r="E309" s="616" t="s">
        <v>4648</v>
      </c>
      <c r="F309" s="619">
        <v>3745</v>
      </c>
      <c r="G309" s="619">
        <v>624510</v>
      </c>
      <c r="H309" s="619">
        <v>1</v>
      </c>
      <c r="I309" s="619">
        <v>166.75834445927904</v>
      </c>
      <c r="J309" s="619">
        <v>2763</v>
      </c>
      <c r="K309" s="619">
        <v>466947</v>
      </c>
      <c r="L309" s="619">
        <v>0.74770139789595047</v>
      </c>
      <c r="M309" s="619">
        <v>169</v>
      </c>
      <c r="N309" s="619">
        <v>2836</v>
      </c>
      <c r="O309" s="619">
        <v>496300</v>
      </c>
      <c r="P309" s="640">
        <v>0.7947030471889962</v>
      </c>
      <c r="Q309" s="620">
        <v>175</v>
      </c>
    </row>
    <row r="310" spans="1:17" ht="14.4" customHeight="1" x14ac:dyDescent="0.3">
      <c r="A310" s="615" t="s">
        <v>4595</v>
      </c>
      <c r="B310" s="616" t="s">
        <v>4596</v>
      </c>
      <c r="C310" s="616" t="s">
        <v>3011</v>
      </c>
      <c r="D310" s="616" t="s">
        <v>4649</v>
      </c>
      <c r="E310" s="616" t="s">
        <v>4650</v>
      </c>
      <c r="F310" s="619">
        <v>6</v>
      </c>
      <c r="G310" s="619">
        <v>480</v>
      </c>
      <c r="H310" s="619">
        <v>1</v>
      </c>
      <c r="I310" s="619">
        <v>80</v>
      </c>
      <c r="J310" s="619">
        <v>17</v>
      </c>
      <c r="K310" s="619">
        <v>1377</v>
      </c>
      <c r="L310" s="619">
        <v>2.8687499999999999</v>
      </c>
      <c r="M310" s="619">
        <v>81</v>
      </c>
      <c r="N310" s="619">
        <v>12</v>
      </c>
      <c r="O310" s="619">
        <v>1020</v>
      </c>
      <c r="P310" s="640">
        <v>2.125</v>
      </c>
      <c r="Q310" s="620">
        <v>85</v>
      </c>
    </row>
    <row r="311" spans="1:17" ht="14.4" customHeight="1" x14ac:dyDescent="0.3">
      <c r="A311" s="615" t="s">
        <v>4595</v>
      </c>
      <c r="B311" s="616" t="s">
        <v>4596</v>
      </c>
      <c r="C311" s="616" t="s">
        <v>3011</v>
      </c>
      <c r="D311" s="616" t="s">
        <v>4651</v>
      </c>
      <c r="E311" s="616" t="s">
        <v>4652</v>
      </c>
      <c r="F311" s="619">
        <v>1</v>
      </c>
      <c r="G311" s="619">
        <v>165</v>
      </c>
      <c r="H311" s="619">
        <v>1</v>
      </c>
      <c r="I311" s="619">
        <v>165</v>
      </c>
      <c r="J311" s="619">
        <v>1</v>
      </c>
      <c r="K311" s="619">
        <v>166</v>
      </c>
      <c r="L311" s="619">
        <v>1.0060606060606061</v>
      </c>
      <c r="M311" s="619">
        <v>166</v>
      </c>
      <c r="N311" s="619"/>
      <c r="O311" s="619"/>
      <c r="P311" s="640"/>
      <c r="Q311" s="620"/>
    </row>
    <row r="312" spans="1:17" ht="14.4" customHeight="1" x14ac:dyDescent="0.3">
      <c r="A312" s="615" t="s">
        <v>4595</v>
      </c>
      <c r="B312" s="616" t="s">
        <v>4596</v>
      </c>
      <c r="C312" s="616" t="s">
        <v>3011</v>
      </c>
      <c r="D312" s="616" t="s">
        <v>4653</v>
      </c>
      <c r="E312" s="616" t="s">
        <v>4654</v>
      </c>
      <c r="F312" s="619">
        <v>27</v>
      </c>
      <c r="G312" s="619">
        <v>4354</v>
      </c>
      <c r="H312" s="619">
        <v>1</v>
      </c>
      <c r="I312" s="619">
        <v>161.25925925925927</v>
      </c>
      <c r="J312" s="619">
        <v>8</v>
      </c>
      <c r="K312" s="619">
        <v>1304</v>
      </c>
      <c r="L312" s="619">
        <v>0.29949471750114837</v>
      </c>
      <c r="M312" s="619">
        <v>163</v>
      </c>
      <c r="N312" s="619">
        <v>7</v>
      </c>
      <c r="O312" s="619">
        <v>1183</v>
      </c>
      <c r="P312" s="640">
        <v>0.27170418006430869</v>
      </c>
      <c r="Q312" s="620">
        <v>169</v>
      </c>
    </row>
    <row r="313" spans="1:17" ht="14.4" customHeight="1" x14ac:dyDescent="0.3">
      <c r="A313" s="615" t="s">
        <v>4595</v>
      </c>
      <c r="B313" s="616" t="s">
        <v>4596</v>
      </c>
      <c r="C313" s="616" t="s">
        <v>3011</v>
      </c>
      <c r="D313" s="616" t="s">
        <v>4110</v>
      </c>
      <c r="E313" s="616" t="s">
        <v>4111</v>
      </c>
      <c r="F313" s="619">
        <v>12</v>
      </c>
      <c r="G313" s="619">
        <v>12072</v>
      </c>
      <c r="H313" s="619">
        <v>1</v>
      </c>
      <c r="I313" s="619">
        <v>1006</v>
      </c>
      <c r="J313" s="619">
        <v>4</v>
      </c>
      <c r="K313" s="619">
        <v>4032</v>
      </c>
      <c r="L313" s="619">
        <v>0.33399602385685884</v>
      </c>
      <c r="M313" s="619">
        <v>1008</v>
      </c>
      <c r="N313" s="619">
        <v>4</v>
      </c>
      <c r="O313" s="619">
        <v>4044</v>
      </c>
      <c r="P313" s="640">
        <v>0.33499005964214712</v>
      </c>
      <c r="Q313" s="620">
        <v>1011</v>
      </c>
    </row>
    <row r="314" spans="1:17" ht="14.4" customHeight="1" x14ac:dyDescent="0.3">
      <c r="A314" s="615" t="s">
        <v>4595</v>
      </c>
      <c r="B314" s="616" t="s">
        <v>4596</v>
      </c>
      <c r="C314" s="616" t="s">
        <v>3011</v>
      </c>
      <c r="D314" s="616" t="s">
        <v>4655</v>
      </c>
      <c r="E314" s="616" t="s">
        <v>4656</v>
      </c>
      <c r="F314" s="619">
        <v>1</v>
      </c>
      <c r="G314" s="619">
        <v>169</v>
      </c>
      <c r="H314" s="619">
        <v>1</v>
      </c>
      <c r="I314" s="619">
        <v>169</v>
      </c>
      <c r="J314" s="619">
        <v>3</v>
      </c>
      <c r="K314" s="619">
        <v>510</v>
      </c>
      <c r="L314" s="619">
        <v>3.0177514792899407</v>
      </c>
      <c r="M314" s="619">
        <v>170</v>
      </c>
      <c r="N314" s="619"/>
      <c r="O314" s="619"/>
      <c r="P314" s="640"/>
      <c r="Q314" s="620"/>
    </row>
    <row r="315" spans="1:17" ht="14.4" customHeight="1" x14ac:dyDescent="0.3">
      <c r="A315" s="615" t="s">
        <v>4595</v>
      </c>
      <c r="B315" s="616" t="s">
        <v>4596</v>
      </c>
      <c r="C315" s="616" t="s">
        <v>3011</v>
      </c>
      <c r="D315" s="616" t="s">
        <v>4657</v>
      </c>
      <c r="E315" s="616" t="s">
        <v>4658</v>
      </c>
      <c r="F315" s="619">
        <v>22</v>
      </c>
      <c r="G315" s="619">
        <v>49588</v>
      </c>
      <c r="H315" s="619">
        <v>1</v>
      </c>
      <c r="I315" s="619">
        <v>2254</v>
      </c>
      <c r="J315" s="619">
        <v>10</v>
      </c>
      <c r="K315" s="619">
        <v>22640</v>
      </c>
      <c r="L315" s="619">
        <v>0.45656207146890376</v>
      </c>
      <c r="M315" s="619">
        <v>2264</v>
      </c>
      <c r="N315" s="619"/>
      <c r="O315" s="619"/>
      <c r="P315" s="640"/>
      <c r="Q315" s="620"/>
    </row>
    <row r="316" spans="1:17" ht="14.4" customHeight="1" x14ac:dyDescent="0.3">
      <c r="A316" s="615" t="s">
        <v>4595</v>
      </c>
      <c r="B316" s="616" t="s">
        <v>4596</v>
      </c>
      <c r="C316" s="616" t="s">
        <v>3011</v>
      </c>
      <c r="D316" s="616" t="s">
        <v>4659</v>
      </c>
      <c r="E316" s="616" t="s">
        <v>4660</v>
      </c>
      <c r="F316" s="619">
        <v>1</v>
      </c>
      <c r="G316" s="619">
        <v>246</v>
      </c>
      <c r="H316" s="619">
        <v>1</v>
      </c>
      <c r="I316" s="619">
        <v>246</v>
      </c>
      <c r="J316" s="619">
        <v>3</v>
      </c>
      <c r="K316" s="619">
        <v>741</v>
      </c>
      <c r="L316" s="619">
        <v>3.0121951219512195</v>
      </c>
      <c r="M316" s="619">
        <v>247</v>
      </c>
      <c r="N316" s="619">
        <v>5</v>
      </c>
      <c r="O316" s="619">
        <v>1315</v>
      </c>
      <c r="P316" s="640">
        <v>5.345528455284553</v>
      </c>
      <c r="Q316" s="620">
        <v>263</v>
      </c>
    </row>
    <row r="317" spans="1:17" ht="14.4" customHeight="1" x14ac:dyDescent="0.3">
      <c r="A317" s="615" t="s">
        <v>4595</v>
      </c>
      <c r="B317" s="616" t="s">
        <v>4596</v>
      </c>
      <c r="C317" s="616" t="s">
        <v>3011</v>
      </c>
      <c r="D317" s="616" t="s">
        <v>4661</v>
      </c>
      <c r="E317" s="616" t="s">
        <v>4662</v>
      </c>
      <c r="F317" s="619">
        <v>8</v>
      </c>
      <c r="G317" s="619">
        <v>15983</v>
      </c>
      <c r="H317" s="619">
        <v>1</v>
      </c>
      <c r="I317" s="619">
        <v>1997.875</v>
      </c>
      <c r="J317" s="619">
        <v>5</v>
      </c>
      <c r="K317" s="619">
        <v>10060</v>
      </c>
      <c r="L317" s="619">
        <v>0.62941875742976916</v>
      </c>
      <c r="M317" s="619">
        <v>2012</v>
      </c>
      <c r="N317" s="619">
        <v>9</v>
      </c>
      <c r="O317" s="619">
        <v>19170</v>
      </c>
      <c r="P317" s="640">
        <v>1.1993993618219358</v>
      </c>
      <c r="Q317" s="620">
        <v>2130</v>
      </c>
    </row>
    <row r="318" spans="1:17" ht="14.4" customHeight="1" x14ac:dyDescent="0.3">
      <c r="A318" s="615" t="s">
        <v>4595</v>
      </c>
      <c r="B318" s="616" t="s">
        <v>4596</v>
      </c>
      <c r="C318" s="616" t="s">
        <v>3011</v>
      </c>
      <c r="D318" s="616" t="s">
        <v>4663</v>
      </c>
      <c r="E318" s="616" t="s">
        <v>4664</v>
      </c>
      <c r="F318" s="619">
        <v>71</v>
      </c>
      <c r="G318" s="619">
        <v>15927</v>
      </c>
      <c r="H318" s="619">
        <v>1</v>
      </c>
      <c r="I318" s="619">
        <v>224.32394366197184</v>
      </c>
      <c r="J318" s="619">
        <v>52</v>
      </c>
      <c r="K318" s="619">
        <v>11752</v>
      </c>
      <c r="L318" s="619">
        <v>0.73786651597915487</v>
      </c>
      <c r="M318" s="619">
        <v>226</v>
      </c>
      <c r="N318" s="619">
        <v>44</v>
      </c>
      <c r="O318" s="619">
        <v>10648</v>
      </c>
      <c r="P318" s="640">
        <v>0.66855026056382238</v>
      </c>
      <c r="Q318" s="620">
        <v>242</v>
      </c>
    </row>
    <row r="319" spans="1:17" ht="14.4" customHeight="1" x14ac:dyDescent="0.3">
      <c r="A319" s="615" t="s">
        <v>4595</v>
      </c>
      <c r="B319" s="616" t="s">
        <v>4596</v>
      </c>
      <c r="C319" s="616" t="s">
        <v>3011</v>
      </c>
      <c r="D319" s="616" t="s">
        <v>4665</v>
      </c>
      <c r="E319" s="616" t="s">
        <v>4666</v>
      </c>
      <c r="F319" s="619">
        <v>16</v>
      </c>
      <c r="G319" s="619">
        <v>6594</v>
      </c>
      <c r="H319" s="619">
        <v>1</v>
      </c>
      <c r="I319" s="619">
        <v>412.125</v>
      </c>
      <c r="J319" s="619">
        <v>1</v>
      </c>
      <c r="K319" s="619">
        <v>418</v>
      </c>
      <c r="L319" s="619">
        <v>6.3390961480133456E-2</v>
      </c>
      <c r="M319" s="619">
        <v>418</v>
      </c>
      <c r="N319" s="619">
        <v>5</v>
      </c>
      <c r="O319" s="619">
        <v>2115</v>
      </c>
      <c r="P319" s="640">
        <v>0.32074613284804365</v>
      </c>
      <c r="Q319" s="620">
        <v>423</v>
      </c>
    </row>
    <row r="320" spans="1:17" ht="14.4" customHeight="1" x14ac:dyDescent="0.3">
      <c r="A320" s="615" t="s">
        <v>4595</v>
      </c>
      <c r="B320" s="616" t="s">
        <v>4596</v>
      </c>
      <c r="C320" s="616" t="s">
        <v>3011</v>
      </c>
      <c r="D320" s="616" t="s">
        <v>4667</v>
      </c>
      <c r="E320" s="616" t="s">
        <v>4668</v>
      </c>
      <c r="F320" s="619">
        <v>25</v>
      </c>
      <c r="G320" s="619">
        <v>25886</v>
      </c>
      <c r="H320" s="619">
        <v>1</v>
      </c>
      <c r="I320" s="619">
        <v>1035.44</v>
      </c>
      <c r="J320" s="619">
        <v>101</v>
      </c>
      <c r="K320" s="619">
        <v>105545</v>
      </c>
      <c r="L320" s="619">
        <v>4.0773004712972263</v>
      </c>
      <c r="M320" s="619">
        <v>1045</v>
      </c>
      <c r="N320" s="619">
        <v>129</v>
      </c>
      <c r="O320" s="619">
        <v>136095</v>
      </c>
      <c r="P320" s="640">
        <v>5.2574750830564785</v>
      </c>
      <c r="Q320" s="620">
        <v>1055</v>
      </c>
    </row>
    <row r="321" spans="1:17" ht="14.4" customHeight="1" x14ac:dyDescent="0.3">
      <c r="A321" s="615" t="s">
        <v>4595</v>
      </c>
      <c r="B321" s="616" t="s">
        <v>4596</v>
      </c>
      <c r="C321" s="616" t="s">
        <v>3011</v>
      </c>
      <c r="D321" s="616" t="s">
        <v>4669</v>
      </c>
      <c r="E321" s="616" t="s">
        <v>4670</v>
      </c>
      <c r="F321" s="619">
        <v>1</v>
      </c>
      <c r="G321" s="619">
        <v>266</v>
      </c>
      <c r="H321" s="619">
        <v>1</v>
      </c>
      <c r="I321" s="619">
        <v>266</v>
      </c>
      <c r="J321" s="619"/>
      <c r="K321" s="619"/>
      <c r="L321" s="619"/>
      <c r="M321" s="619"/>
      <c r="N321" s="619">
        <v>2</v>
      </c>
      <c r="O321" s="619">
        <v>576</v>
      </c>
      <c r="P321" s="640">
        <v>2.1654135338345863</v>
      </c>
      <c r="Q321" s="620">
        <v>288</v>
      </c>
    </row>
    <row r="322" spans="1:17" ht="14.4" customHeight="1" x14ac:dyDescent="0.3">
      <c r="A322" s="615" t="s">
        <v>4671</v>
      </c>
      <c r="B322" s="616" t="s">
        <v>4672</v>
      </c>
      <c r="C322" s="616" t="s">
        <v>3011</v>
      </c>
      <c r="D322" s="616" t="s">
        <v>4673</v>
      </c>
      <c r="E322" s="616" t="s">
        <v>4674</v>
      </c>
      <c r="F322" s="619">
        <v>1182</v>
      </c>
      <c r="G322" s="619">
        <v>188647</v>
      </c>
      <c r="H322" s="619">
        <v>1</v>
      </c>
      <c r="I322" s="619">
        <v>159.59983079526228</v>
      </c>
      <c r="J322" s="619">
        <v>1318</v>
      </c>
      <c r="K322" s="619">
        <v>212198</v>
      </c>
      <c r="L322" s="619">
        <v>1.124841635435496</v>
      </c>
      <c r="M322" s="619">
        <v>161</v>
      </c>
      <c r="N322" s="619">
        <v>1385</v>
      </c>
      <c r="O322" s="619">
        <v>239605</v>
      </c>
      <c r="P322" s="640">
        <v>1.2701235641171076</v>
      </c>
      <c r="Q322" s="620">
        <v>173</v>
      </c>
    </row>
    <row r="323" spans="1:17" ht="14.4" customHeight="1" x14ac:dyDescent="0.3">
      <c r="A323" s="615" t="s">
        <v>4671</v>
      </c>
      <c r="B323" s="616" t="s">
        <v>4672</v>
      </c>
      <c r="C323" s="616" t="s">
        <v>3011</v>
      </c>
      <c r="D323" s="616" t="s">
        <v>4675</v>
      </c>
      <c r="E323" s="616" t="s">
        <v>4676</v>
      </c>
      <c r="F323" s="619">
        <v>4</v>
      </c>
      <c r="G323" s="619">
        <v>4672</v>
      </c>
      <c r="H323" s="619">
        <v>1</v>
      </c>
      <c r="I323" s="619">
        <v>1168</v>
      </c>
      <c r="J323" s="619">
        <v>3</v>
      </c>
      <c r="K323" s="619">
        <v>3507</v>
      </c>
      <c r="L323" s="619">
        <v>0.75064212328767121</v>
      </c>
      <c r="M323" s="619">
        <v>1169</v>
      </c>
      <c r="N323" s="619">
        <v>21</v>
      </c>
      <c r="O323" s="619">
        <v>24633</v>
      </c>
      <c r="P323" s="640">
        <v>5.272474315068493</v>
      </c>
      <c r="Q323" s="620">
        <v>1173</v>
      </c>
    </row>
    <row r="324" spans="1:17" ht="14.4" customHeight="1" x14ac:dyDescent="0.3">
      <c r="A324" s="615" t="s">
        <v>4671</v>
      </c>
      <c r="B324" s="616" t="s">
        <v>4672</v>
      </c>
      <c r="C324" s="616" t="s">
        <v>3011</v>
      </c>
      <c r="D324" s="616" t="s">
        <v>4677</v>
      </c>
      <c r="E324" s="616" t="s">
        <v>4678</v>
      </c>
      <c r="F324" s="619">
        <v>199</v>
      </c>
      <c r="G324" s="619">
        <v>7858</v>
      </c>
      <c r="H324" s="619">
        <v>1</v>
      </c>
      <c r="I324" s="619">
        <v>39.48743718592965</v>
      </c>
      <c r="J324" s="619">
        <v>114</v>
      </c>
      <c r="K324" s="619">
        <v>4560</v>
      </c>
      <c r="L324" s="619">
        <v>0.58030033087299571</v>
      </c>
      <c r="M324" s="619">
        <v>40</v>
      </c>
      <c r="N324" s="619">
        <v>61</v>
      </c>
      <c r="O324" s="619">
        <v>2501</v>
      </c>
      <c r="P324" s="640">
        <v>0.31827437006871978</v>
      </c>
      <c r="Q324" s="620">
        <v>41</v>
      </c>
    </row>
    <row r="325" spans="1:17" ht="14.4" customHeight="1" x14ac:dyDescent="0.3">
      <c r="A325" s="615" t="s">
        <v>4671</v>
      </c>
      <c r="B325" s="616" t="s">
        <v>4672</v>
      </c>
      <c r="C325" s="616" t="s">
        <v>3011</v>
      </c>
      <c r="D325" s="616" t="s">
        <v>4567</v>
      </c>
      <c r="E325" s="616" t="s">
        <v>4568</v>
      </c>
      <c r="F325" s="619">
        <v>23</v>
      </c>
      <c r="G325" s="619">
        <v>8801</v>
      </c>
      <c r="H325" s="619">
        <v>1</v>
      </c>
      <c r="I325" s="619">
        <v>382.6521739130435</v>
      </c>
      <c r="J325" s="619">
        <v>12</v>
      </c>
      <c r="K325" s="619">
        <v>4596</v>
      </c>
      <c r="L325" s="619">
        <v>0.52221338484263147</v>
      </c>
      <c r="M325" s="619">
        <v>383</v>
      </c>
      <c r="N325" s="619">
        <v>8</v>
      </c>
      <c r="O325" s="619">
        <v>3072</v>
      </c>
      <c r="P325" s="640">
        <v>0.34905124417679811</v>
      </c>
      <c r="Q325" s="620">
        <v>384</v>
      </c>
    </row>
    <row r="326" spans="1:17" ht="14.4" customHeight="1" x14ac:dyDescent="0.3">
      <c r="A326" s="615" t="s">
        <v>4671</v>
      </c>
      <c r="B326" s="616" t="s">
        <v>4672</v>
      </c>
      <c r="C326" s="616" t="s">
        <v>3011</v>
      </c>
      <c r="D326" s="616" t="s">
        <v>4679</v>
      </c>
      <c r="E326" s="616" t="s">
        <v>4680</v>
      </c>
      <c r="F326" s="619">
        <v>11</v>
      </c>
      <c r="G326" s="619">
        <v>407</v>
      </c>
      <c r="H326" s="619">
        <v>1</v>
      </c>
      <c r="I326" s="619">
        <v>37</v>
      </c>
      <c r="J326" s="619">
        <v>73</v>
      </c>
      <c r="K326" s="619">
        <v>2701</v>
      </c>
      <c r="L326" s="619">
        <v>6.6363636363636367</v>
      </c>
      <c r="M326" s="619">
        <v>37</v>
      </c>
      <c r="N326" s="619">
        <v>46</v>
      </c>
      <c r="O326" s="619">
        <v>1702</v>
      </c>
      <c r="P326" s="640">
        <v>4.1818181818181817</v>
      </c>
      <c r="Q326" s="620">
        <v>37</v>
      </c>
    </row>
    <row r="327" spans="1:17" ht="14.4" customHeight="1" x14ac:dyDescent="0.3">
      <c r="A327" s="615" t="s">
        <v>4671</v>
      </c>
      <c r="B327" s="616" t="s">
        <v>4672</v>
      </c>
      <c r="C327" s="616" t="s">
        <v>3011</v>
      </c>
      <c r="D327" s="616" t="s">
        <v>4681</v>
      </c>
      <c r="E327" s="616" t="s">
        <v>4682</v>
      </c>
      <c r="F327" s="619">
        <v>24</v>
      </c>
      <c r="G327" s="619">
        <v>10671</v>
      </c>
      <c r="H327" s="619">
        <v>1</v>
      </c>
      <c r="I327" s="619">
        <v>444.625</v>
      </c>
      <c r="J327" s="619">
        <v>9</v>
      </c>
      <c r="K327" s="619">
        <v>4005</v>
      </c>
      <c r="L327" s="619">
        <v>0.37531627776215915</v>
      </c>
      <c r="M327" s="619">
        <v>445</v>
      </c>
      <c r="N327" s="619">
        <v>9</v>
      </c>
      <c r="O327" s="619">
        <v>4014</v>
      </c>
      <c r="P327" s="640">
        <v>0.37615968512791681</v>
      </c>
      <c r="Q327" s="620">
        <v>446</v>
      </c>
    </row>
    <row r="328" spans="1:17" ht="14.4" customHeight="1" x14ac:dyDescent="0.3">
      <c r="A328" s="615" t="s">
        <v>4671</v>
      </c>
      <c r="B328" s="616" t="s">
        <v>4672</v>
      </c>
      <c r="C328" s="616" t="s">
        <v>3011</v>
      </c>
      <c r="D328" s="616" t="s">
        <v>4683</v>
      </c>
      <c r="E328" s="616" t="s">
        <v>4684</v>
      </c>
      <c r="F328" s="619">
        <v>6</v>
      </c>
      <c r="G328" s="619">
        <v>246</v>
      </c>
      <c r="H328" s="619">
        <v>1</v>
      </c>
      <c r="I328" s="619">
        <v>41</v>
      </c>
      <c r="J328" s="619">
        <v>1</v>
      </c>
      <c r="K328" s="619">
        <v>41</v>
      </c>
      <c r="L328" s="619">
        <v>0.16666666666666666</v>
      </c>
      <c r="M328" s="619">
        <v>41</v>
      </c>
      <c r="N328" s="619">
        <v>2</v>
      </c>
      <c r="O328" s="619">
        <v>84</v>
      </c>
      <c r="P328" s="640">
        <v>0.34146341463414637</v>
      </c>
      <c r="Q328" s="620">
        <v>42</v>
      </c>
    </row>
    <row r="329" spans="1:17" ht="14.4" customHeight="1" x14ac:dyDescent="0.3">
      <c r="A329" s="615" t="s">
        <v>4671</v>
      </c>
      <c r="B329" s="616" t="s">
        <v>4672</v>
      </c>
      <c r="C329" s="616" t="s">
        <v>3011</v>
      </c>
      <c r="D329" s="616" t="s">
        <v>4685</v>
      </c>
      <c r="E329" s="616" t="s">
        <v>4686</v>
      </c>
      <c r="F329" s="619">
        <v>21</v>
      </c>
      <c r="G329" s="619">
        <v>10302</v>
      </c>
      <c r="H329" s="619">
        <v>1</v>
      </c>
      <c r="I329" s="619">
        <v>490.57142857142856</v>
      </c>
      <c r="J329" s="619">
        <v>19</v>
      </c>
      <c r="K329" s="619">
        <v>9329</v>
      </c>
      <c r="L329" s="619">
        <v>0.9055523199378761</v>
      </c>
      <c r="M329" s="619">
        <v>491</v>
      </c>
      <c r="N329" s="619">
        <v>25</v>
      </c>
      <c r="O329" s="619">
        <v>12300</v>
      </c>
      <c r="P329" s="640">
        <v>1.193942923704135</v>
      </c>
      <c r="Q329" s="620">
        <v>492</v>
      </c>
    </row>
    <row r="330" spans="1:17" ht="14.4" customHeight="1" x14ac:dyDescent="0.3">
      <c r="A330" s="615" t="s">
        <v>4671</v>
      </c>
      <c r="B330" s="616" t="s">
        <v>4672</v>
      </c>
      <c r="C330" s="616" t="s">
        <v>3011</v>
      </c>
      <c r="D330" s="616" t="s">
        <v>4687</v>
      </c>
      <c r="E330" s="616" t="s">
        <v>4688</v>
      </c>
      <c r="F330" s="619">
        <v>23</v>
      </c>
      <c r="G330" s="619">
        <v>713</v>
      </c>
      <c r="H330" s="619">
        <v>1</v>
      </c>
      <c r="I330" s="619">
        <v>31</v>
      </c>
      <c r="J330" s="619">
        <v>22</v>
      </c>
      <c r="K330" s="619">
        <v>682</v>
      </c>
      <c r="L330" s="619">
        <v>0.95652173913043481</v>
      </c>
      <c r="M330" s="619">
        <v>31</v>
      </c>
      <c r="N330" s="619">
        <v>16</v>
      </c>
      <c r="O330" s="619">
        <v>496</v>
      </c>
      <c r="P330" s="640">
        <v>0.69565217391304346</v>
      </c>
      <c r="Q330" s="620">
        <v>31</v>
      </c>
    </row>
    <row r="331" spans="1:17" ht="14.4" customHeight="1" x14ac:dyDescent="0.3">
      <c r="A331" s="615" t="s">
        <v>4671</v>
      </c>
      <c r="B331" s="616" t="s">
        <v>4672</v>
      </c>
      <c r="C331" s="616" t="s">
        <v>3011</v>
      </c>
      <c r="D331" s="616" t="s">
        <v>4689</v>
      </c>
      <c r="E331" s="616" t="s">
        <v>4690</v>
      </c>
      <c r="F331" s="619">
        <v>4</v>
      </c>
      <c r="G331" s="619">
        <v>824</v>
      </c>
      <c r="H331" s="619">
        <v>1</v>
      </c>
      <c r="I331" s="619">
        <v>206</v>
      </c>
      <c r="J331" s="619">
        <v>6</v>
      </c>
      <c r="K331" s="619">
        <v>1242</v>
      </c>
      <c r="L331" s="619">
        <v>1.5072815533980584</v>
      </c>
      <c r="M331" s="619">
        <v>207</v>
      </c>
      <c r="N331" s="619">
        <v>3</v>
      </c>
      <c r="O331" s="619">
        <v>624</v>
      </c>
      <c r="P331" s="640">
        <v>0.75728155339805825</v>
      </c>
      <c r="Q331" s="620">
        <v>208</v>
      </c>
    </row>
    <row r="332" spans="1:17" ht="14.4" customHeight="1" x14ac:dyDescent="0.3">
      <c r="A332" s="615" t="s">
        <v>4671</v>
      </c>
      <c r="B332" s="616" t="s">
        <v>4672</v>
      </c>
      <c r="C332" s="616" t="s">
        <v>3011</v>
      </c>
      <c r="D332" s="616" t="s">
        <v>4691</v>
      </c>
      <c r="E332" s="616" t="s">
        <v>4692</v>
      </c>
      <c r="F332" s="619">
        <v>4</v>
      </c>
      <c r="G332" s="619">
        <v>1516</v>
      </c>
      <c r="H332" s="619">
        <v>1</v>
      </c>
      <c r="I332" s="619">
        <v>379</v>
      </c>
      <c r="J332" s="619">
        <v>6</v>
      </c>
      <c r="K332" s="619">
        <v>2280</v>
      </c>
      <c r="L332" s="619">
        <v>1.5039577836411608</v>
      </c>
      <c r="M332" s="619">
        <v>380</v>
      </c>
      <c r="N332" s="619">
        <v>3</v>
      </c>
      <c r="O332" s="619">
        <v>1152</v>
      </c>
      <c r="P332" s="640">
        <v>0.75989445910290232</v>
      </c>
      <c r="Q332" s="620">
        <v>384</v>
      </c>
    </row>
    <row r="333" spans="1:17" ht="14.4" customHeight="1" x14ac:dyDescent="0.3">
      <c r="A333" s="615" t="s">
        <v>4671</v>
      </c>
      <c r="B333" s="616" t="s">
        <v>4672</v>
      </c>
      <c r="C333" s="616" t="s">
        <v>3011</v>
      </c>
      <c r="D333" s="616" t="s">
        <v>4693</v>
      </c>
      <c r="E333" s="616" t="s">
        <v>4694</v>
      </c>
      <c r="F333" s="619"/>
      <c r="G333" s="619"/>
      <c r="H333" s="619"/>
      <c r="I333" s="619"/>
      <c r="J333" s="619">
        <v>2</v>
      </c>
      <c r="K333" s="619">
        <v>468</v>
      </c>
      <c r="L333" s="619"/>
      <c r="M333" s="619">
        <v>234</v>
      </c>
      <c r="N333" s="619"/>
      <c r="O333" s="619"/>
      <c r="P333" s="640"/>
      <c r="Q333" s="620"/>
    </row>
    <row r="334" spans="1:17" ht="14.4" customHeight="1" x14ac:dyDescent="0.3">
      <c r="A334" s="615" t="s">
        <v>4671</v>
      </c>
      <c r="B334" s="616" t="s">
        <v>4672</v>
      </c>
      <c r="C334" s="616" t="s">
        <v>3011</v>
      </c>
      <c r="D334" s="616" t="s">
        <v>4695</v>
      </c>
      <c r="E334" s="616" t="s">
        <v>4696</v>
      </c>
      <c r="F334" s="619">
        <v>758</v>
      </c>
      <c r="G334" s="619">
        <v>86556</v>
      </c>
      <c r="H334" s="619">
        <v>1</v>
      </c>
      <c r="I334" s="619">
        <v>114.18997361477572</v>
      </c>
      <c r="J334" s="619">
        <v>934</v>
      </c>
      <c r="K334" s="619">
        <v>108344</v>
      </c>
      <c r="L334" s="619">
        <v>1.2517214289015204</v>
      </c>
      <c r="M334" s="619">
        <v>116</v>
      </c>
      <c r="N334" s="619">
        <v>958</v>
      </c>
      <c r="O334" s="619">
        <v>112086</v>
      </c>
      <c r="P334" s="640">
        <v>1.2949535560793013</v>
      </c>
      <c r="Q334" s="620">
        <v>117</v>
      </c>
    </row>
    <row r="335" spans="1:17" ht="14.4" customHeight="1" x14ac:dyDescent="0.3">
      <c r="A335" s="615" t="s">
        <v>4671</v>
      </c>
      <c r="B335" s="616" t="s">
        <v>4672</v>
      </c>
      <c r="C335" s="616" t="s">
        <v>3011</v>
      </c>
      <c r="D335" s="616" t="s">
        <v>4697</v>
      </c>
      <c r="E335" s="616" t="s">
        <v>4698</v>
      </c>
      <c r="F335" s="619">
        <v>494</v>
      </c>
      <c r="G335" s="619">
        <v>41799</v>
      </c>
      <c r="H335" s="619">
        <v>1</v>
      </c>
      <c r="I335" s="619">
        <v>84.613360323886639</v>
      </c>
      <c r="J335" s="619">
        <v>557</v>
      </c>
      <c r="K335" s="619">
        <v>47345</v>
      </c>
      <c r="L335" s="619">
        <v>1.1326826000622023</v>
      </c>
      <c r="M335" s="619">
        <v>85</v>
      </c>
      <c r="N335" s="619">
        <v>588</v>
      </c>
      <c r="O335" s="619">
        <v>53508</v>
      </c>
      <c r="P335" s="640">
        <v>1.2801263188114549</v>
      </c>
      <c r="Q335" s="620">
        <v>91</v>
      </c>
    </row>
    <row r="336" spans="1:17" ht="14.4" customHeight="1" x14ac:dyDescent="0.3">
      <c r="A336" s="615" t="s">
        <v>4671</v>
      </c>
      <c r="B336" s="616" t="s">
        <v>4672</v>
      </c>
      <c r="C336" s="616" t="s">
        <v>3011</v>
      </c>
      <c r="D336" s="616" t="s">
        <v>4699</v>
      </c>
      <c r="E336" s="616" t="s">
        <v>4700</v>
      </c>
      <c r="F336" s="619">
        <v>1</v>
      </c>
      <c r="G336" s="619">
        <v>97</v>
      </c>
      <c r="H336" s="619">
        <v>1</v>
      </c>
      <c r="I336" s="619">
        <v>97</v>
      </c>
      <c r="J336" s="619">
        <v>5</v>
      </c>
      <c r="K336" s="619">
        <v>490</v>
      </c>
      <c r="L336" s="619">
        <v>5.0515463917525771</v>
      </c>
      <c r="M336" s="619">
        <v>98</v>
      </c>
      <c r="N336" s="619">
        <v>1</v>
      </c>
      <c r="O336" s="619">
        <v>99</v>
      </c>
      <c r="P336" s="640">
        <v>1.0206185567010309</v>
      </c>
      <c r="Q336" s="620">
        <v>99</v>
      </c>
    </row>
    <row r="337" spans="1:17" ht="14.4" customHeight="1" x14ac:dyDescent="0.3">
      <c r="A337" s="615" t="s">
        <v>4671</v>
      </c>
      <c r="B337" s="616" t="s">
        <v>4672</v>
      </c>
      <c r="C337" s="616" t="s">
        <v>3011</v>
      </c>
      <c r="D337" s="616" t="s">
        <v>4701</v>
      </c>
      <c r="E337" s="616" t="s">
        <v>4702</v>
      </c>
      <c r="F337" s="619">
        <v>62</v>
      </c>
      <c r="G337" s="619">
        <v>1302</v>
      </c>
      <c r="H337" s="619">
        <v>1</v>
      </c>
      <c r="I337" s="619">
        <v>21</v>
      </c>
      <c r="J337" s="619">
        <v>161</v>
      </c>
      <c r="K337" s="619">
        <v>3381</v>
      </c>
      <c r="L337" s="619">
        <v>2.596774193548387</v>
      </c>
      <c r="M337" s="619">
        <v>21</v>
      </c>
      <c r="N337" s="619">
        <v>59</v>
      </c>
      <c r="O337" s="619">
        <v>1239</v>
      </c>
      <c r="P337" s="640">
        <v>0.95161290322580649</v>
      </c>
      <c r="Q337" s="620">
        <v>21</v>
      </c>
    </row>
    <row r="338" spans="1:17" ht="14.4" customHeight="1" x14ac:dyDescent="0.3">
      <c r="A338" s="615" t="s">
        <v>4671</v>
      </c>
      <c r="B338" s="616" t="s">
        <v>4672</v>
      </c>
      <c r="C338" s="616" t="s">
        <v>3011</v>
      </c>
      <c r="D338" s="616" t="s">
        <v>4576</v>
      </c>
      <c r="E338" s="616" t="s">
        <v>4577</v>
      </c>
      <c r="F338" s="619">
        <v>50</v>
      </c>
      <c r="G338" s="619">
        <v>24329</v>
      </c>
      <c r="H338" s="619">
        <v>1</v>
      </c>
      <c r="I338" s="619">
        <v>486.58</v>
      </c>
      <c r="J338" s="619">
        <v>93</v>
      </c>
      <c r="K338" s="619">
        <v>45291</v>
      </c>
      <c r="L338" s="619">
        <v>1.8616054913888775</v>
      </c>
      <c r="M338" s="619">
        <v>487</v>
      </c>
      <c r="N338" s="619">
        <v>125</v>
      </c>
      <c r="O338" s="619">
        <v>61000</v>
      </c>
      <c r="P338" s="640">
        <v>2.5072958198035264</v>
      </c>
      <c r="Q338" s="620">
        <v>488</v>
      </c>
    </row>
    <row r="339" spans="1:17" ht="14.4" customHeight="1" x14ac:dyDescent="0.3">
      <c r="A339" s="615" t="s">
        <v>4671</v>
      </c>
      <c r="B339" s="616" t="s">
        <v>4672</v>
      </c>
      <c r="C339" s="616" t="s">
        <v>3011</v>
      </c>
      <c r="D339" s="616" t="s">
        <v>4703</v>
      </c>
      <c r="E339" s="616" t="s">
        <v>4704</v>
      </c>
      <c r="F339" s="619">
        <v>121</v>
      </c>
      <c r="G339" s="619">
        <v>4916</v>
      </c>
      <c r="H339" s="619">
        <v>1</v>
      </c>
      <c r="I339" s="619">
        <v>40.628099173553721</v>
      </c>
      <c r="J339" s="619">
        <v>158</v>
      </c>
      <c r="K339" s="619">
        <v>6478</v>
      </c>
      <c r="L339" s="619">
        <v>1.3177379983726607</v>
      </c>
      <c r="M339" s="619">
        <v>41</v>
      </c>
      <c r="N339" s="619">
        <v>112</v>
      </c>
      <c r="O339" s="619">
        <v>4592</v>
      </c>
      <c r="P339" s="640">
        <v>0.93409275834011396</v>
      </c>
      <c r="Q339" s="620">
        <v>41</v>
      </c>
    </row>
    <row r="340" spans="1:17" ht="14.4" customHeight="1" x14ac:dyDescent="0.3">
      <c r="A340" s="615" t="s">
        <v>4671</v>
      </c>
      <c r="B340" s="616" t="s">
        <v>4672</v>
      </c>
      <c r="C340" s="616" t="s">
        <v>3011</v>
      </c>
      <c r="D340" s="616" t="s">
        <v>4705</v>
      </c>
      <c r="E340" s="616" t="s">
        <v>4706</v>
      </c>
      <c r="F340" s="619"/>
      <c r="G340" s="619"/>
      <c r="H340" s="619"/>
      <c r="I340" s="619"/>
      <c r="J340" s="619">
        <v>1</v>
      </c>
      <c r="K340" s="619">
        <v>2072</v>
      </c>
      <c r="L340" s="619"/>
      <c r="M340" s="619">
        <v>2072</v>
      </c>
      <c r="N340" s="619">
        <v>1</v>
      </c>
      <c r="O340" s="619">
        <v>2112</v>
      </c>
      <c r="P340" s="640"/>
      <c r="Q340" s="620">
        <v>2112</v>
      </c>
    </row>
    <row r="341" spans="1:17" ht="14.4" customHeight="1" x14ac:dyDescent="0.3">
      <c r="A341" s="615" t="s">
        <v>4671</v>
      </c>
      <c r="B341" s="616" t="s">
        <v>4672</v>
      </c>
      <c r="C341" s="616" t="s">
        <v>3011</v>
      </c>
      <c r="D341" s="616" t="s">
        <v>4707</v>
      </c>
      <c r="E341" s="616" t="s">
        <v>4708</v>
      </c>
      <c r="F341" s="619">
        <v>20</v>
      </c>
      <c r="G341" s="619">
        <v>12113</v>
      </c>
      <c r="H341" s="619">
        <v>1</v>
      </c>
      <c r="I341" s="619">
        <v>605.65</v>
      </c>
      <c r="J341" s="619">
        <v>20</v>
      </c>
      <c r="K341" s="619">
        <v>12160</v>
      </c>
      <c r="L341" s="619">
        <v>1.0038801287872534</v>
      </c>
      <c r="M341" s="619">
        <v>608</v>
      </c>
      <c r="N341" s="619">
        <v>20</v>
      </c>
      <c r="O341" s="619">
        <v>12280</v>
      </c>
      <c r="P341" s="640">
        <v>1.0137868405844961</v>
      </c>
      <c r="Q341" s="620">
        <v>614</v>
      </c>
    </row>
    <row r="342" spans="1:17" ht="14.4" customHeight="1" x14ac:dyDescent="0.3">
      <c r="A342" s="615" t="s">
        <v>4671</v>
      </c>
      <c r="B342" s="616" t="s">
        <v>4672</v>
      </c>
      <c r="C342" s="616" t="s">
        <v>3011</v>
      </c>
      <c r="D342" s="616" t="s">
        <v>4709</v>
      </c>
      <c r="E342" s="616" t="s">
        <v>4710</v>
      </c>
      <c r="F342" s="619"/>
      <c r="G342" s="619"/>
      <c r="H342" s="619"/>
      <c r="I342" s="619"/>
      <c r="J342" s="619">
        <v>1</v>
      </c>
      <c r="K342" s="619">
        <v>962</v>
      </c>
      <c r="L342" s="619"/>
      <c r="M342" s="619">
        <v>962</v>
      </c>
      <c r="N342" s="619"/>
      <c r="O342" s="619"/>
      <c r="P342" s="640"/>
      <c r="Q342" s="620"/>
    </row>
    <row r="343" spans="1:17" ht="14.4" customHeight="1" x14ac:dyDescent="0.3">
      <c r="A343" s="615" t="s">
        <v>4671</v>
      </c>
      <c r="B343" s="616" t="s">
        <v>4672</v>
      </c>
      <c r="C343" s="616" t="s">
        <v>3011</v>
      </c>
      <c r="D343" s="616" t="s">
        <v>4711</v>
      </c>
      <c r="E343" s="616" t="s">
        <v>4712</v>
      </c>
      <c r="F343" s="619"/>
      <c r="G343" s="619"/>
      <c r="H343" s="619"/>
      <c r="I343" s="619"/>
      <c r="J343" s="619">
        <v>2</v>
      </c>
      <c r="K343" s="619">
        <v>496</v>
      </c>
      <c r="L343" s="619"/>
      <c r="M343" s="619">
        <v>248</v>
      </c>
      <c r="N343" s="619"/>
      <c r="O343" s="619"/>
      <c r="P343" s="640"/>
      <c r="Q343" s="620"/>
    </row>
    <row r="344" spans="1:17" ht="14.4" customHeight="1" x14ac:dyDescent="0.3">
      <c r="A344" s="615" t="s">
        <v>4671</v>
      </c>
      <c r="B344" s="616" t="s">
        <v>4672</v>
      </c>
      <c r="C344" s="616" t="s">
        <v>3011</v>
      </c>
      <c r="D344" s="616" t="s">
        <v>4713</v>
      </c>
      <c r="E344" s="616" t="s">
        <v>4714</v>
      </c>
      <c r="F344" s="619"/>
      <c r="G344" s="619"/>
      <c r="H344" s="619"/>
      <c r="I344" s="619"/>
      <c r="J344" s="619">
        <v>1</v>
      </c>
      <c r="K344" s="619">
        <v>328</v>
      </c>
      <c r="L344" s="619"/>
      <c r="M344" s="619">
        <v>328</v>
      </c>
      <c r="N344" s="619">
        <v>4</v>
      </c>
      <c r="O344" s="619">
        <v>1316</v>
      </c>
      <c r="P344" s="640"/>
      <c r="Q344" s="620">
        <v>329</v>
      </c>
    </row>
    <row r="345" spans="1:17" ht="14.4" customHeight="1" x14ac:dyDescent="0.3">
      <c r="A345" s="615" t="s">
        <v>4715</v>
      </c>
      <c r="B345" s="616" t="s">
        <v>4322</v>
      </c>
      <c r="C345" s="616" t="s">
        <v>3011</v>
      </c>
      <c r="D345" s="616" t="s">
        <v>4716</v>
      </c>
      <c r="E345" s="616" t="s">
        <v>4717</v>
      </c>
      <c r="F345" s="619"/>
      <c r="G345" s="619"/>
      <c r="H345" s="619"/>
      <c r="I345" s="619"/>
      <c r="J345" s="619">
        <v>1</v>
      </c>
      <c r="K345" s="619">
        <v>1184</v>
      </c>
      <c r="L345" s="619"/>
      <c r="M345" s="619">
        <v>1184</v>
      </c>
      <c r="N345" s="619"/>
      <c r="O345" s="619"/>
      <c r="P345" s="640"/>
      <c r="Q345" s="620"/>
    </row>
    <row r="346" spans="1:17" ht="14.4" customHeight="1" x14ac:dyDescent="0.3">
      <c r="A346" s="615" t="s">
        <v>4715</v>
      </c>
      <c r="B346" s="616" t="s">
        <v>4322</v>
      </c>
      <c r="C346" s="616" t="s">
        <v>3011</v>
      </c>
      <c r="D346" s="616" t="s">
        <v>4718</v>
      </c>
      <c r="E346" s="616" t="s">
        <v>4719</v>
      </c>
      <c r="F346" s="619"/>
      <c r="G346" s="619"/>
      <c r="H346" s="619"/>
      <c r="I346" s="619"/>
      <c r="J346" s="619"/>
      <c r="K346" s="619"/>
      <c r="L346" s="619"/>
      <c r="M346" s="619"/>
      <c r="N346" s="619">
        <v>1</v>
      </c>
      <c r="O346" s="619">
        <v>842</v>
      </c>
      <c r="P346" s="640"/>
      <c r="Q346" s="620">
        <v>842</v>
      </c>
    </row>
    <row r="347" spans="1:17" ht="14.4" customHeight="1" x14ac:dyDescent="0.3">
      <c r="A347" s="615" t="s">
        <v>4715</v>
      </c>
      <c r="B347" s="616" t="s">
        <v>4322</v>
      </c>
      <c r="C347" s="616" t="s">
        <v>3011</v>
      </c>
      <c r="D347" s="616" t="s">
        <v>4174</v>
      </c>
      <c r="E347" s="616" t="s">
        <v>4175</v>
      </c>
      <c r="F347" s="619">
        <v>14</v>
      </c>
      <c r="G347" s="619">
        <v>2332</v>
      </c>
      <c r="H347" s="619">
        <v>1</v>
      </c>
      <c r="I347" s="619">
        <v>166.57142857142858</v>
      </c>
      <c r="J347" s="619">
        <v>6</v>
      </c>
      <c r="K347" s="619">
        <v>1002</v>
      </c>
      <c r="L347" s="619">
        <v>0.42967409948542024</v>
      </c>
      <c r="M347" s="619">
        <v>167</v>
      </c>
      <c r="N347" s="619">
        <v>19</v>
      </c>
      <c r="O347" s="619">
        <v>3192</v>
      </c>
      <c r="P347" s="640">
        <v>1.3687821612349915</v>
      </c>
      <c r="Q347" s="620">
        <v>168</v>
      </c>
    </row>
    <row r="348" spans="1:17" ht="14.4" customHeight="1" x14ac:dyDescent="0.3">
      <c r="A348" s="615" t="s">
        <v>4715</v>
      </c>
      <c r="B348" s="616" t="s">
        <v>4322</v>
      </c>
      <c r="C348" s="616" t="s">
        <v>3011</v>
      </c>
      <c r="D348" s="616" t="s">
        <v>4720</v>
      </c>
      <c r="E348" s="616" t="s">
        <v>4721</v>
      </c>
      <c r="F348" s="619">
        <v>14</v>
      </c>
      <c r="G348" s="619">
        <v>2416</v>
      </c>
      <c r="H348" s="619">
        <v>1</v>
      </c>
      <c r="I348" s="619">
        <v>172.57142857142858</v>
      </c>
      <c r="J348" s="619">
        <v>6</v>
      </c>
      <c r="K348" s="619">
        <v>1038</v>
      </c>
      <c r="L348" s="619">
        <v>0.42963576158940397</v>
      </c>
      <c r="M348" s="619">
        <v>173</v>
      </c>
      <c r="N348" s="619">
        <v>19</v>
      </c>
      <c r="O348" s="619">
        <v>3306</v>
      </c>
      <c r="P348" s="640">
        <v>1.3683774834437086</v>
      </c>
      <c r="Q348" s="620">
        <v>174</v>
      </c>
    </row>
    <row r="349" spans="1:17" ht="14.4" customHeight="1" x14ac:dyDescent="0.3">
      <c r="A349" s="615" t="s">
        <v>4715</v>
      </c>
      <c r="B349" s="616" t="s">
        <v>4322</v>
      </c>
      <c r="C349" s="616" t="s">
        <v>3011</v>
      </c>
      <c r="D349" s="616" t="s">
        <v>4180</v>
      </c>
      <c r="E349" s="616" t="s">
        <v>4181</v>
      </c>
      <c r="F349" s="619"/>
      <c r="G349" s="619"/>
      <c r="H349" s="619"/>
      <c r="I349" s="619"/>
      <c r="J349" s="619"/>
      <c r="K349" s="619"/>
      <c r="L349" s="619"/>
      <c r="M349" s="619"/>
      <c r="N349" s="619">
        <v>1</v>
      </c>
      <c r="O349" s="619">
        <v>352</v>
      </c>
      <c r="P349" s="640"/>
      <c r="Q349" s="620">
        <v>352</v>
      </c>
    </row>
    <row r="350" spans="1:17" ht="14.4" customHeight="1" x14ac:dyDescent="0.3">
      <c r="A350" s="615" t="s">
        <v>4715</v>
      </c>
      <c r="B350" s="616" t="s">
        <v>4322</v>
      </c>
      <c r="C350" s="616" t="s">
        <v>3011</v>
      </c>
      <c r="D350" s="616" t="s">
        <v>4722</v>
      </c>
      <c r="E350" s="616" t="s">
        <v>4723</v>
      </c>
      <c r="F350" s="619"/>
      <c r="G350" s="619"/>
      <c r="H350" s="619"/>
      <c r="I350" s="619"/>
      <c r="J350" s="619"/>
      <c r="K350" s="619"/>
      <c r="L350" s="619"/>
      <c r="M350" s="619"/>
      <c r="N350" s="619">
        <v>1</v>
      </c>
      <c r="O350" s="619">
        <v>513</v>
      </c>
      <c r="P350" s="640"/>
      <c r="Q350" s="620">
        <v>513</v>
      </c>
    </row>
    <row r="351" spans="1:17" ht="14.4" customHeight="1" x14ac:dyDescent="0.3">
      <c r="A351" s="615" t="s">
        <v>4715</v>
      </c>
      <c r="B351" s="616" t="s">
        <v>4322</v>
      </c>
      <c r="C351" s="616" t="s">
        <v>3011</v>
      </c>
      <c r="D351" s="616" t="s">
        <v>4724</v>
      </c>
      <c r="E351" s="616" t="s">
        <v>4725</v>
      </c>
      <c r="F351" s="619"/>
      <c r="G351" s="619"/>
      <c r="H351" s="619"/>
      <c r="I351" s="619"/>
      <c r="J351" s="619"/>
      <c r="K351" s="619"/>
      <c r="L351" s="619"/>
      <c r="M351" s="619"/>
      <c r="N351" s="619">
        <v>1</v>
      </c>
      <c r="O351" s="619">
        <v>423</v>
      </c>
      <c r="P351" s="640"/>
      <c r="Q351" s="620">
        <v>423</v>
      </c>
    </row>
    <row r="352" spans="1:17" ht="14.4" customHeight="1" x14ac:dyDescent="0.3">
      <c r="A352" s="615" t="s">
        <v>4715</v>
      </c>
      <c r="B352" s="616" t="s">
        <v>4322</v>
      </c>
      <c r="C352" s="616" t="s">
        <v>3011</v>
      </c>
      <c r="D352" s="616" t="s">
        <v>4726</v>
      </c>
      <c r="E352" s="616" t="s">
        <v>4727</v>
      </c>
      <c r="F352" s="619"/>
      <c r="G352" s="619"/>
      <c r="H352" s="619"/>
      <c r="I352" s="619"/>
      <c r="J352" s="619"/>
      <c r="K352" s="619"/>
      <c r="L352" s="619"/>
      <c r="M352" s="619"/>
      <c r="N352" s="619">
        <v>2</v>
      </c>
      <c r="O352" s="619">
        <v>1016</v>
      </c>
      <c r="P352" s="640"/>
      <c r="Q352" s="620">
        <v>508</v>
      </c>
    </row>
    <row r="353" spans="1:17" ht="14.4" customHeight="1" x14ac:dyDescent="0.3">
      <c r="A353" s="615" t="s">
        <v>4715</v>
      </c>
      <c r="B353" s="616" t="s">
        <v>4322</v>
      </c>
      <c r="C353" s="616" t="s">
        <v>3011</v>
      </c>
      <c r="D353" s="616" t="s">
        <v>4728</v>
      </c>
      <c r="E353" s="616" t="s">
        <v>4729</v>
      </c>
      <c r="F353" s="619">
        <v>39</v>
      </c>
      <c r="G353" s="619">
        <v>13593</v>
      </c>
      <c r="H353" s="619">
        <v>1</v>
      </c>
      <c r="I353" s="619">
        <v>348.53846153846155</v>
      </c>
      <c r="J353" s="619">
        <v>15</v>
      </c>
      <c r="K353" s="619">
        <v>5235</v>
      </c>
      <c r="L353" s="619">
        <v>0.38512469653498121</v>
      </c>
      <c r="M353" s="619">
        <v>349</v>
      </c>
      <c r="N353" s="619">
        <v>58</v>
      </c>
      <c r="O353" s="619">
        <v>20300</v>
      </c>
      <c r="P353" s="640">
        <v>1.4934157286838814</v>
      </c>
      <c r="Q353" s="620">
        <v>350</v>
      </c>
    </row>
    <row r="354" spans="1:17" ht="14.4" customHeight="1" x14ac:dyDescent="0.3">
      <c r="A354" s="615" t="s">
        <v>4715</v>
      </c>
      <c r="B354" s="616" t="s">
        <v>4322</v>
      </c>
      <c r="C354" s="616" t="s">
        <v>3011</v>
      </c>
      <c r="D354" s="616" t="s">
        <v>4210</v>
      </c>
      <c r="E354" s="616" t="s">
        <v>4211</v>
      </c>
      <c r="F354" s="619">
        <v>1</v>
      </c>
      <c r="G354" s="619">
        <v>147</v>
      </c>
      <c r="H354" s="619">
        <v>1</v>
      </c>
      <c r="I354" s="619">
        <v>147</v>
      </c>
      <c r="J354" s="619"/>
      <c r="K354" s="619"/>
      <c r="L354" s="619"/>
      <c r="M354" s="619"/>
      <c r="N354" s="619"/>
      <c r="O354" s="619"/>
      <c r="P354" s="640"/>
      <c r="Q354" s="620"/>
    </row>
    <row r="355" spans="1:17" ht="14.4" customHeight="1" x14ac:dyDescent="0.3">
      <c r="A355" s="615" t="s">
        <v>4715</v>
      </c>
      <c r="B355" s="616" t="s">
        <v>4322</v>
      </c>
      <c r="C355" s="616" t="s">
        <v>3011</v>
      </c>
      <c r="D355" s="616" t="s">
        <v>4730</v>
      </c>
      <c r="E355" s="616" t="s">
        <v>4731</v>
      </c>
      <c r="F355" s="619">
        <v>13</v>
      </c>
      <c r="G355" s="619">
        <v>502</v>
      </c>
      <c r="H355" s="619">
        <v>1</v>
      </c>
      <c r="I355" s="619">
        <v>38.615384615384613</v>
      </c>
      <c r="J355" s="619">
        <v>6</v>
      </c>
      <c r="K355" s="619">
        <v>234</v>
      </c>
      <c r="L355" s="619">
        <v>0.46613545816733065</v>
      </c>
      <c r="M355" s="619">
        <v>39</v>
      </c>
      <c r="N355" s="619">
        <v>19</v>
      </c>
      <c r="O355" s="619">
        <v>760</v>
      </c>
      <c r="P355" s="640">
        <v>1.5139442231075697</v>
      </c>
      <c r="Q355" s="620">
        <v>40</v>
      </c>
    </row>
    <row r="356" spans="1:17" ht="14.4" customHeight="1" x14ac:dyDescent="0.3">
      <c r="A356" s="615" t="s">
        <v>4715</v>
      </c>
      <c r="B356" s="616" t="s">
        <v>4322</v>
      </c>
      <c r="C356" s="616" t="s">
        <v>3011</v>
      </c>
      <c r="D356" s="616" t="s">
        <v>4250</v>
      </c>
      <c r="E356" s="616" t="s">
        <v>4251</v>
      </c>
      <c r="F356" s="619">
        <v>14</v>
      </c>
      <c r="G356" s="619">
        <v>2374</v>
      </c>
      <c r="H356" s="619">
        <v>1</v>
      </c>
      <c r="I356" s="619">
        <v>169.57142857142858</v>
      </c>
      <c r="J356" s="619">
        <v>6</v>
      </c>
      <c r="K356" s="619">
        <v>1020</v>
      </c>
      <c r="L356" s="619">
        <v>0.42965459140690815</v>
      </c>
      <c r="M356" s="619">
        <v>170</v>
      </c>
      <c r="N356" s="619">
        <v>19</v>
      </c>
      <c r="O356" s="619">
        <v>3249</v>
      </c>
      <c r="P356" s="640">
        <v>1.3685762426284751</v>
      </c>
      <c r="Q356" s="620">
        <v>171</v>
      </c>
    </row>
    <row r="357" spans="1:17" ht="14.4" customHeight="1" x14ac:dyDescent="0.3">
      <c r="A357" s="615" t="s">
        <v>4715</v>
      </c>
      <c r="B357" s="616" t="s">
        <v>4322</v>
      </c>
      <c r="C357" s="616" t="s">
        <v>3011</v>
      </c>
      <c r="D357" s="616" t="s">
        <v>4732</v>
      </c>
      <c r="E357" s="616" t="s">
        <v>4733</v>
      </c>
      <c r="F357" s="619"/>
      <c r="G357" s="619"/>
      <c r="H357" s="619"/>
      <c r="I357" s="619"/>
      <c r="J357" s="619">
        <v>1</v>
      </c>
      <c r="K357" s="619">
        <v>348</v>
      </c>
      <c r="L357" s="619"/>
      <c r="M357" s="619">
        <v>348</v>
      </c>
      <c r="N357" s="619">
        <v>2</v>
      </c>
      <c r="O357" s="619">
        <v>700</v>
      </c>
      <c r="P357" s="640"/>
      <c r="Q357" s="620">
        <v>350</v>
      </c>
    </row>
    <row r="358" spans="1:17" ht="14.4" customHeight="1" x14ac:dyDescent="0.3">
      <c r="A358" s="615" t="s">
        <v>4715</v>
      </c>
      <c r="B358" s="616" t="s">
        <v>4322</v>
      </c>
      <c r="C358" s="616" t="s">
        <v>3011</v>
      </c>
      <c r="D358" s="616" t="s">
        <v>4268</v>
      </c>
      <c r="E358" s="616" t="s">
        <v>4269</v>
      </c>
      <c r="F358" s="619">
        <v>14</v>
      </c>
      <c r="G358" s="619">
        <v>2416</v>
      </c>
      <c r="H358" s="619">
        <v>1</v>
      </c>
      <c r="I358" s="619">
        <v>172.57142857142858</v>
      </c>
      <c r="J358" s="619">
        <v>6</v>
      </c>
      <c r="K358" s="619">
        <v>1038</v>
      </c>
      <c r="L358" s="619">
        <v>0.42963576158940397</v>
      </c>
      <c r="M358" s="619">
        <v>173</v>
      </c>
      <c r="N358" s="619">
        <v>19</v>
      </c>
      <c r="O358" s="619">
        <v>3306</v>
      </c>
      <c r="P358" s="640">
        <v>1.3683774834437086</v>
      </c>
      <c r="Q358" s="620">
        <v>174</v>
      </c>
    </row>
    <row r="359" spans="1:17" ht="14.4" customHeight="1" x14ac:dyDescent="0.3">
      <c r="A359" s="615" t="s">
        <v>4715</v>
      </c>
      <c r="B359" s="616" t="s">
        <v>4322</v>
      </c>
      <c r="C359" s="616" t="s">
        <v>3011</v>
      </c>
      <c r="D359" s="616" t="s">
        <v>4734</v>
      </c>
      <c r="E359" s="616" t="s">
        <v>4735</v>
      </c>
      <c r="F359" s="619"/>
      <c r="G359" s="619"/>
      <c r="H359" s="619"/>
      <c r="I359" s="619"/>
      <c r="J359" s="619"/>
      <c r="K359" s="619"/>
      <c r="L359" s="619"/>
      <c r="M359" s="619"/>
      <c r="N359" s="619">
        <v>1</v>
      </c>
      <c r="O359" s="619">
        <v>291</v>
      </c>
      <c r="P359" s="640"/>
      <c r="Q359" s="620">
        <v>291</v>
      </c>
    </row>
    <row r="360" spans="1:17" ht="14.4" customHeight="1" x14ac:dyDescent="0.3">
      <c r="A360" s="615" t="s">
        <v>4715</v>
      </c>
      <c r="B360" s="616" t="s">
        <v>4322</v>
      </c>
      <c r="C360" s="616" t="s">
        <v>3011</v>
      </c>
      <c r="D360" s="616" t="s">
        <v>4736</v>
      </c>
      <c r="E360" s="616" t="s">
        <v>4737</v>
      </c>
      <c r="F360" s="619">
        <v>14</v>
      </c>
      <c r="G360" s="619">
        <v>2332</v>
      </c>
      <c r="H360" s="619">
        <v>1</v>
      </c>
      <c r="I360" s="619">
        <v>166.57142857142858</v>
      </c>
      <c r="J360" s="619">
        <v>6</v>
      </c>
      <c r="K360" s="619">
        <v>1002</v>
      </c>
      <c r="L360" s="619">
        <v>0.42967409948542024</v>
      </c>
      <c r="M360" s="619">
        <v>167</v>
      </c>
      <c r="N360" s="619">
        <v>19</v>
      </c>
      <c r="O360" s="619">
        <v>3192</v>
      </c>
      <c r="P360" s="640">
        <v>1.3687821612349915</v>
      </c>
      <c r="Q360" s="620">
        <v>168</v>
      </c>
    </row>
    <row r="361" spans="1:17" ht="14.4" customHeight="1" x14ac:dyDescent="0.3">
      <c r="A361" s="615" t="s">
        <v>4715</v>
      </c>
      <c r="B361" s="616" t="s">
        <v>4322</v>
      </c>
      <c r="C361" s="616" t="s">
        <v>3011</v>
      </c>
      <c r="D361" s="616" t="s">
        <v>4738</v>
      </c>
      <c r="E361" s="616" t="s">
        <v>4739</v>
      </c>
      <c r="F361" s="619"/>
      <c r="G361" s="619"/>
      <c r="H361" s="619"/>
      <c r="I361" s="619"/>
      <c r="J361" s="619"/>
      <c r="K361" s="619"/>
      <c r="L361" s="619"/>
      <c r="M361" s="619"/>
      <c r="N361" s="619">
        <v>1</v>
      </c>
      <c r="O361" s="619">
        <v>1022</v>
      </c>
      <c r="P361" s="640"/>
      <c r="Q361" s="620">
        <v>1022</v>
      </c>
    </row>
    <row r="362" spans="1:17" ht="14.4" customHeight="1" x14ac:dyDescent="0.3">
      <c r="A362" s="615" t="s">
        <v>471</v>
      </c>
      <c r="B362" s="616" t="s">
        <v>3899</v>
      </c>
      <c r="C362" s="616" t="s">
        <v>3011</v>
      </c>
      <c r="D362" s="616" t="s">
        <v>3900</v>
      </c>
      <c r="E362" s="616" t="s">
        <v>3901</v>
      </c>
      <c r="F362" s="619"/>
      <c r="G362" s="619"/>
      <c r="H362" s="619"/>
      <c r="I362" s="619"/>
      <c r="J362" s="619">
        <v>1</v>
      </c>
      <c r="K362" s="619">
        <v>259</v>
      </c>
      <c r="L362" s="619"/>
      <c r="M362" s="619">
        <v>259</v>
      </c>
      <c r="N362" s="619">
        <v>1</v>
      </c>
      <c r="O362" s="619">
        <v>265</v>
      </c>
      <c r="P362" s="640"/>
      <c r="Q362" s="620">
        <v>265</v>
      </c>
    </row>
    <row r="363" spans="1:17" ht="14.4" customHeight="1" x14ac:dyDescent="0.3">
      <c r="A363" s="615" t="s">
        <v>471</v>
      </c>
      <c r="B363" s="616" t="s">
        <v>3899</v>
      </c>
      <c r="C363" s="616" t="s">
        <v>3011</v>
      </c>
      <c r="D363" s="616" t="s">
        <v>3902</v>
      </c>
      <c r="E363" s="616" t="s">
        <v>3903</v>
      </c>
      <c r="F363" s="619"/>
      <c r="G363" s="619"/>
      <c r="H363" s="619"/>
      <c r="I363" s="619"/>
      <c r="J363" s="619"/>
      <c r="K363" s="619"/>
      <c r="L363" s="619"/>
      <c r="M363" s="619"/>
      <c r="N363" s="619">
        <v>2</v>
      </c>
      <c r="O363" s="619">
        <v>698</v>
      </c>
      <c r="P363" s="640"/>
      <c r="Q363" s="620">
        <v>349</v>
      </c>
    </row>
    <row r="364" spans="1:17" ht="14.4" customHeight="1" x14ac:dyDescent="0.3">
      <c r="A364" s="615" t="s">
        <v>471</v>
      </c>
      <c r="B364" s="616" t="s">
        <v>3899</v>
      </c>
      <c r="C364" s="616" t="s">
        <v>3011</v>
      </c>
      <c r="D364" s="616" t="s">
        <v>3904</v>
      </c>
      <c r="E364" s="616" t="s">
        <v>3905</v>
      </c>
      <c r="F364" s="619"/>
      <c r="G364" s="619"/>
      <c r="H364" s="619"/>
      <c r="I364" s="619"/>
      <c r="J364" s="619"/>
      <c r="K364" s="619"/>
      <c r="L364" s="619"/>
      <c r="M364" s="619"/>
      <c r="N364" s="619">
        <v>2</v>
      </c>
      <c r="O364" s="619">
        <v>566</v>
      </c>
      <c r="P364" s="640"/>
      <c r="Q364" s="620">
        <v>283</v>
      </c>
    </row>
    <row r="365" spans="1:17" ht="14.4" customHeight="1" x14ac:dyDescent="0.3">
      <c r="A365" s="615" t="s">
        <v>471</v>
      </c>
      <c r="B365" s="616" t="s">
        <v>3899</v>
      </c>
      <c r="C365" s="616" t="s">
        <v>3011</v>
      </c>
      <c r="D365" s="616" t="s">
        <v>3906</v>
      </c>
      <c r="E365" s="616" t="s">
        <v>3907</v>
      </c>
      <c r="F365" s="619"/>
      <c r="G365" s="619"/>
      <c r="H365" s="619"/>
      <c r="I365" s="619"/>
      <c r="J365" s="619"/>
      <c r="K365" s="619"/>
      <c r="L365" s="619"/>
      <c r="M365" s="619"/>
      <c r="N365" s="619">
        <v>2</v>
      </c>
      <c r="O365" s="619">
        <v>11194</v>
      </c>
      <c r="P365" s="640"/>
      <c r="Q365" s="620">
        <v>5597</v>
      </c>
    </row>
    <row r="366" spans="1:17" ht="14.4" customHeight="1" x14ac:dyDescent="0.3">
      <c r="A366" s="615" t="s">
        <v>4740</v>
      </c>
      <c r="B366" s="616" t="s">
        <v>4741</v>
      </c>
      <c r="C366" s="616" t="s">
        <v>3011</v>
      </c>
      <c r="D366" s="616" t="s">
        <v>4726</v>
      </c>
      <c r="E366" s="616" t="s">
        <v>4727</v>
      </c>
      <c r="F366" s="619">
        <v>11</v>
      </c>
      <c r="G366" s="619">
        <v>5487</v>
      </c>
      <c r="H366" s="619">
        <v>1</v>
      </c>
      <c r="I366" s="619">
        <v>498.81818181818181</v>
      </c>
      <c r="J366" s="619">
        <v>9</v>
      </c>
      <c r="K366" s="619">
        <v>4527</v>
      </c>
      <c r="L366" s="619">
        <v>0.82504100601421537</v>
      </c>
      <c r="M366" s="619">
        <v>503</v>
      </c>
      <c r="N366" s="619">
        <v>4</v>
      </c>
      <c r="O366" s="619">
        <v>2032</v>
      </c>
      <c r="P366" s="640">
        <v>0.37032987060324402</v>
      </c>
      <c r="Q366" s="620">
        <v>508</v>
      </c>
    </row>
    <row r="367" spans="1:17" ht="14.4" customHeight="1" x14ac:dyDescent="0.3">
      <c r="A367" s="615" t="s">
        <v>4740</v>
      </c>
      <c r="B367" s="616" t="s">
        <v>4741</v>
      </c>
      <c r="C367" s="616" t="s">
        <v>3011</v>
      </c>
      <c r="D367" s="616" t="s">
        <v>4742</v>
      </c>
      <c r="E367" s="616" t="s">
        <v>4743</v>
      </c>
      <c r="F367" s="619">
        <v>10</v>
      </c>
      <c r="G367" s="619">
        <v>62665</v>
      </c>
      <c r="H367" s="619">
        <v>1</v>
      </c>
      <c r="I367" s="619">
        <v>6266.5</v>
      </c>
      <c r="J367" s="619">
        <v>9</v>
      </c>
      <c r="K367" s="619">
        <v>56556</v>
      </c>
      <c r="L367" s="619">
        <v>0.90251336471714672</v>
      </c>
      <c r="M367" s="619">
        <v>6284</v>
      </c>
      <c r="N367" s="619">
        <v>3</v>
      </c>
      <c r="O367" s="619">
        <v>19206</v>
      </c>
      <c r="P367" s="640">
        <v>0.30648687465092156</v>
      </c>
      <c r="Q367" s="620">
        <v>6402</v>
      </c>
    </row>
    <row r="368" spans="1:17" ht="14.4" customHeight="1" x14ac:dyDescent="0.3">
      <c r="A368" s="615" t="s">
        <v>4740</v>
      </c>
      <c r="B368" s="616" t="s">
        <v>4741</v>
      </c>
      <c r="C368" s="616" t="s">
        <v>3011</v>
      </c>
      <c r="D368" s="616" t="s">
        <v>4208</v>
      </c>
      <c r="E368" s="616" t="s">
        <v>4209</v>
      </c>
      <c r="F368" s="619">
        <v>11</v>
      </c>
      <c r="G368" s="619">
        <v>13775</v>
      </c>
      <c r="H368" s="619">
        <v>1</v>
      </c>
      <c r="I368" s="619">
        <v>1252.2727272727273</v>
      </c>
      <c r="J368" s="619">
        <v>7</v>
      </c>
      <c r="K368" s="619">
        <v>8876</v>
      </c>
      <c r="L368" s="619">
        <v>0.64435571687840287</v>
      </c>
      <c r="M368" s="619">
        <v>1268</v>
      </c>
      <c r="N368" s="619">
        <v>4</v>
      </c>
      <c r="O368" s="619">
        <v>5132</v>
      </c>
      <c r="P368" s="640">
        <v>0.37255898366606172</v>
      </c>
      <c r="Q368" s="620">
        <v>1283</v>
      </c>
    </row>
    <row r="369" spans="1:17" ht="14.4" customHeight="1" x14ac:dyDescent="0.3">
      <c r="A369" s="615" t="s">
        <v>4740</v>
      </c>
      <c r="B369" s="616" t="s">
        <v>4741</v>
      </c>
      <c r="C369" s="616" t="s">
        <v>3011</v>
      </c>
      <c r="D369" s="616" t="s">
        <v>4651</v>
      </c>
      <c r="E369" s="616" t="s">
        <v>4652</v>
      </c>
      <c r="F369" s="619">
        <v>10</v>
      </c>
      <c r="G369" s="619">
        <v>1645</v>
      </c>
      <c r="H369" s="619">
        <v>1</v>
      </c>
      <c r="I369" s="619">
        <v>164.5</v>
      </c>
      <c r="J369" s="619">
        <v>6</v>
      </c>
      <c r="K369" s="619">
        <v>996</v>
      </c>
      <c r="L369" s="619">
        <v>0.60547112462006081</v>
      </c>
      <c r="M369" s="619">
        <v>166</v>
      </c>
      <c r="N369" s="619">
        <v>3</v>
      </c>
      <c r="O369" s="619">
        <v>534</v>
      </c>
      <c r="P369" s="640">
        <v>0.32462006079027356</v>
      </c>
      <c r="Q369" s="620">
        <v>178</v>
      </c>
    </row>
    <row r="370" spans="1:17" ht="14.4" customHeight="1" thickBot="1" x14ac:dyDescent="0.35">
      <c r="A370" s="621" t="s">
        <v>4740</v>
      </c>
      <c r="B370" s="622" t="s">
        <v>4741</v>
      </c>
      <c r="C370" s="622" t="s">
        <v>3011</v>
      </c>
      <c r="D370" s="622" t="s">
        <v>4655</v>
      </c>
      <c r="E370" s="622" t="s">
        <v>4656</v>
      </c>
      <c r="F370" s="625">
        <v>1</v>
      </c>
      <c r="G370" s="625">
        <v>167</v>
      </c>
      <c r="H370" s="625">
        <v>1</v>
      </c>
      <c r="I370" s="625">
        <v>167</v>
      </c>
      <c r="J370" s="625">
        <v>3</v>
      </c>
      <c r="K370" s="625">
        <v>510</v>
      </c>
      <c r="L370" s="625">
        <v>3.0538922155688621</v>
      </c>
      <c r="M370" s="625">
        <v>170</v>
      </c>
      <c r="N370" s="625"/>
      <c r="O370" s="625"/>
      <c r="P370" s="633"/>
      <c r="Q370" s="626"/>
    </row>
  </sheetData>
  <autoFilter ref="A5:Q5"/>
  <mergeCells count="11">
    <mergeCell ref="P4:P5"/>
    <mergeCell ref="Q4:Q5"/>
    <mergeCell ref="A1:Q1"/>
    <mergeCell ref="A4:A5"/>
    <mergeCell ref="B4:B5"/>
    <mergeCell ref="C4:C5"/>
    <mergeCell ref="D4:D5"/>
    <mergeCell ref="E4:E5"/>
    <mergeCell ref="F4:G4"/>
    <mergeCell ref="J4:K4"/>
    <mergeCell ref="N4:O4"/>
  </mergeCells>
  <conditionalFormatting sqref="P3">
    <cfRule type="cellIs" dxfId="3" priority="1" stopIfTrue="1" operator="greater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5">
    <tabColor theme="0" tint="-0.249977111117893"/>
    <pageSetUpPr fitToPage="1"/>
  </sheetPr>
  <dimension ref="A1:N11"/>
  <sheetViews>
    <sheetView showGridLines="0" showRowColHeaders="0" zoomScaleNormal="100" workbookViewId="0">
      <pane ySplit="5" topLeftCell="A6" activePane="bottomLeft" state="frozen"/>
      <selection pane="bottomLeft" sqref="A1:N1"/>
    </sheetView>
  </sheetViews>
  <sheetFormatPr defaultRowHeight="14.4" customHeight="1" x14ac:dyDescent="0.3"/>
  <cols>
    <col min="1" max="1" width="14.33203125" style="177" bestFit="1" customWidth="1"/>
    <col min="2" max="2" width="15.6640625" style="177" bestFit="1" customWidth="1"/>
    <col min="3" max="5" width="8.33203125" style="185" customWidth="1"/>
    <col min="6" max="6" width="6.109375" style="186" customWidth="1"/>
    <col min="7" max="9" width="8.33203125" style="185" customWidth="1"/>
    <col min="10" max="10" width="6.109375" style="186" customWidth="1"/>
    <col min="11" max="14" width="8.33203125" style="185" customWidth="1"/>
    <col min="15" max="16384" width="8.88671875" style="177"/>
  </cols>
  <sheetData>
    <row r="1" spans="1:14" ht="18.600000000000001" customHeight="1" thickBot="1" x14ac:dyDescent="0.4">
      <c r="A1" s="560" t="s">
        <v>162</v>
      </c>
      <c r="B1" s="561"/>
      <c r="C1" s="561"/>
      <c r="D1" s="561"/>
      <c r="E1" s="561"/>
      <c r="F1" s="561"/>
      <c r="G1" s="561"/>
      <c r="H1" s="561"/>
      <c r="I1" s="561"/>
      <c r="J1" s="561"/>
      <c r="K1" s="561"/>
      <c r="L1" s="561"/>
      <c r="M1" s="561"/>
      <c r="N1" s="561"/>
    </row>
    <row r="2" spans="1:14" ht="14.4" customHeight="1" thickBot="1" x14ac:dyDescent="0.35">
      <c r="A2" s="360" t="s">
        <v>280</v>
      </c>
      <c r="B2" s="178"/>
      <c r="C2" s="178"/>
      <c r="D2" s="178"/>
      <c r="E2" s="178"/>
      <c r="F2" s="178"/>
      <c r="G2" s="430"/>
      <c r="H2" s="430"/>
      <c r="I2" s="430"/>
      <c r="J2" s="178"/>
      <c r="K2" s="430"/>
      <c r="L2" s="430"/>
      <c r="M2" s="430"/>
      <c r="N2" s="178"/>
    </row>
    <row r="3" spans="1:14" ht="14.4" customHeight="1" thickBot="1" x14ac:dyDescent="0.35">
      <c r="A3" s="179"/>
      <c r="B3" s="180" t="s">
        <v>142</v>
      </c>
      <c r="C3" s="181">
        <f>SUBTOTAL(9,C6:C1048576)</f>
        <v>2024</v>
      </c>
      <c r="D3" s="182">
        <f>SUBTOTAL(9,D6:D1048576)</f>
        <v>2009</v>
      </c>
      <c r="E3" s="182">
        <f>SUBTOTAL(9,E6:E1048576)</f>
        <v>2093</v>
      </c>
      <c r="F3" s="183">
        <f>IF(OR(E3=0,C3=0),"",E3/C3)</f>
        <v>1.0340909090909092</v>
      </c>
      <c r="G3" s="431">
        <f>SUBTOTAL(9,G6:G1048576)</f>
        <v>21743.896500000003</v>
      </c>
      <c r="H3" s="432">
        <f>SUBTOTAL(9,H6:H1048576)</f>
        <v>22482.879299999997</v>
      </c>
      <c r="I3" s="432">
        <f>SUBTOTAL(9,I6:I1048576)</f>
        <v>22801.125999999997</v>
      </c>
      <c r="J3" s="183">
        <f>IF(OR(I3=0,G3=0),"",I3/G3)</f>
        <v>1.048621897183883</v>
      </c>
      <c r="K3" s="431">
        <f>SUBTOTAL(9,K6:K1048576)</f>
        <v>4481</v>
      </c>
      <c r="L3" s="432">
        <f>SUBTOTAL(9,L6:L1048576)</f>
        <v>4795.5</v>
      </c>
      <c r="M3" s="432">
        <f>SUBTOTAL(9,M6:M1048576)</f>
        <v>4623.5</v>
      </c>
      <c r="N3" s="184">
        <f>IF(OR(M3=0,E3=0),"",M3/E3)</f>
        <v>2.2090301003344481</v>
      </c>
    </row>
    <row r="4" spans="1:14" ht="14.4" customHeight="1" x14ac:dyDescent="0.3">
      <c r="A4" s="562" t="s">
        <v>77</v>
      </c>
      <c r="B4" s="563" t="s">
        <v>11</v>
      </c>
      <c r="C4" s="564" t="s">
        <v>78</v>
      </c>
      <c r="D4" s="564"/>
      <c r="E4" s="564"/>
      <c r="F4" s="565"/>
      <c r="G4" s="566" t="s">
        <v>14</v>
      </c>
      <c r="H4" s="564"/>
      <c r="I4" s="564"/>
      <c r="J4" s="565"/>
      <c r="K4" s="566" t="s">
        <v>79</v>
      </c>
      <c r="L4" s="564"/>
      <c r="M4" s="564"/>
      <c r="N4" s="567"/>
    </row>
    <row r="5" spans="1:14" ht="14.4" customHeight="1" thickBot="1" x14ac:dyDescent="0.35">
      <c r="A5" s="806"/>
      <c r="B5" s="807"/>
      <c r="C5" s="814">
        <v>2014</v>
      </c>
      <c r="D5" s="814">
        <v>2015</v>
      </c>
      <c r="E5" s="814">
        <v>2016</v>
      </c>
      <c r="F5" s="815" t="s">
        <v>2</v>
      </c>
      <c r="G5" s="825">
        <v>2014</v>
      </c>
      <c r="H5" s="814">
        <v>2015</v>
      </c>
      <c r="I5" s="814">
        <v>2016</v>
      </c>
      <c r="J5" s="815" t="s">
        <v>2</v>
      </c>
      <c r="K5" s="825">
        <v>2014</v>
      </c>
      <c r="L5" s="814">
        <v>2015</v>
      </c>
      <c r="M5" s="814">
        <v>2016</v>
      </c>
      <c r="N5" s="826" t="s">
        <v>80</v>
      </c>
    </row>
    <row r="6" spans="1:14" ht="14.4" customHeight="1" x14ac:dyDescent="0.3">
      <c r="A6" s="808" t="s">
        <v>3749</v>
      </c>
      <c r="B6" s="811" t="s">
        <v>4745</v>
      </c>
      <c r="C6" s="816">
        <v>3</v>
      </c>
      <c r="D6" s="817">
        <v>3</v>
      </c>
      <c r="E6" s="817">
        <v>2</v>
      </c>
      <c r="F6" s="822">
        <v>0.66666666666666663</v>
      </c>
      <c r="G6" s="816">
        <v>86.308200000000014</v>
      </c>
      <c r="H6" s="817">
        <v>86.308200000000014</v>
      </c>
      <c r="I6" s="817">
        <v>57.538800000000002</v>
      </c>
      <c r="J6" s="822">
        <v>0.66666666666666663</v>
      </c>
      <c r="K6" s="816">
        <v>33</v>
      </c>
      <c r="L6" s="817">
        <v>33</v>
      </c>
      <c r="M6" s="817">
        <v>22</v>
      </c>
      <c r="N6" s="827">
        <v>11000</v>
      </c>
    </row>
    <row r="7" spans="1:14" ht="14.4" customHeight="1" x14ac:dyDescent="0.3">
      <c r="A7" s="809" t="s">
        <v>3786</v>
      </c>
      <c r="B7" s="812" t="s">
        <v>4745</v>
      </c>
      <c r="C7" s="818">
        <v>34</v>
      </c>
      <c r="D7" s="819">
        <v>65</v>
      </c>
      <c r="E7" s="819">
        <v>41</v>
      </c>
      <c r="F7" s="823">
        <v>1.2058823529411764</v>
      </c>
      <c r="G7" s="818">
        <v>855.75960000000009</v>
      </c>
      <c r="H7" s="819">
        <v>1636.011</v>
      </c>
      <c r="I7" s="819">
        <v>1031.9454000000001</v>
      </c>
      <c r="J7" s="823">
        <v>1.2058823529411764</v>
      </c>
      <c r="K7" s="818">
        <v>306</v>
      </c>
      <c r="L7" s="819">
        <v>585</v>
      </c>
      <c r="M7" s="819">
        <v>369</v>
      </c>
      <c r="N7" s="828">
        <v>9000</v>
      </c>
    </row>
    <row r="8" spans="1:14" ht="14.4" customHeight="1" x14ac:dyDescent="0.3">
      <c r="A8" s="809" t="s">
        <v>3781</v>
      </c>
      <c r="B8" s="812" t="s">
        <v>4745</v>
      </c>
      <c r="C8" s="818">
        <v>104</v>
      </c>
      <c r="D8" s="819">
        <v>115</v>
      </c>
      <c r="E8" s="819">
        <v>71</v>
      </c>
      <c r="F8" s="823">
        <v>0.68269230769230771</v>
      </c>
      <c r="G8" s="818">
        <v>2243.2175999999999</v>
      </c>
      <c r="H8" s="819">
        <v>2480.4810000000002</v>
      </c>
      <c r="I8" s="819">
        <v>1531.4273999999998</v>
      </c>
      <c r="J8" s="823">
        <v>0.6826923076923076</v>
      </c>
      <c r="K8" s="818">
        <v>728</v>
      </c>
      <c r="L8" s="819">
        <v>805</v>
      </c>
      <c r="M8" s="819">
        <v>497</v>
      </c>
      <c r="N8" s="828">
        <v>7000</v>
      </c>
    </row>
    <row r="9" spans="1:14" ht="14.4" customHeight="1" x14ac:dyDescent="0.3">
      <c r="A9" s="809" t="s">
        <v>3751</v>
      </c>
      <c r="B9" s="812" t="s">
        <v>4745</v>
      </c>
      <c r="C9" s="818">
        <v>1551</v>
      </c>
      <c r="D9" s="819">
        <v>1563</v>
      </c>
      <c r="E9" s="819">
        <v>1769</v>
      </c>
      <c r="F9" s="823">
        <v>1.140554480980013</v>
      </c>
      <c r="G9" s="818">
        <v>16607.022300000004</v>
      </c>
      <c r="H9" s="819">
        <v>16735.509899999997</v>
      </c>
      <c r="I9" s="819">
        <v>18944.782799999997</v>
      </c>
      <c r="J9" s="823">
        <v>1.1407693960885446</v>
      </c>
      <c r="K9" s="818">
        <v>3102</v>
      </c>
      <c r="L9" s="819">
        <v>3126</v>
      </c>
      <c r="M9" s="819">
        <v>3538</v>
      </c>
      <c r="N9" s="828">
        <v>2000</v>
      </c>
    </row>
    <row r="10" spans="1:14" ht="14.4" customHeight="1" x14ac:dyDescent="0.3">
      <c r="A10" s="809" t="s">
        <v>3783</v>
      </c>
      <c r="B10" s="812" t="s">
        <v>4745</v>
      </c>
      <c r="C10" s="818">
        <v>292</v>
      </c>
      <c r="D10" s="819">
        <v>230</v>
      </c>
      <c r="E10" s="819">
        <v>185</v>
      </c>
      <c r="F10" s="823">
        <v>0.63356164383561642</v>
      </c>
      <c r="G10" s="818">
        <v>1754.4527999999989</v>
      </c>
      <c r="H10" s="819">
        <v>1381.932</v>
      </c>
      <c r="I10" s="819">
        <v>1112.2216000000001</v>
      </c>
      <c r="J10" s="823">
        <v>0.63394216133942205</v>
      </c>
      <c r="K10" s="818">
        <v>292</v>
      </c>
      <c r="L10" s="819">
        <v>230</v>
      </c>
      <c r="M10" s="819">
        <v>185</v>
      </c>
      <c r="N10" s="828">
        <v>1000</v>
      </c>
    </row>
    <row r="11" spans="1:14" ht="14.4" customHeight="1" thickBot="1" x14ac:dyDescent="0.35">
      <c r="A11" s="810" t="s">
        <v>3777</v>
      </c>
      <c r="B11" s="813" t="s">
        <v>4745</v>
      </c>
      <c r="C11" s="820">
        <v>40</v>
      </c>
      <c r="D11" s="821">
        <v>33</v>
      </c>
      <c r="E11" s="821">
        <v>25</v>
      </c>
      <c r="F11" s="824">
        <v>0.625</v>
      </c>
      <c r="G11" s="820">
        <v>197.13599999999997</v>
      </c>
      <c r="H11" s="821">
        <v>162.63719999999998</v>
      </c>
      <c r="I11" s="821">
        <v>123.21</v>
      </c>
      <c r="J11" s="824">
        <v>0.62500000000000011</v>
      </c>
      <c r="K11" s="820">
        <v>20</v>
      </c>
      <c r="L11" s="821">
        <v>16.5</v>
      </c>
      <c r="M11" s="821">
        <v>12.5</v>
      </c>
      <c r="N11" s="829">
        <v>500</v>
      </c>
    </row>
  </sheetData>
  <autoFilter ref="A5:N5"/>
  <mergeCells count="6">
    <mergeCell ref="A1:N1"/>
    <mergeCell ref="A4:A5"/>
    <mergeCell ref="B4:B5"/>
    <mergeCell ref="C4:F4"/>
    <mergeCell ref="G4:J4"/>
    <mergeCell ref="K4:N4"/>
  </mergeCells>
  <conditionalFormatting sqref="F6:F65531 J6:J65531">
    <cfRule type="cellIs" dxfId="2" priority="6" stopIfTrue="1" operator="greaterThanOrEqual">
      <formula>1</formula>
    </cfRule>
  </conditionalFormatting>
  <conditionalFormatting sqref="F3">
    <cfRule type="cellIs" dxfId="1" priority="5" stopIfTrue="1" operator="greaterThanOrEqual">
      <formula>1</formula>
    </cfRule>
  </conditionalFormatting>
  <conditionalFormatting sqref="J3">
    <cfRule type="cellIs" dxfId="0" priority="4" stopIfTrue="1" operator="greaterThanOrEqual">
      <formula>1</formula>
    </cfRule>
  </conditionalFormatting>
  <conditionalFormatting sqref="E6:E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{F41FDF36-4DF6-49C1-AEE2-A4734489E57F}</x14:id>
        </ext>
      </extLst>
    </cfRule>
  </conditionalFormatting>
  <conditionalFormatting sqref="I6:I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{22F00197-2BD7-493E-BC02-3906F6130DA3}</x14:id>
        </ext>
      </extLst>
    </cfRule>
  </conditionalFormatting>
  <conditionalFormatting sqref="M6:M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{E60DB86E-BB07-4CC2-A6CD-752208150D74}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headerFooter alignWithMargins="0"/>
  <ignoredErrors>
    <ignoredError sqref="K3:M3 C3:E3 G3:I3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41FDF36-4DF6-49C1-AEE2-A4734489E57F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E6:E1048576</xm:sqref>
        </x14:conditionalFormatting>
        <x14:conditionalFormatting xmlns:xm="http://schemas.microsoft.com/office/excel/2006/main">
          <x14:cfRule type="dataBar" id="{22F00197-2BD7-493E-BC02-3906F6130DA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I6:I1048576</xm:sqref>
        </x14:conditionalFormatting>
        <x14:conditionalFormatting xmlns:xm="http://schemas.microsoft.com/office/excel/2006/main">
          <x14:cfRule type="dataBar" id="{E60DB86E-BB07-4CC2-A6CD-752208150D7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M6:M1048576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H23"/>
  <sheetViews>
    <sheetView showGridLines="0" showRowColHeaders="0" zoomScaleNormal="100" workbookViewId="0">
      <selection sqref="A1:H1"/>
    </sheetView>
  </sheetViews>
  <sheetFormatPr defaultRowHeight="14.4" customHeight="1" x14ac:dyDescent="0.3"/>
  <cols>
    <col min="1" max="1" width="34.21875" style="238" bestFit="1" customWidth="1"/>
    <col min="2" max="3" width="9.5546875" style="238" customWidth="1"/>
    <col min="4" max="4" width="2.21875" style="238" customWidth="1"/>
    <col min="5" max="8" width="9.5546875" style="238" customWidth="1"/>
    <col min="9" max="16384" width="8.88671875" style="238"/>
  </cols>
  <sheetData>
    <row r="1" spans="1:8" ht="18.600000000000001" customHeight="1" thickBot="1" x14ac:dyDescent="0.4">
      <c r="A1" s="454" t="s">
        <v>157</v>
      </c>
      <c r="B1" s="454"/>
      <c r="C1" s="454"/>
      <c r="D1" s="454"/>
      <c r="E1" s="454"/>
      <c r="F1" s="454"/>
      <c r="G1" s="455"/>
      <c r="H1" s="455"/>
    </row>
    <row r="2" spans="1:8" ht="14.4" customHeight="1" thickBot="1" x14ac:dyDescent="0.35">
      <c r="A2" s="360" t="s">
        <v>280</v>
      </c>
      <c r="B2" s="208"/>
      <c r="C2" s="208"/>
      <c r="D2" s="208"/>
      <c r="E2" s="208"/>
      <c r="F2" s="208"/>
    </row>
    <row r="3" spans="1:8" ht="14.4" customHeight="1" x14ac:dyDescent="0.3">
      <c r="A3" s="456"/>
      <c r="B3" s="204">
        <v>2014</v>
      </c>
      <c r="C3" s="44">
        <v>2015</v>
      </c>
      <c r="D3" s="11"/>
      <c r="E3" s="460">
        <v>2016</v>
      </c>
      <c r="F3" s="461"/>
      <c r="G3" s="461"/>
      <c r="H3" s="462"/>
    </row>
    <row r="4" spans="1:8" ht="14.4" customHeight="1" thickBot="1" x14ac:dyDescent="0.35">
      <c r="A4" s="457"/>
      <c r="B4" s="458" t="s">
        <v>81</v>
      </c>
      <c r="C4" s="459"/>
      <c r="D4" s="11"/>
      <c r="E4" s="225" t="s">
        <v>81</v>
      </c>
      <c r="F4" s="206" t="s">
        <v>82</v>
      </c>
      <c r="G4" s="206" t="s">
        <v>56</v>
      </c>
      <c r="H4" s="207" t="s">
        <v>83</v>
      </c>
    </row>
    <row r="5" spans="1:8" ht="14.4" customHeight="1" x14ac:dyDescent="0.3">
      <c r="A5" s="209" t="str">
        <f>HYPERLINK("#'Léky Žádanky'!A1","Léky (Kč)")</f>
        <v>Léky (Kč)</v>
      </c>
      <c r="B5" s="31">
        <v>4298.7093400000022</v>
      </c>
      <c r="C5" s="33">
        <v>5278.8511900000021</v>
      </c>
      <c r="D5" s="12"/>
      <c r="E5" s="214">
        <v>5934.8068600000024</v>
      </c>
      <c r="F5" s="32">
        <v>5483.502005612645</v>
      </c>
      <c r="G5" s="213">
        <f>E5-F5</f>
        <v>451.30485438735741</v>
      </c>
      <c r="H5" s="219">
        <f>IF(F5&lt;0.00000001,"",E5/F5)</f>
        <v>1.0823023049732496</v>
      </c>
    </row>
    <row r="6" spans="1:8" ht="14.4" customHeight="1" x14ac:dyDescent="0.3">
      <c r="A6" s="209" t="str">
        <f>HYPERLINK("#'Materiál Žádanky'!A1","Materiál - SZM (Kč)")</f>
        <v>Materiál - SZM (Kč)</v>
      </c>
      <c r="B6" s="14">
        <v>1695.146850000001</v>
      </c>
      <c r="C6" s="35">
        <v>2158.4341400000012</v>
      </c>
      <c r="D6" s="12"/>
      <c r="E6" s="215">
        <v>2224.3153900000011</v>
      </c>
      <c r="F6" s="34">
        <v>2280.8335392457939</v>
      </c>
      <c r="G6" s="216">
        <f>E6-F6</f>
        <v>-56.518149245792756</v>
      </c>
      <c r="H6" s="220">
        <f>IF(F6&lt;0.00000001,"",E6/F6)</f>
        <v>0.97522039716038122</v>
      </c>
    </row>
    <row r="7" spans="1:8" ht="14.4" customHeight="1" x14ac:dyDescent="0.3">
      <c r="A7" s="209" t="str">
        <f>HYPERLINK("#'Osobní náklady'!A1","Osobní náklady (Kč) *")</f>
        <v>Osobní náklady (Kč) *</v>
      </c>
      <c r="B7" s="14">
        <v>18943.73492000001</v>
      </c>
      <c r="C7" s="35">
        <v>20267.430610000007</v>
      </c>
      <c r="D7" s="12"/>
      <c r="E7" s="215">
        <v>24185.272260000009</v>
      </c>
      <c r="F7" s="34">
        <v>22720.473864561838</v>
      </c>
      <c r="G7" s="216">
        <f>E7-F7</f>
        <v>1464.7983954381707</v>
      </c>
      <c r="H7" s="220">
        <f>IF(F7&lt;0.00000001,"",E7/F7)</f>
        <v>1.0644704157215172</v>
      </c>
    </row>
    <row r="8" spans="1:8" ht="14.4" customHeight="1" thickBot="1" x14ac:dyDescent="0.35">
      <c r="A8" s="1" t="s">
        <v>84</v>
      </c>
      <c r="B8" s="15">
        <v>4410.8519700000024</v>
      </c>
      <c r="C8" s="37">
        <v>4715.5168800000019</v>
      </c>
      <c r="D8" s="12"/>
      <c r="E8" s="217">
        <v>4901.9815200000012</v>
      </c>
      <c r="F8" s="36">
        <v>5274.4411413983889</v>
      </c>
      <c r="G8" s="218">
        <f>E8-F8</f>
        <v>-372.45962139838775</v>
      </c>
      <c r="H8" s="221">
        <f>IF(F8&lt;0.00000001,"",E8/F8)</f>
        <v>0.929384059578369</v>
      </c>
    </row>
    <row r="9" spans="1:8" ht="14.4" customHeight="1" thickBot="1" x14ac:dyDescent="0.35">
      <c r="A9" s="2" t="s">
        <v>85</v>
      </c>
      <c r="B9" s="3">
        <v>29348.443080000015</v>
      </c>
      <c r="C9" s="39">
        <v>32420.232820000012</v>
      </c>
      <c r="D9" s="12"/>
      <c r="E9" s="3">
        <v>37246.376030000014</v>
      </c>
      <c r="F9" s="38">
        <v>35759.250550818666</v>
      </c>
      <c r="G9" s="38">
        <f>E9-F9</f>
        <v>1487.1254791813481</v>
      </c>
      <c r="H9" s="222">
        <f>IF(F9&lt;0.00000001,"",E9/F9)</f>
        <v>1.0415871545481061</v>
      </c>
    </row>
    <row r="10" spans="1:8" ht="14.4" customHeight="1" thickBot="1" x14ac:dyDescent="0.35">
      <c r="A10" s="16"/>
      <c r="B10" s="16"/>
      <c r="C10" s="205"/>
      <c r="D10" s="12"/>
      <c r="E10" s="16"/>
      <c r="F10" s="17"/>
    </row>
    <row r="11" spans="1:8" ht="14.4" customHeight="1" x14ac:dyDescent="0.3">
      <c r="A11" s="241" t="str">
        <f>HYPERLINK("#'ZV Vykáz.-A'!A1","Ambulance *")</f>
        <v>Ambulance *</v>
      </c>
      <c r="B11" s="13">
        <f>IF(ISERROR(VLOOKUP("Celkem:",#REF!,2,0)),0,VLOOKUP("Celkem:",#REF!,2,0)/1000)</f>
        <v>0</v>
      </c>
      <c r="C11" s="33">
        <f>IF(ISERROR(VLOOKUP("Celkem:",#REF!,4,0)),0,VLOOKUP("Celkem:",#REF!,4,0)/1000)</f>
        <v>0</v>
      </c>
      <c r="D11" s="12"/>
      <c r="E11" s="214">
        <f>IF(ISERROR(VLOOKUP("Celkem:",#REF!,6,0)),0,VLOOKUP("Celkem:",#REF!,6,0)/1000)</f>
        <v>0</v>
      </c>
      <c r="F11" s="32">
        <f>B11</f>
        <v>0</v>
      </c>
      <c r="G11" s="213">
        <f>E11-F11</f>
        <v>0</v>
      </c>
      <c r="H11" s="219" t="str">
        <f>IF(F11&lt;0.00000001,"",E11/F11)</f>
        <v/>
      </c>
    </row>
    <row r="12" spans="1:8" ht="14.4" customHeight="1" thickBot="1" x14ac:dyDescent="0.35">
      <c r="A12" s="242" t="str">
        <f>HYPERLINK("#CaseMix!A1","Hospitalizace *")</f>
        <v>Hospitalizace *</v>
      </c>
      <c r="B12" s="15">
        <f>IF(ISERROR(VLOOKUP("Celkem",CaseMix!A:D,2,0)),0,VLOOKUP("Celkem",CaseMix!A:D,2,0)*30)</f>
        <v>13044.42</v>
      </c>
      <c r="C12" s="37">
        <f>IF(ISERROR(VLOOKUP("Celkem",CaseMix!A:D,3,0)),0,VLOOKUP("Celkem",CaseMix!A:D,3,0)*30)</f>
        <v>7391.67</v>
      </c>
      <c r="D12" s="12"/>
      <c r="E12" s="217">
        <f>IF(ISERROR(VLOOKUP("Celkem",CaseMix!A:D,4,0)),0,VLOOKUP("Celkem",CaseMix!A:D,4,0)*30)</f>
        <v>8768.3399999999983</v>
      </c>
      <c r="F12" s="36">
        <f>B12</f>
        <v>13044.42</v>
      </c>
      <c r="G12" s="218">
        <f>E12-F12</f>
        <v>-4276.0800000000017</v>
      </c>
      <c r="H12" s="221">
        <f>IF(F12&lt;0.00000001,"",E12/F12)</f>
        <v>0.67219086781934334</v>
      </c>
    </row>
    <row r="13" spans="1:8" ht="14.4" customHeight="1" thickBot="1" x14ac:dyDescent="0.35">
      <c r="A13" s="4" t="s">
        <v>88</v>
      </c>
      <c r="B13" s="9">
        <f>SUM(B11:B12)</f>
        <v>13044.42</v>
      </c>
      <c r="C13" s="41">
        <f>SUM(C11:C12)</f>
        <v>7391.67</v>
      </c>
      <c r="D13" s="12"/>
      <c r="E13" s="9">
        <f>SUM(E11:E12)</f>
        <v>8768.3399999999983</v>
      </c>
      <c r="F13" s="40">
        <f>SUM(F11:F12)</f>
        <v>13044.42</v>
      </c>
      <c r="G13" s="40">
        <f>E13-F13</f>
        <v>-4276.0800000000017</v>
      </c>
      <c r="H13" s="223">
        <f>IF(F13&lt;0.00000001,"",E13/F13)</f>
        <v>0.67219086781934334</v>
      </c>
    </row>
    <row r="14" spans="1:8" ht="14.4" customHeight="1" thickBot="1" x14ac:dyDescent="0.35">
      <c r="A14" s="16"/>
      <c r="B14" s="16"/>
      <c r="C14" s="205"/>
      <c r="D14" s="12"/>
      <c r="E14" s="16"/>
      <c r="F14" s="17"/>
    </row>
    <row r="15" spans="1:8" ht="14.4" customHeight="1" thickBot="1" x14ac:dyDescent="0.35">
      <c r="A15" s="243" t="str">
        <f>HYPERLINK("#'HI Graf'!A1","Hospodářský index (Výnosy / Náklady) *")</f>
        <v>Hospodářský index (Výnosy / Náklady) *</v>
      </c>
      <c r="B15" s="10">
        <f>IF(B9=0,"",B13/B9)</f>
        <v>0.44446718909219879</v>
      </c>
      <c r="C15" s="43">
        <f>IF(C9=0,"",C13/C9)</f>
        <v>0.22799558661528443</v>
      </c>
      <c r="D15" s="12"/>
      <c r="E15" s="10">
        <f>IF(E9=0,"",E13/E9)</f>
        <v>0.23541458081552841</v>
      </c>
      <c r="F15" s="42">
        <f>IF(F9=0,"",F13/F9)</f>
        <v>0.3647844907001655</v>
      </c>
      <c r="G15" s="42">
        <f>IF(ISERROR(F15-E15),"",E15-F15)</f>
        <v>-0.12936990988463709</v>
      </c>
      <c r="H15" s="224">
        <f>IF(ISERROR(F15-E15),"",IF(F15&lt;0.00000001,"",E15/F15))</f>
        <v>0.64535249391681881</v>
      </c>
    </row>
    <row r="17" spans="1:8" ht="14.4" customHeight="1" x14ac:dyDescent="0.3">
      <c r="A17" s="210" t="s">
        <v>177</v>
      </c>
    </row>
    <row r="18" spans="1:8" ht="14.4" customHeight="1" x14ac:dyDescent="0.3">
      <c r="A18" s="415" t="s">
        <v>215</v>
      </c>
      <c r="B18" s="416"/>
      <c r="C18" s="416"/>
      <c r="D18" s="416"/>
      <c r="E18" s="416"/>
      <c r="F18" s="416"/>
      <c r="G18" s="416"/>
      <c r="H18" s="416"/>
    </row>
    <row r="19" spans="1:8" x14ac:dyDescent="0.3">
      <c r="A19" s="414" t="s">
        <v>214</v>
      </c>
      <c r="B19" s="416"/>
      <c r="C19" s="416"/>
      <c r="D19" s="416"/>
      <c r="E19" s="416"/>
      <c r="F19" s="416"/>
      <c r="G19" s="416"/>
      <c r="H19" s="416"/>
    </row>
    <row r="20" spans="1:8" ht="14.4" customHeight="1" x14ac:dyDescent="0.3">
      <c r="A20" s="211" t="s">
        <v>243</v>
      </c>
    </row>
    <row r="21" spans="1:8" ht="14.4" customHeight="1" x14ac:dyDescent="0.3">
      <c r="A21" s="211" t="s">
        <v>178</v>
      </c>
    </row>
    <row r="22" spans="1:8" ht="14.4" customHeight="1" x14ac:dyDescent="0.3">
      <c r="A22" s="212" t="s">
        <v>279</v>
      </c>
    </row>
    <row r="23" spans="1:8" ht="14.4" customHeight="1" x14ac:dyDescent="0.3">
      <c r="A23" s="212" t="s">
        <v>179</v>
      </c>
    </row>
  </sheetData>
  <mergeCells count="4">
    <mergeCell ref="A3:A4"/>
    <mergeCell ref="B4:C4"/>
    <mergeCell ref="E3:H3"/>
    <mergeCell ref="A1:H1"/>
  </mergeCells>
  <conditionalFormatting sqref="F11:F12">
    <cfRule type="dataBar" priority="5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6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64" priority="4" operator="greaterThan">
      <formula>0</formula>
    </cfRule>
  </conditionalFormatting>
  <conditionalFormatting sqref="G11:G13 G15">
    <cfRule type="cellIs" dxfId="63" priority="3" operator="lessThan">
      <formula>0</formula>
    </cfRule>
  </conditionalFormatting>
  <conditionalFormatting sqref="H5:H9">
    <cfRule type="cellIs" dxfId="62" priority="2" operator="greaterThan">
      <formula>1</formula>
    </cfRule>
  </conditionalFormatting>
  <conditionalFormatting sqref="H11:H13 H15">
    <cfRule type="cellIs" dxfId="61" priority="1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238"/>
    <col min="2" max="13" width="8.88671875" style="238" customWidth="1"/>
    <col min="14" max="16384" width="8.88671875" style="238"/>
  </cols>
  <sheetData>
    <row r="1" spans="1:13" ht="18.600000000000001" customHeight="1" thickBot="1" x14ac:dyDescent="0.4">
      <c r="A1" s="454" t="s">
        <v>115</v>
      </c>
      <c r="B1" s="454"/>
      <c r="C1" s="454"/>
      <c r="D1" s="454"/>
      <c r="E1" s="454"/>
      <c r="F1" s="454"/>
      <c r="G1" s="454"/>
      <c r="H1" s="454"/>
      <c r="I1" s="454"/>
      <c r="J1" s="454"/>
      <c r="K1" s="454"/>
      <c r="L1" s="454"/>
      <c r="M1" s="454"/>
    </row>
    <row r="2" spans="1:13" ht="14.4" customHeight="1" x14ac:dyDescent="0.3">
      <c r="A2" s="360" t="s">
        <v>280</v>
      </c>
      <c r="B2" s="239"/>
      <c r="C2" s="239"/>
      <c r="D2" s="239"/>
      <c r="E2" s="239"/>
      <c r="F2" s="239"/>
      <c r="G2" s="239"/>
      <c r="H2" s="239"/>
      <c r="I2" s="239"/>
      <c r="J2" s="239"/>
      <c r="K2" s="239"/>
      <c r="L2" s="239"/>
      <c r="M2" s="239"/>
    </row>
    <row r="3" spans="1:13" ht="14.4" customHeight="1" x14ac:dyDescent="0.3">
      <c r="A3" s="309"/>
      <c r="B3" s="310" t="s">
        <v>90</v>
      </c>
      <c r="C3" s="311" t="s">
        <v>91</v>
      </c>
      <c r="D3" s="311" t="s">
        <v>92</v>
      </c>
      <c r="E3" s="310" t="s">
        <v>93</v>
      </c>
      <c r="F3" s="311" t="s">
        <v>94</v>
      </c>
      <c r="G3" s="311" t="s">
        <v>95</v>
      </c>
      <c r="H3" s="311" t="s">
        <v>96</v>
      </c>
      <c r="I3" s="311" t="s">
        <v>97</v>
      </c>
      <c r="J3" s="311" t="s">
        <v>98</v>
      </c>
      <c r="K3" s="311" t="s">
        <v>99</v>
      </c>
      <c r="L3" s="311" t="s">
        <v>100</v>
      </c>
      <c r="M3" s="311" t="s">
        <v>101</v>
      </c>
    </row>
    <row r="4" spans="1:13" ht="14.4" customHeight="1" x14ac:dyDescent="0.3">
      <c r="A4" s="309" t="s">
        <v>89</v>
      </c>
      <c r="B4" s="312">
        <f>(B10+B8)/B6</f>
        <v>0.16732439869434482</v>
      </c>
      <c r="C4" s="312">
        <f t="shared" ref="C4:M4" si="0">(C10+C8)/C6</f>
        <v>0.25621510317692148</v>
      </c>
      <c r="D4" s="312">
        <f t="shared" si="0"/>
        <v>0.28288359389691781</v>
      </c>
      <c r="E4" s="312">
        <f t="shared" si="0"/>
        <v>0.34897931109199559</v>
      </c>
      <c r="F4" s="312">
        <f t="shared" si="0"/>
        <v>0.29347701033066431</v>
      </c>
      <c r="G4" s="312">
        <f t="shared" si="0"/>
        <v>0.27060714855080398</v>
      </c>
      <c r="H4" s="312">
        <f t="shared" si="0"/>
        <v>0.23541458081552846</v>
      </c>
      <c r="I4" s="312">
        <f t="shared" si="0"/>
        <v>0</v>
      </c>
      <c r="J4" s="312">
        <f t="shared" si="0"/>
        <v>0</v>
      </c>
      <c r="K4" s="312">
        <f t="shared" si="0"/>
        <v>0</v>
      </c>
      <c r="L4" s="312">
        <f t="shared" si="0"/>
        <v>0</v>
      </c>
      <c r="M4" s="312">
        <f t="shared" si="0"/>
        <v>0</v>
      </c>
    </row>
    <row r="5" spans="1:13" ht="14.4" customHeight="1" x14ac:dyDescent="0.3">
      <c r="A5" s="313" t="s">
        <v>40</v>
      </c>
      <c r="B5" s="312">
        <f>IF(ISERROR(VLOOKUP($A5,'Man Tab'!$A:$Q,COLUMN()+2,0)),0,VLOOKUP($A5,'Man Tab'!$A:$Q,COLUMN()+2,0))</f>
        <v>4652.45957</v>
      </c>
      <c r="C5" s="312">
        <f>IF(ISERROR(VLOOKUP($A5,'Man Tab'!$A:$Q,COLUMN()+2,0)),0,VLOOKUP($A5,'Man Tab'!$A:$Q,COLUMN()+2,0))</f>
        <v>4888.1958000000004</v>
      </c>
      <c r="D5" s="312">
        <f>IF(ISERROR(VLOOKUP($A5,'Man Tab'!$A:$Q,COLUMN()+2,0)),0,VLOOKUP($A5,'Man Tab'!$A:$Q,COLUMN()+2,0))</f>
        <v>5132.4118900000003</v>
      </c>
      <c r="E5" s="312">
        <f>IF(ISERROR(VLOOKUP($A5,'Man Tab'!$A:$Q,COLUMN()+2,0)),0,VLOOKUP($A5,'Man Tab'!$A:$Q,COLUMN()+2,0))</f>
        <v>5471.9664899999998</v>
      </c>
      <c r="F5" s="312">
        <f>IF(ISERROR(VLOOKUP($A5,'Man Tab'!$A:$Q,COLUMN()+2,0)),0,VLOOKUP($A5,'Man Tab'!$A:$Q,COLUMN()+2,0))</f>
        <v>5818.2946599999996</v>
      </c>
      <c r="G5" s="312">
        <f>IF(ISERROR(VLOOKUP($A5,'Man Tab'!$A:$Q,COLUMN()+2,0)),0,VLOOKUP($A5,'Man Tab'!$A:$Q,COLUMN()+2,0))</f>
        <v>4881.3113000000103</v>
      </c>
      <c r="H5" s="312">
        <f>IF(ISERROR(VLOOKUP($A5,'Man Tab'!$A:$Q,COLUMN()+2,0)),0,VLOOKUP($A5,'Man Tab'!$A:$Q,COLUMN()+2,0))</f>
        <v>6401.73632</v>
      </c>
      <c r="I5" s="312">
        <f>IF(ISERROR(VLOOKUP($A5,'Man Tab'!$A:$Q,COLUMN()+2,0)),0,VLOOKUP($A5,'Man Tab'!$A:$Q,COLUMN()+2,0))</f>
        <v>0</v>
      </c>
      <c r="J5" s="312">
        <f>IF(ISERROR(VLOOKUP($A5,'Man Tab'!$A:$Q,COLUMN()+2,0)),0,VLOOKUP($A5,'Man Tab'!$A:$Q,COLUMN()+2,0))</f>
        <v>0</v>
      </c>
      <c r="K5" s="312">
        <f>IF(ISERROR(VLOOKUP($A5,'Man Tab'!$A:$Q,COLUMN()+2,0)),0,VLOOKUP($A5,'Man Tab'!$A:$Q,COLUMN()+2,0))</f>
        <v>0</v>
      </c>
      <c r="L5" s="312">
        <f>IF(ISERROR(VLOOKUP($A5,'Man Tab'!$A:$Q,COLUMN()+2,0)),0,VLOOKUP($A5,'Man Tab'!$A:$Q,COLUMN()+2,0))</f>
        <v>0</v>
      </c>
      <c r="M5" s="312">
        <f>IF(ISERROR(VLOOKUP($A5,'Man Tab'!$A:$Q,COLUMN()+2,0)),0,VLOOKUP($A5,'Man Tab'!$A:$Q,COLUMN()+2,0))</f>
        <v>0</v>
      </c>
    </row>
    <row r="6" spans="1:13" ht="14.4" customHeight="1" x14ac:dyDescent="0.3">
      <c r="A6" s="313" t="s">
        <v>85</v>
      </c>
      <c r="B6" s="314">
        <f>B5</f>
        <v>4652.45957</v>
      </c>
      <c r="C6" s="314">
        <f t="shared" ref="C6:M6" si="1">C5+B6</f>
        <v>9540.6553700000004</v>
      </c>
      <c r="D6" s="314">
        <f t="shared" si="1"/>
        <v>14673.06726</v>
      </c>
      <c r="E6" s="314">
        <f t="shared" si="1"/>
        <v>20145.033749999999</v>
      </c>
      <c r="F6" s="314">
        <f t="shared" si="1"/>
        <v>25963.328409999998</v>
      </c>
      <c r="G6" s="314">
        <f t="shared" si="1"/>
        <v>30844.63971000001</v>
      </c>
      <c r="H6" s="314">
        <f t="shared" si="1"/>
        <v>37246.376030000014</v>
      </c>
      <c r="I6" s="314">
        <f t="shared" si="1"/>
        <v>37246.376030000014</v>
      </c>
      <c r="J6" s="314">
        <f t="shared" si="1"/>
        <v>37246.376030000014</v>
      </c>
      <c r="K6" s="314">
        <f t="shared" si="1"/>
        <v>37246.376030000014</v>
      </c>
      <c r="L6" s="314">
        <f t="shared" si="1"/>
        <v>37246.376030000014</v>
      </c>
      <c r="M6" s="314">
        <f t="shared" si="1"/>
        <v>37246.376030000014</v>
      </c>
    </row>
    <row r="7" spans="1:13" ht="14.4" customHeight="1" x14ac:dyDescent="0.3">
      <c r="A7" s="313" t="s">
        <v>113</v>
      </c>
      <c r="B7" s="313">
        <v>25.949000000000002</v>
      </c>
      <c r="C7" s="313">
        <v>81.481999999999999</v>
      </c>
      <c r="D7" s="313">
        <v>138.35900000000001</v>
      </c>
      <c r="E7" s="313">
        <v>234.34</v>
      </c>
      <c r="F7" s="313">
        <v>253.988</v>
      </c>
      <c r="G7" s="313">
        <v>278.226</v>
      </c>
      <c r="H7" s="313">
        <v>292.27800000000002</v>
      </c>
      <c r="I7" s="313"/>
      <c r="J7" s="313"/>
      <c r="K7" s="313"/>
      <c r="L7" s="313"/>
      <c r="M7" s="313"/>
    </row>
    <row r="8" spans="1:13" ht="14.4" customHeight="1" x14ac:dyDescent="0.3">
      <c r="A8" s="313" t="s">
        <v>86</v>
      </c>
      <c r="B8" s="314">
        <f>B7*30</f>
        <v>778.47</v>
      </c>
      <c r="C8" s="314">
        <f t="shared" ref="C8:M8" si="2">C7*30</f>
        <v>2444.46</v>
      </c>
      <c r="D8" s="314">
        <f t="shared" si="2"/>
        <v>4150.7700000000004</v>
      </c>
      <c r="E8" s="314">
        <f t="shared" si="2"/>
        <v>7030.2</v>
      </c>
      <c r="F8" s="314">
        <f t="shared" si="2"/>
        <v>7619.64</v>
      </c>
      <c r="G8" s="314">
        <f t="shared" si="2"/>
        <v>8346.7800000000007</v>
      </c>
      <c r="H8" s="314">
        <f t="shared" si="2"/>
        <v>8768.34</v>
      </c>
      <c r="I8" s="314">
        <f t="shared" si="2"/>
        <v>0</v>
      </c>
      <c r="J8" s="314">
        <f t="shared" si="2"/>
        <v>0</v>
      </c>
      <c r="K8" s="314">
        <f t="shared" si="2"/>
        <v>0</v>
      </c>
      <c r="L8" s="314">
        <f t="shared" si="2"/>
        <v>0</v>
      </c>
      <c r="M8" s="314">
        <f t="shared" si="2"/>
        <v>0</v>
      </c>
    </row>
    <row r="9" spans="1:13" ht="14.4" customHeight="1" x14ac:dyDescent="0.3">
      <c r="A9" s="313" t="s">
        <v>114</v>
      </c>
      <c r="B9" s="313">
        <v>0</v>
      </c>
      <c r="C9" s="313">
        <v>0</v>
      </c>
      <c r="D9" s="313">
        <v>0</v>
      </c>
      <c r="E9" s="313">
        <v>0</v>
      </c>
      <c r="F9" s="313">
        <v>0</v>
      </c>
      <c r="G9" s="313">
        <v>0</v>
      </c>
      <c r="H9" s="313">
        <v>0</v>
      </c>
      <c r="I9" s="313">
        <v>0</v>
      </c>
      <c r="J9" s="313">
        <v>0</v>
      </c>
      <c r="K9" s="313">
        <v>0</v>
      </c>
      <c r="L9" s="313">
        <v>0</v>
      </c>
      <c r="M9" s="313">
        <v>0</v>
      </c>
    </row>
    <row r="10" spans="1:13" ht="14.4" customHeight="1" x14ac:dyDescent="0.3">
      <c r="A10" s="313" t="s">
        <v>87</v>
      </c>
      <c r="B10" s="314">
        <f>B9/1000</f>
        <v>0</v>
      </c>
      <c r="C10" s="314">
        <f t="shared" ref="C10:M10" si="3">C9/1000+B10</f>
        <v>0</v>
      </c>
      <c r="D10" s="314">
        <f t="shared" si="3"/>
        <v>0</v>
      </c>
      <c r="E10" s="314">
        <f t="shared" si="3"/>
        <v>0</v>
      </c>
      <c r="F10" s="314">
        <f t="shared" si="3"/>
        <v>0</v>
      </c>
      <c r="G10" s="314">
        <f t="shared" si="3"/>
        <v>0</v>
      </c>
      <c r="H10" s="314">
        <f t="shared" si="3"/>
        <v>0</v>
      </c>
      <c r="I10" s="314">
        <f t="shared" si="3"/>
        <v>0</v>
      </c>
      <c r="J10" s="314">
        <f t="shared" si="3"/>
        <v>0</v>
      </c>
      <c r="K10" s="314">
        <f t="shared" si="3"/>
        <v>0</v>
      </c>
      <c r="L10" s="314">
        <f t="shared" si="3"/>
        <v>0</v>
      </c>
      <c r="M10" s="314">
        <f t="shared" si="3"/>
        <v>0</v>
      </c>
    </row>
    <row r="11" spans="1:13" ht="14.4" customHeight="1" x14ac:dyDescent="0.3">
      <c r="A11" s="309"/>
      <c r="B11" s="309" t="s">
        <v>103</v>
      </c>
      <c r="C11" s="309">
        <f ca="1">IF(MONTH(TODAY())=1,12,MONTH(TODAY())-1)</f>
        <v>7</v>
      </c>
      <c r="D11" s="309"/>
      <c r="E11" s="309"/>
      <c r="F11" s="309"/>
      <c r="G11" s="309"/>
      <c r="H11" s="309"/>
      <c r="I11" s="309"/>
      <c r="J11" s="309"/>
      <c r="K11" s="309"/>
      <c r="L11" s="309"/>
      <c r="M11" s="309"/>
    </row>
    <row r="12" spans="1:13" ht="14.4" customHeight="1" x14ac:dyDescent="0.3">
      <c r="A12" s="309">
        <v>0</v>
      </c>
      <c r="B12" s="312">
        <f>IF(ISERROR(HI!F15),#REF!,HI!F15)</f>
        <v>0.3647844907001655</v>
      </c>
      <c r="C12" s="309"/>
      <c r="D12" s="309"/>
      <c r="E12" s="309"/>
      <c r="F12" s="309"/>
      <c r="G12" s="309"/>
      <c r="H12" s="309"/>
      <c r="I12" s="309"/>
      <c r="J12" s="309"/>
      <c r="K12" s="309"/>
      <c r="L12" s="309"/>
      <c r="M12" s="309"/>
    </row>
    <row r="13" spans="1:13" ht="14.4" customHeight="1" x14ac:dyDescent="0.3">
      <c r="A13" s="309">
        <v>1</v>
      </c>
      <c r="B13" s="312">
        <f>IF(ISERROR(HI!F15),#REF!,HI!F15)</f>
        <v>0.3647844907001655</v>
      </c>
      <c r="C13" s="309"/>
      <c r="D13" s="309"/>
      <c r="E13" s="309"/>
      <c r="F13" s="309"/>
      <c r="G13" s="309"/>
      <c r="H13" s="309"/>
      <c r="I13" s="309"/>
      <c r="J13" s="309"/>
      <c r="K13" s="309"/>
      <c r="L13" s="309"/>
      <c r="M13" s="309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238" bestFit="1" customWidth="1"/>
    <col min="2" max="2" width="12.77734375" style="238" bestFit="1" customWidth="1"/>
    <col min="3" max="3" width="13.6640625" style="238" bestFit="1" customWidth="1"/>
    <col min="4" max="15" width="7.77734375" style="238" bestFit="1" customWidth="1"/>
    <col min="16" max="16" width="8.88671875" style="238" customWidth="1"/>
    <col min="17" max="17" width="6.6640625" style="238" bestFit="1" customWidth="1"/>
    <col min="18" max="16384" width="8.88671875" style="238"/>
  </cols>
  <sheetData>
    <row r="1" spans="1:17" s="315" customFormat="1" ht="18.600000000000001" customHeight="1" thickBot="1" x14ac:dyDescent="0.4">
      <c r="A1" s="463" t="s">
        <v>282</v>
      </c>
      <c r="B1" s="463"/>
      <c r="C1" s="463"/>
      <c r="D1" s="463"/>
      <c r="E1" s="463"/>
      <c r="F1" s="463"/>
      <c r="G1" s="463"/>
      <c r="H1" s="454"/>
      <c r="I1" s="454"/>
      <c r="J1" s="454"/>
      <c r="K1" s="454"/>
      <c r="L1" s="454"/>
      <c r="M1" s="454"/>
      <c r="N1" s="454"/>
      <c r="O1" s="454"/>
      <c r="P1" s="454"/>
      <c r="Q1" s="454"/>
    </row>
    <row r="2" spans="1:17" s="315" customFormat="1" ht="14.4" customHeight="1" thickBot="1" x14ac:dyDescent="0.3">
      <c r="A2" s="360" t="s">
        <v>280</v>
      </c>
      <c r="B2" s="316"/>
      <c r="C2" s="316"/>
      <c r="D2" s="316"/>
      <c r="E2" s="316"/>
      <c r="F2" s="316"/>
      <c r="G2" s="316"/>
      <c r="H2" s="316"/>
      <c r="I2" s="316"/>
      <c r="J2" s="316"/>
      <c r="K2" s="316"/>
      <c r="L2" s="316"/>
      <c r="M2" s="316"/>
      <c r="N2" s="316"/>
      <c r="O2" s="316"/>
      <c r="P2" s="316"/>
      <c r="Q2" s="316"/>
    </row>
    <row r="3" spans="1:17" ht="14.4" customHeight="1" x14ac:dyDescent="0.3">
      <c r="A3" s="92"/>
      <c r="B3" s="464" t="s">
        <v>16</v>
      </c>
      <c r="C3" s="465"/>
      <c r="D3" s="465"/>
      <c r="E3" s="465"/>
      <c r="F3" s="465"/>
      <c r="G3" s="465"/>
      <c r="H3" s="465"/>
      <c r="I3" s="465"/>
      <c r="J3" s="465"/>
      <c r="K3" s="465"/>
      <c r="L3" s="465"/>
      <c r="M3" s="465"/>
      <c r="N3" s="465"/>
      <c r="O3" s="465"/>
      <c r="P3" s="247"/>
      <c r="Q3" s="249"/>
    </row>
    <row r="4" spans="1:17" ht="14.4" customHeight="1" x14ac:dyDescent="0.3">
      <c r="A4" s="93"/>
      <c r="B4" s="24">
        <v>2016</v>
      </c>
      <c r="C4" s="248" t="s">
        <v>17</v>
      </c>
      <c r="D4" s="226" t="s">
        <v>255</v>
      </c>
      <c r="E4" s="226" t="s">
        <v>256</v>
      </c>
      <c r="F4" s="226" t="s">
        <v>257</v>
      </c>
      <c r="G4" s="226" t="s">
        <v>258</v>
      </c>
      <c r="H4" s="226" t="s">
        <v>259</v>
      </c>
      <c r="I4" s="226" t="s">
        <v>260</v>
      </c>
      <c r="J4" s="226" t="s">
        <v>261</v>
      </c>
      <c r="K4" s="226" t="s">
        <v>262</v>
      </c>
      <c r="L4" s="226" t="s">
        <v>263</v>
      </c>
      <c r="M4" s="226" t="s">
        <v>264</v>
      </c>
      <c r="N4" s="226" t="s">
        <v>265</v>
      </c>
      <c r="O4" s="226" t="s">
        <v>266</v>
      </c>
      <c r="P4" s="466" t="s">
        <v>3</v>
      </c>
      <c r="Q4" s="467"/>
    </row>
    <row r="5" spans="1:17" ht="14.4" customHeight="1" thickBot="1" x14ac:dyDescent="0.35">
      <c r="A5" s="94"/>
      <c r="B5" s="25" t="s">
        <v>18</v>
      </c>
      <c r="C5" s="26" t="s">
        <v>18</v>
      </c>
      <c r="D5" s="26" t="s">
        <v>19</v>
      </c>
      <c r="E5" s="26" t="s">
        <v>19</v>
      </c>
      <c r="F5" s="26" t="s">
        <v>19</v>
      </c>
      <c r="G5" s="26" t="s">
        <v>19</v>
      </c>
      <c r="H5" s="26" t="s">
        <v>19</v>
      </c>
      <c r="I5" s="26" t="s">
        <v>19</v>
      </c>
      <c r="J5" s="26" t="s">
        <v>19</v>
      </c>
      <c r="K5" s="26" t="s">
        <v>19</v>
      </c>
      <c r="L5" s="26" t="s">
        <v>19</v>
      </c>
      <c r="M5" s="26" t="s">
        <v>19</v>
      </c>
      <c r="N5" s="26" t="s">
        <v>19</v>
      </c>
      <c r="O5" s="26" t="s">
        <v>19</v>
      </c>
      <c r="P5" s="26" t="s">
        <v>19</v>
      </c>
      <c r="Q5" s="27" t="s">
        <v>20</v>
      </c>
    </row>
    <row r="6" spans="1:17" ht="14.4" customHeight="1" x14ac:dyDescent="0.3">
      <c r="A6" s="18" t="s">
        <v>21</v>
      </c>
      <c r="B6" s="52">
        <v>0</v>
      </c>
      <c r="C6" s="53">
        <v>0</v>
      </c>
      <c r="D6" s="53">
        <v>0</v>
      </c>
      <c r="E6" s="53">
        <v>0</v>
      </c>
      <c r="F6" s="53">
        <v>0</v>
      </c>
      <c r="G6" s="53">
        <v>0</v>
      </c>
      <c r="H6" s="53">
        <v>0</v>
      </c>
      <c r="I6" s="53">
        <v>0</v>
      </c>
      <c r="J6" s="53">
        <v>0</v>
      </c>
      <c r="K6" s="53">
        <v>0</v>
      </c>
      <c r="L6" s="53">
        <v>0</v>
      </c>
      <c r="M6" s="53">
        <v>0</v>
      </c>
      <c r="N6" s="53">
        <v>0</v>
      </c>
      <c r="O6" s="53">
        <v>0</v>
      </c>
      <c r="P6" s="54">
        <v>0</v>
      </c>
      <c r="Q6" s="173" t="s">
        <v>281</v>
      </c>
    </row>
    <row r="7" spans="1:17" ht="14.4" customHeight="1" x14ac:dyDescent="0.3">
      <c r="A7" s="19" t="s">
        <v>22</v>
      </c>
      <c r="B7" s="55">
        <v>9400.2891524788192</v>
      </c>
      <c r="C7" s="56">
        <v>783.35742937323505</v>
      </c>
      <c r="D7" s="56">
        <v>423.79485</v>
      </c>
      <c r="E7" s="56">
        <v>676.10554000000002</v>
      </c>
      <c r="F7" s="56">
        <v>735.74391000000003</v>
      </c>
      <c r="G7" s="56">
        <v>783.91305999999997</v>
      </c>
      <c r="H7" s="56">
        <v>1050.84211</v>
      </c>
      <c r="I7" s="56">
        <v>985.626730000002</v>
      </c>
      <c r="J7" s="56">
        <v>1278.7806599999999</v>
      </c>
      <c r="K7" s="56">
        <v>0</v>
      </c>
      <c r="L7" s="56">
        <v>0</v>
      </c>
      <c r="M7" s="56">
        <v>0</v>
      </c>
      <c r="N7" s="56">
        <v>0</v>
      </c>
      <c r="O7" s="56">
        <v>0</v>
      </c>
      <c r="P7" s="57">
        <v>5934.8068599999997</v>
      </c>
      <c r="Q7" s="174">
        <v>1.0823023049730001</v>
      </c>
    </row>
    <row r="8" spans="1:17" ht="14.4" customHeight="1" x14ac:dyDescent="0.3">
      <c r="A8" s="19" t="s">
        <v>23</v>
      </c>
      <c r="B8" s="55">
        <v>4662.6962705982696</v>
      </c>
      <c r="C8" s="56">
        <v>388.55802254985599</v>
      </c>
      <c r="D8" s="56">
        <v>282.38900000000001</v>
      </c>
      <c r="E8" s="56">
        <v>306.43299999999999</v>
      </c>
      <c r="F8" s="56">
        <v>342.91699999999997</v>
      </c>
      <c r="G8" s="56">
        <v>529.26</v>
      </c>
      <c r="H8" s="56">
        <v>468.27300000000002</v>
      </c>
      <c r="I8" s="56">
        <v>0</v>
      </c>
      <c r="J8" s="56">
        <v>0</v>
      </c>
      <c r="K8" s="56">
        <v>0</v>
      </c>
      <c r="L8" s="56">
        <v>0</v>
      </c>
      <c r="M8" s="56">
        <v>0</v>
      </c>
      <c r="N8" s="56">
        <v>0</v>
      </c>
      <c r="O8" s="56">
        <v>0</v>
      </c>
      <c r="P8" s="57">
        <v>1929.2719999999999</v>
      </c>
      <c r="Q8" s="174">
        <v>0.70931564842100003</v>
      </c>
    </row>
    <row r="9" spans="1:17" ht="14.4" customHeight="1" x14ac:dyDescent="0.3">
      <c r="A9" s="19" t="s">
        <v>24</v>
      </c>
      <c r="B9" s="55">
        <v>3910.0003529927899</v>
      </c>
      <c r="C9" s="56">
        <v>325.83336274939899</v>
      </c>
      <c r="D9" s="56">
        <v>325.55860999999999</v>
      </c>
      <c r="E9" s="56">
        <v>296.60705999999999</v>
      </c>
      <c r="F9" s="56">
        <v>200.50013999999999</v>
      </c>
      <c r="G9" s="56">
        <v>386.34102999999999</v>
      </c>
      <c r="H9" s="56">
        <v>347.2568</v>
      </c>
      <c r="I9" s="56">
        <v>396.91764000000097</v>
      </c>
      <c r="J9" s="56">
        <v>271.13411000000002</v>
      </c>
      <c r="K9" s="56">
        <v>0</v>
      </c>
      <c r="L9" s="56">
        <v>0</v>
      </c>
      <c r="M9" s="56">
        <v>0</v>
      </c>
      <c r="N9" s="56">
        <v>0</v>
      </c>
      <c r="O9" s="56">
        <v>0</v>
      </c>
      <c r="P9" s="57">
        <v>2224.3153900000002</v>
      </c>
      <c r="Q9" s="174">
        <v>0.97522039715999997</v>
      </c>
    </row>
    <row r="10" spans="1:17" ht="14.4" customHeight="1" x14ac:dyDescent="0.3">
      <c r="A10" s="19" t="s">
        <v>25</v>
      </c>
      <c r="B10" s="55">
        <v>65.408991560133998</v>
      </c>
      <c r="C10" s="56">
        <v>5.4507492966770004</v>
      </c>
      <c r="D10" s="56">
        <v>3.8880599999999998</v>
      </c>
      <c r="E10" s="56">
        <v>3.3269500000000001</v>
      </c>
      <c r="F10" s="56">
        <v>5.57057</v>
      </c>
      <c r="G10" s="56">
        <v>6.6634399999999996</v>
      </c>
      <c r="H10" s="56">
        <v>5.5320600000000004</v>
      </c>
      <c r="I10" s="56">
        <v>8.36754</v>
      </c>
      <c r="J10" s="56">
        <v>6.8672000000000004</v>
      </c>
      <c r="K10" s="56">
        <v>0</v>
      </c>
      <c r="L10" s="56">
        <v>0</v>
      </c>
      <c r="M10" s="56">
        <v>0</v>
      </c>
      <c r="N10" s="56">
        <v>0</v>
      </c>
      <c r="O10" s="56">
        <v>0</v>
      </c>
      <c r="P10" s="57">
        <v>40.215820000000001</v>
      </c>
      <c r="Q10" s="174">
        <v>1.0540050239250001</v>
      </c>
    </row>
    <row r="11" spans="1:17" ht="14.4" customHeight="1" x14ac:dyDescent="0.3">
      <c r="A11" s="19" t="s">
        <v>26</v>
      </c>
      <c r="B11" s="55">
        <v>378.481903829185</v>
      </c>
      <c r="C11" s="56">
        <v>31.540158652432002</v>
      </c>
      <c r="D11" s="56">
        <v>17.376190000000001</v>
      </c>
      <c r="E11" s="56">
        <v>34.678759999999997</v>
      </c>
      <c r="F11" s="56">
        <v>41.001849999999997</v>
      </c>
      <c r="G11" s="56">
        <v>46.814549999999997</v>
      </c>
      <c r="H11" s="56">
        <v>39.129800000000003</v>
      </c>
      <c r="I11" s="56">
        <v>29.049479999999999</v>
      </c>
      <c r="J11" s="56">
        <v>21.463550000000001</v>
      </c>
      <c r="K11" s="56">
        <v>0</v>
      </c>
      <c r="L11" s="56">
        <v>0</v>
      </c>
      <c r="M11" s="56">
        <v>0</v>
      </c>
      <c r="N11" s="56">
        <v>0</v>
      </c>
      <c r="O11" s="56">
        <v>0</v>
      </c>
      <c r="P11" s="57">
        <v>229.51418000000001</v>
      </c>
      <c r="Q11" s="174">
        <v>1.0395553288520001</v>
      </c>
    </row>
    <row r="12" spans="1:17" ht="14.4" customHeight="1" x14ac:dyDescent="0.3">
      <c r="A12" s="19" t="s">
        <v>27</v>
      </c>
      <c r="B12" s="55">
        <v>111.10826860548801</v>
      </c>
      <c r="C12" s="56">
        <v>9.2590223837900005</v>
      </c>
      <c r="D12" s="56">
        <v>30.802949999999999</v>
      </c>
      <c r="E12" s="56">
        <v>44.355119999999999</v>
      </c>
      <c r="F12" s="56">
        <v>11.00116</v>
      </c>
      <c r="G12" s="56">
        <v>0.27629999999999999</v>
      </c>
      <c r="H12" s="56">
        <v>24.44558</v>
      </c>
      <c r="I12" s="56">
        <v>22.8703</v>
      </c>
      <c r="J12" s="56">
        <v>21.7621</v>
      </c>
      <c r="K12" s="56">
        <v>0</v>
      </c>
      <c r="L12" s="56">
        <v>0</v>
      </c>
      <c r="M12" s="56">
        <v>0</v>
      </c>
      <c r="N12" s="56">
        <v>0</v>
      </c>
      <c r="O12" s="56">
        <v>0</v>
      </c>
      <c r="P12" s="57">
        <v>155.51351</v>
      </c>
      <c r="Q12" s="174">
        <v>2.3994126802390001</v>
      </c>
    </row>
    <row r="13" spans="1:17" ht="14.4" customHeight="1" x14ac:dyDescent="0.3">
      <c r="A13" s="19" t="s">
        <v>28</v>
      </c>
      <c r="B13" s="55">
        <v>142.587383207926</v>
      </c>
      <c r="C13" s="56">
        <v>11.882281933992999</v>
      </c>
      <c r="D13" s="56">
        <v>10.12659</v>
      </c>
      <c r="E13" s="56">
        <v>14.383599999999999</v>
      </c>
      <c r="F13" s="56">
        <v>12.590590000000001</v>
      </c>
      <c r="G13" s="56">
        <v>13.12712</v>
      </c>
      <c r="H13" s="56">
        <v>14.840199999999999</v>
      </c>
      <c r="I13" s="56">
        <v>15.95227</v>
      </c>
      <c r="J13" s="56">
        <v>14.80523</v>
      </c>
      <c r="K13" s="56">
        <v>0</v>
      </c>
      <c r="L13" s="56">
        <v>0</v>
      </c>
      <c r="M13" s="56">
        <v>0</v>
      </c>
      <c r="N13" s="56">
        <v>0</v>
      </c>
      <c r="O13" s="56">
        <v>0</v>
      </c>
      <c r="P13" s="57">
        <v>95.825599999999994</v>
      </c>
      <c r="Q13" s="174">
        <v>1.1520826979709999</v>
      </c>
    </row>
    <row r="14" spans="1:17" ht="14.4" customHeight="1" x14ac:dyDescent="0.3">
      <c r="A14" s="19" t="s">
        <v>29</v>
      </c>
      <c r="B14" s="55">
        <v>304.68564280130101</v>
      </c>
      <c r="C14" s="56">
        <v>25.390470233441</v>
      </c>
      <c r="D14" s="56">
        <v>39.357999999999997</v>
      </c>
      <c r="E14" s="56">
        <v>30.263999999999999</v>
      </c>
      <c r="F14" s="56">
        <v>31.998000000000001</v>
      </c>
      <c r="G14" s="56">
        <v>24.629000000000001</v>
      </c>
      <c r="H14" s="56">
        <v>18.96</v>
      </c>
      <c r="I14" s="56">
        <v>16.414999999999999</v>
      </c>
      <c r="J14" s="56">
        <v>15.292</v>
      </c>
      <c r="K14" s="56">
        <v>0</v>
      </c>
      <c r="L14" s="56">
        <v>0</v>
      </c>
      <c r="M14" s="56">
        <v>0</v>
      </c>
      <c r="N14" s="56">
        <v>0</v>
      </c>
      <c r="O14" s="56">
        <v>0</v>
      </c>
      <c r="P14" s="57">
        <v>176.916</v>
      </c>
      <c r="Q14" s="174">
        <v>0.995401583875</v>
      </c>
    </row>
    <row r="15" spans="1:17" ht="14.4" customHeight="1" x14ac:dyDescent="0.3">
      <c r="A15" s="19" t="s">
        <v>30</v>
      </c>
      <c r="B15" s="55">
        <v>0</v>
      </c>
      <c r="C15" s="56">
        <v>0</v>
      </c>
      <c r="D15" s="56">
        <v>0</v>
      </c>
      <c r="E15" s="56">
        <v>0</v>
      </c>
      <c r="F15" s="56">
        <v>0</v>
      </c>
      <c r="G15" s="56">
        <v>0</v>
      </c>
      <c r="H15" s="56">
        <v>0</v>
      </c>
      <c r="I15" s="56">
        <v>0</v>
      </c>
      <c r="J15" s="56">
        <v>0</v>
      </c>
      <c r="K15" s="56">
        <v>0</v>
      </c>
      <c r="L15" s="56">
        <v>0</v>
      </c>
      <c r="M15" s="56">
        <v>0</v>
      </c>
      <c r="N15" s="56">
        <v>0</v>
      </c>
      <c r="O15" s="56">
        <v>0</v>
      </c>
      <c r="P15" s="57">
        <v>0</v>
      </c>
      <c r="Q15" s="174" t="s">
        <v>281</v>
      </c>
    </row>
    <row r="16" spans="1:17" ht="14.4" customHeight="1" x14ac:dyDescent="0.3">
      <c r="A16" s="19" t="s">
        <v>31</v>
      </c>
      <c r="B16" s="55">
        <v>0</v>
      </c>
      <c r="C16" s="56">
        <v>0</v>
      </c>
      <c r="D16" s="56">
        <v>0</v>
      </c>
      <c r="E16" s="56">
        <v>0</v>
      </c>
      <c r="F16" s="56">
        <v>0</v>
      </c>
      <c r="G16" s="56">
        <v>0</v>
      </c>
      <c r="H16" s="56">
        <v>0</v>
      </c>
      <c r="I16" s="56">
        <v>0</v>
      </c>
      <c r="J16" s="56">
        <v>0</v>
      </c>
      <c r="K16" s="56">
        <v>0</v>
      </c>
      <c r="L16" s="56">
        <v>0</v>
      </c>
      <c r="M16" s="56">
        <v>0</v>
      </c>
      <c r="N16" s="56">
        <v>0</v>
      </c>
      <c r="O16" s="56">
        <v>0</v>
      </c>
      <c r="P16" s="57">
        <v>0</v>
      </c>
      <c r="Q16" s="174" t="s">
        <v>281</v>
      </c>
    </row>
    <row r="17" spans="1:17" ht="14.4" customHeight="1" x14ac:dyDescent="0.3">
      <c r="A17" s="19" t="s">
        <v>32</v>
      </c>
      <c r="B17" s="55">
        <v>578.10704015763395</v>
      </c>
      <c r="C17" s="56">
        <v>48.175586679802002</v>
      </c>
      <c r="D17" s="56">
        <v>81.941749999999999</v>
      </c>
      <c r="E17" s="56">
        <v>14.873139999999999</v>
      </c>
      <c r="F17" s="56">
        <v>25.354130000000001</v>
      </c>
      <c r="G17" s="56">
        <v>45.848860000000002</v>
      </c>
      <c r="H17" s="56">
        <v>24.458379999999998</v>
      </c>
      <c r="I17" s="56">
        <v>35.579569999999997</v>
      </c>
      <c r="J17" s="56">
        <v>52.547490000000003</v>
      </c>
      <c r="K17" s="56">
        <v>0</v>
      </c>
      <c r="L17" s="56">
        <v>0</v>
      </c>
      <c r="M17" s="56">
        <v>0</v>
      </c>
      <c r="N17" s="56">
        <v>0</v>
      </c>
      <c r="O17" s="56">
        <v>0</v>
      </c>
      <c r="P17" s="57">
        <v>280.60332</v>
      </c>
      <c r="Q17" s="174">
        <v>0.832085114766</v>
      </c>
    </row>
    <row r="18" spans="1:17" ht="14.4" customHeight="1" x14ac:dyDescent="0.3">
      <c r="A18" s="19" t="s">
        <v>33</v>
      </c>
      <c r="B18" s="55">
        <v>0</v>
      </c>
      <c r="C18" s="56">
        <v>0</v>
      </c>
      <c r="D18" s="56">
        <v>14.349</v>
      </c>
      <c r="E18" s="56">
        <v>0</v>
      </c>
      <c r="F18" s="56">
        <v>28.991</v>
      </c>
      <c r="G18" s="56">
        <v>16.390999999999998</v>
      </c>
      <c r="H18" s="56">
        <v>22.742000000000001</v>
      </c>
      <c r="I18" s="56">
        <v>22.039000000000001</v>
      </c>
      <c r="J18" s="56">
        <v>0</v>
      </c>
      <c r="K18" s="56">
        <v>0</v>
      </c>
      <c r="L18" s="56">
        <v>0</v>
      </c>
      <c r="M18" s="56">
        <v>0</v>
      </c>
      <c r="N18" s="56">
        <v>0</v>
      </c>
      <c r="O18" s="56">
        <v>0</v>
      </c>
      <c r="P18" s="57">
        <v>104.512</v>
      </c>
      <c r="Q18" s="174" t="s">
        <v>281</v>
      </c>
    </row>
    <row r="19" spans="1:17" ht="14.4" customHeight="1" x14ac:dyDescent="0.3">
      <c r="A19" s="19" t="s">
        <v>34</v>
      </c>
      <c r="B19" s="55">
        <v>968.81937283496302</v>
      </c>
      <c r="C19" s="56">
        <v>80.734947736245999</v>
      </c>
      <c r="D19" s="56">
        <v>62.119219999999999</v>
      </c>
      <c r="E19" s="56">
        <v>53.891910000000003</v>
      </c>
      <c r="F19" s="56">
        <v>156.95325</v>
      </c>
      <c r="G19" s="56">
        <v>64.867459999999994</v>
      </c>
      <c r="H19" s="56">
        <v>57.741120000000002</v>
      </c>
      <c r="I19" s="56">
        <v>61.180689999999998</v>
      </c>
      <c r="J19" s="56">
        <v>158.8725</v>
      </c>
      <c r="K19" s="56">
        <v>0</v>
      </c>
      <c r="L19" s="56">
        <v>0</v>
      </c>
      <c r="M19" s="56">
        <v>0</v>
      </c>
      <c r="N19" s="56">
        <v>0</v>
      </c>
      <c r="O19" s="56">
        <v>0</v>
      </c>
      <c r="P19" s="57">
        <v>615.62615000000005</v>
      </c>
      <c r="Q19" s="174">
        <v>1.089324949394</v>
      </c>
    </row>
    <row r="20" spans="1:17" ht="14.4" customHeight="1" x14ac:dyDescent="0.3">
      <c r="A20" s="19" t="s">
        <v>35</v>
      </c>
      <c r="B20" s="55">
        <v>38949.383767820298</v>
      </c>
      <c r="C20" s="56">
        <v>3245.78198065169</v>
      </c>
      <c r="D20" s="56">
        <v>3170.6149700000001</v>
      </c>
      <c r="E20" s="56">
        <v>3251.4649199999999</v>
      </c>
      <c r="F20" s="56">
        <v>3367.4746700000001</v>
      </c>
      <c r="G20" s="56">
        <v>3339.9526599999999</v>
      </c>
      <c r="H20" s="56">
        <v>3561.2966799999999</v>
      </c>
      <c r="I20" s="56">
        <v>3081.6882300000102</v>
      </c>
      <c r="J20" s="56">
        <v>4412.7801300000001</v>
      </c>
      <c r="K20" s="56">
        <v>0</v>
      </c>
      <c r="L20" s="56">
        <v>0</v>
      </c>
      <c r="M20" s="56">
        <v>0</v>
      </c>
      <c r="N20" s="56">
        <v>0</v>
      </c>
      <c r="O20" s="56">
        <v>0</v>
      </c>
      <c r="P20" s="57">
        <v>24185.272260000002</v>
      </c>
      <c r="Q20" s="174">
        <v>1.0644704157210001</v>
      </c>
    </row>
    <row r="21" spans="1:17" ht="14.4" customHeight="1" x14ac:dyDescent="0.3">
      <c r="A21" s="20" t="s">
        <v>36</v>
      </c>
      <c r="B21" s="55">
        <v>1830.00422594517</v>
      </c>
      <c r="C21" s="56">
        <v>152.50035216209699</v>
      </c>
      <c r="D21" s="56">
        <v>160.02699999999999</v>
      </c>
      <c r="E21" s="56">
        <v>160.02699999999999</v>
      </c>
      <c r="F21" s="56">
        <v>158.84700000000001</v>
      </c>
      <c r="G21" s="56">
        <v>156.52099999999999</v>
      </c>
      <c r="H21" s="56">
        <v>156.52099999999999</v>
      </c>
      <c r="I21" s="56">
        <v>147.434</v>
      </c>
      <c r="J21" s="56">
        <v>147.43</v>
      </c>
      <c r="K21" s="56">
        <v>0</v>
      </c>
      <c r="L21" s="56">
        <v>0</v>
      </c>
      <c r="M21" s="56">
        <v>0</v>
      </c>
      <c r="N21" s="56">
        <v>0</v>
      </c>
      <c r="O21" s="56">
        <v>0</v>
      </c>
      <c r="P21" s="57">
        <v>1086.807</v>
      </c>
      <c r="Q21" s="174">
        <v>1.018083831649</v>
      </c>
    </row>
    <row r="22" spans="1:17" ht="14.4" customHeight="1" x14ac:dyDescent="0.3">
      <c r="A22" s="19" t="s">
        <v>37</v>
      </c>
      <c r="B22" s="55">
        <v>0</v>
      </c>
      <c r="C22" s="56">
        <v>0</v>
      </c>
      <c r="D22" s="56">
        <v>0</v>
      </c>
      <c r="E22" s="56">
        <v>0</v>
      </c>
      <c r="F22" s="56">
        <v>0</v>
      </c>
      <c r="G22" s="56">
        <v>4.5679999999999996</v>
      </c>
      <c r="H22" s="56">
        <v>0</v>
      </c>
      <c r="I22" s="56">
        <v>48.789920000000002</v>
      </c>
      <c r="J22" s="56">
        <v>0</v>
      </c>
      <c r="K22" s="56">
        <v>0</v>
      </c>
      <c r="L22" s="56">
        <v>0</v>
      </c>
      <c r="M22" s="56">
        <v>0</v>
      </c>
      <c r="N22" s="56">
        <v>0</v>
      </c>
      <c r="O22" s="56">
        <v>0</v>
      </c>
      <c r="P22" s="57">
        <v>53.35792</v>
      </c>
      <c r="Q22" s="174" t="s">
        <v>281</v>
      </c>
    </row>
    <row r="23" spans="1:17" ht="14.4" customHeight="1" x14ac:dyDescent="0.3">
      <c r="A23" s="20" t="s">
        <v>38</v>
      </c>
      <c r="B23" s="55">
        <v>0</v>
      </c>
      <c r="C23" s="56">
        <v>0</v>
      </c>
      <c r="D23" s="56">
        <v>0</v>
      </c>
      <c r="E23" s="56">
        <v>0</v>
      </c>
      <c r="F23" s="56">
        <v>0</v>
      </c>
      <c r="G23" s="56">
        <v>0</v>
      </c>
      <c r="H23" s="56">
        <v>0</v>
      </c>
      <c r="I23" s="56">
        <v>0</v>
      </c>
      <c r="J23" s="56">
        <v>0</v>
      </c>
      <c r="K23" s="56">
        <v>0</v>
      </c>
      <c r="L23" s="56">
        <v>0</v>
      </c>
      <c r="M23" s="56">
        <v>0</v>
      </c>
      <c r="N23" s="56">
        <v>0</v>
      </c>
      <c r="O23" s="56">
        <v>0</v>
      </c>
      <c r="P23" s="57">
        <v>0</v>
      </c>
      <c r="Q23" s="174" t="s">
        <v>281</v>
      </c>
    </row>
    <row r="24" spans="1:17" ht="14.4" customHeight="1" x14ac:dyDescent="0.3">
      <c r="A24" s="20" t="s">
        <v>39</v>
      </c>
      <c r="B24" s="55">
        <v>48.399697705921</v>
      </c>
      <c r="C24" s="56">
        <v>4.033308142159</v>
      </c>
      <c r="D24" s="56">
        <v>30.113379999999999</v>
      </c>
      <c r="E24" s="56">
        <v>1.7847999999999999</v>
      </c>
      <c r="F24" s="56">
        <v>13.468619999997999</v>
      </c>
      <c r="G24" s="56">
        <v>52.793009999997999</v>
      </c>
      <c r="H24" s="56">
        <v>26.255930000001001</v>
      </c>
      <c r="I24" s="56">
        <v>9.4009299999980005</v>
      </c>
      <c r="J24" s="56">
        <v>1.3500000000000001E-3</v>
      </c>
      <c r="K24" s="56">
        <v>0</v>
      </c>
      <c r="L24" s="56">
        <v>0</v>
      </c>
      <c r="M24" s="56">
        <v>0</v>
      </c>
      <c r="N24" s="56">
        <v>0</v>
      </c>
      <c r="O24" s="56">
        <v>0</v>
      </c>
      <c r="P24" s="57">
        <v>133.818019999999</v>
      </c>
      <c r="Q24" s="174"/>
    </row>
    <row r="25" spans="1:17" ht="14.4" customHeight="1" x14ac:dyDescent="0.3">
      <c r="A25" s="21" t="s">
        <v>40</v>
      </c>
      <c r="B25" s="58">
        <v>61349.9720705379</v>
      </c>
      <c r="C25" s="59">
        <v>5112.4976725448296</v>
      </c>
      <c r="D25" s="59">
        <v>4652.45957</v>
      </c>
      <c r="E25" s="59">
        <v>4888.1958000000004</v>
      </c>
      <c r="F25" s="59">
        <v>5132.4118900000003</v>
      </c>
      <c r="G25" s="59">
        <v>5471.9664899999998</v>
      </c>
      <c r="H25" s="59">
        <v>5818.2946599999996</v>
      </c>
      <c r="I25" s="59">
        <v>4881.3113000000103</v>
      </c>
      <c r="J25" s="59">
        <v>6401.73632</v>
      </c>
      <c r="K25" s="59">
        <v>0</v>
      </c>
      <c r="L25" s="59">
        <v>0</v>
      </c>
      <c r="M25" s="59">
        <v>0</v>
      </c>
      <c r="N25" s="59">
        <v>0</v>
      </c>
      <c r="O25" s="59">
        <v>0</v>
      </c>
      <c r="P25" s="60">
        <v>37246.376029999999</v>
      </c>
      <c r="Q25" s="175">
        <v>1.040765434476</v>
      </c>
    </row>
    <row r="26" spans="1:17" ht="14.4" customHeight="1" x14ac:dyDescent="0.3">
      <c r="A26" s="19" t="s">
        <v>41</v>
      </c>
      <c r="B26" s="55">
        <v>5710.2391833633901</v>
      </c>
      <c r="C26" s="56">
        <v>475.85326528028298</v>
      </c>
      <c r="D26" s="56">
        <v>533.51563999999996</v>
      </c>
      <c r="E26" s="56">
        <v>520.32169999999996</v>
      </c>
      <c r="F26" s="56">
        <v>602.92313000000001</v>
      </c>
      <c r="G26" s="56">
        <v>594.98180000000002</v>
      </c>
      <c r="H26" s="56">
        <v>583.80668000000003</v>
      </c>
      <c r="I26" s="56">
        <v>575.81592999999998</v>
      </c>
      <c r="J26" s="56">
        <v>763.93870000000004</v>
      </c>
      <c r="K26" s="56">
        <v>0</v>
      </c>
      <c r="L26" s="56">
        <v>0</v>
      </c>
      <c r="M26" s="56">
        <v>0</v>
      </c>
      <c r="N26" s="56">
        <v>0</v>
      </c>
      <c r="O26" s="56">
        <v>0</v>
      </c>
      <c r="P26" s="57">
        <v>4175.3035799999998</v>
      </c>
      <c r="Q26" s="174">
        <v>1.253478716067</v>
      </c>
    </row>
    <row r="27" spans="1:17" ht="14.4" customHeight="1" x14ac:dyDescent="0.3">
      <c r="A27" s="22" t="s">
        <v>42</v>
      </c>
      <c r="B27" s="58">
        <v>67060.211253901303</v>
      </c>
      <c r="C27" s="59">
        <v>5588.3509378251101</v>
      </c>
      <c r="D27" s="59">
        <v>5185.9752099999996</v>
      </c>
      <c r="E27" s="59">
        <v>5408.5174999999999</v>
      </c>
      <c r="F27" s="59">
        <v>5735.3350200000004</v>
      </c>
      <c r="G27" s="59">
        <v>6066.9482900000003</v>
      </c>
      <c r="H27" s="59">
        <v>6402.1013400000002</v>
      </c>
      <c r="I27" s="59">
        <v>5457.1272300000101</v>
      </c>
      <c r="J27" s="59">
        <v>7165.6750199999997</v>
      </c>
      <c r="K27" s="59">
        <v>0</v>
      </c>
      <c r="L27" s="59">
        <v>0</v>
      </c>
      <c r="M27" s="59">
        <v>0</v>
      </c>
      <c r="N27" s="59">
        <v>0</v>
      </c>
      <c r="O27" s="59">
        <v>0</v>
      </c>
      <c r="P27" s="60">
        <v>41421.679609999999</v>
      </c>
      <c r="Q27" s="175">
        <v>1.0588781676850001</v>
      </c>
    </row>
    <row r="28" spans="1:17" ht="14.4" customHeight="1" x14ac:dyDescent="0.3">
      <c r="A28" s="20" t="s">
        <v>43</v>
      </c>
      <c r="B28" s="55">
        <v>76.383075826246994</v>
      </c>
      <c r="C28" s="56">
        <v>6.3652563188529996</v>
      </c>
      <c r="D28" s="56">
        <v>0</v>
      </c>
      <c r="E28" s="56">
        <v>6.8599999999999994E-2</v>
      </c>
      <c r="F28" s="56">
        <v>0.249</v>
      </c>
      <c r="G28" s="56">
        <v>0.16528000000000001</v>
      </c>
      <c r="H28" s="56">
        <v>0</v>
      </c>
      <c r="I28" s="56">
        <v>0</v>
      </c>
      <c r="J28" s="56">
        <v>0</v>
      </c>
      <c r="K28" s="56">
        <v>0</v>
      </c>
      <c r="L28" s="56">
        <v>0</v>
      </c>
      <c r="M28" s="56">
        <v>0</v>
      </c>
      <c r="N28" s="56">
        <v>0</v>
      </c>
      <c r="O28" s="56">
        <v>0</v>
      </c>
      <c r="P28" s="57">
        <v>0.48287999999999998</v>
      </c>
      <c r="Q28" s="174">
        <v>1.0837404448E-2</v>
      </c>
    </row>
    <row r="29" spans="1:17" ht="14.4" customHeight="1" x14ac:dyDescent="0.3">
      <c r="A29" s="20" t="s">
        <v>44</v>
      </c>
      <c r="B29" s="55">
        <v>0</v>
      </c>
      <c r="C29" s="56">
        <v>0</v>
      </c>
      <c r="D29" s="56">
        <v>0</v>
      </c>
      <c r="E29" s="56">
        <v>0</v>
      </c>
      <c r="F29" s="56">
        <v>0</v>
      </c>
      <c r="G29" s="56">
        <v>0</v>
      </c>
      <c r="H29" s="56">
        <v>0</v>
      </c>
      <c r="I29" s="56">
        <v>0</v>
      </c>
      <c r="J29" s="56">
        <v>0</v>
      </c>
      <c r="K29" s="56">
        <v>0</v>
      </c>
      <c r="L29" s="56">
        <v>0</v>
      </c>
      <c r="M29" s="56">
        <v>0</v>
      </c>
      <c r="N29" s="56">
        <v>0</v>
      </c>
      <c r="O29" s="56">
        <v>0</v>
      </c>
      <c r="P29" s="57">
        <v>0</v>
      </c>
      <c r="Q29" s="174" t="s">
        <v>281</v>
      </c>
    </row>
    <row r="30" spans="1:17" ht="14.4" customHeight="1" x14ac:dyDescent="0.3">
      <c r="A30" s="20" t="s">
        <v>45</v>
      </c>
      <c r="B30" s="55">
        <v>0</v>
      </c>
      <c r="C30" s="56">
        <v>0</v>
      </c>
      <c r="D30" s="56">
        <v>0</v>
      </c>
      <c r="E30" s="56">
        <v>0</v>
      </c>
      <c r="F30" s="56">
        <v>0</v>
      </c>
      <c r="G30" s="56">
        <v>0</v>
      </c>
      <c r="H30" s="56">
        <v>0</v>
      </c>
      <c r="I30" s="56">
        <v>0</v>
      </c>
      <c r="J30" s="56">
        <v>0</v>
      </c>
      <c r="K30" s="56">
        <v>0</v>
      </c>
      <c r="L30" s="56">
        <v>0</v>
      </c>
      <c r="M30" s="56">
        <v>0</v>
      </c>
      <c r="N30" s="56">
        <v>0</v>
      </c>
      <c r="O30" s="56">
        <v>0</v>
      </c>
      <c r="P30" s="57">
        <v>0</v>
      </c>
      <c r="Q30" s="174">
        <v>0</v>
      </c>
    </row>
    <row r="31" spans="1:17" ht="14.4" customHeight="1" thickBot="1" x14ac:dyDescent="0.35">
      <c r="A31" s="23" t="s">
        <v>46</v>
      </c>
      <c r="B31" s="61">
        <v>0</v>
      </c>
      <c r="C31" s="62">
        <v>0</v>
      </c>
      <c r="D31" s="62">
        <v>0</v>
      </c>
      <c r="E31" s="62">
        <v>0</v>
      </c>
      <c r="F31" s="62">
        <v>0</v>
      </c>
      <c r="G31" s="62">
        <v>0</v>
      </c>
      <c r="H31" s="62">
        <v>0</v>
      </c>
      <c r="I31" s="62">
        <v>0</v>
      </c>
      <c r="J31" s="62">
        <v>0</v>
      </c>
      <c r="K31" s="62">
        <v>0</v>
      </c>
      <c r="L31" s="62">
        <v>0</v>
      </c>
      <c r="M31" s="62">
        <v>0</v>
      </c>
      <c r="N31" s="62">
        <v>0</v>
      </c>
      <c r="O31" s="62">
        <v>0</v>
      </c>
      <c r="P31" s="63">
        <v>0</v>
      </c>
      <c r="Q31" s="176" t="s">
        <v>281</v>
      </c>
    </row>
    <row r="32" spans="1:17" ht="14.4" customHeight="1" x14ac:dyDescent="0.3">
      <c r="B32" s="239"/>
      <c r="C32" s="239"/>
      <c r="D32" s="239"/>
      <c r="E32" s="239"/>
      <c r="F32" s="239"/>
      <c r="G32" s="239"/>
      <c r="H32" s="239"/>
      <c r="I32" s="239"/>
      <c r="J32" s="239"/>
      <c r="K32" s="239"/>
      <c r="L32" s="239"/>
      <c r="M32" s="239"/>
      <c r="N32" s="239"/>
      <c r="O32" s="239"/>
      <c r="P32" s="239"/>
      <c r="Q32" s="239"/>
    </row>
    <row r="33" spans="1:17" ht="14.4" customHeight="1" x14ac:dyDescent="0.3">
      <c r="A33" s="210" t="s">
        <v>177</v>
      </c>
      <c r="B33" s="240"/>
      <c r="C33" s="240"/>
      <c r="D33" s="240"/>
      <c r="E33" s="240"/>
      <c r="F33" s="240"/>
      <c r="G33" s="240"/>
      <c r="H33" s="240"/>
      <c r="I33" s="240"/>
      <c r="J33" s="240"/>
      <c r="K33" s="240"/>
      <c r="L33" s="240"/>
      <c r="M33" s="240"/>
      <c r="N33" s="240"/>
      <c r="O33" s="240"/>
      <c r="P33" s="240"/>
      <c r="Q33" s="240"/>
    </row>
    <row r="34" spans="1:17" ht="14.4" customHeight="1" x14ac:dyDescent="0.3">
      <c r="A34" s="244" t="s">
        <v>267</v>
      </c>
      <c r="B34" s="240"/>
      <c r="C34" s="240"/>
      <c r="D34" s="240"/>
      <c r="E34" s="240"/>
      <c r="F34" s="240"/>
      <c r="G34" s="240"/>
      <c r="H34" s="240"/>
      <c r="I34" s="240"/>
      <c r="J34" s="240"/>
      <c r="K34" s="240"/>
      <c r="L34" s="240"/>
      <c r="M34" s="240"/>
      <c r="N34" s="240"/>
      <c r="O34" s="240"/>
      <c r="P34" s="240"/>
      <c r="Q34" s="240"/>
    </row>
    <row r="35" spans="1:17" ht="14.4" customHeight="1" x14ac:dyDescent="0.3">
      <c r="A35" s="245" t="s">
        <v>47</v>
      </c>
      <c r="B35" s="240"/>
      <c r="C35" s="240"/>
      <c r="D35" s="240"/>
      <c r="E35" s="240"/>
      <c r="F35" s="240"/>
      <c r="G35" s="240"/>
      <c r="H35" s="240"/>
      <c r="I35" s="240"/>
      <c r="J35" s="240"/>
      <c r="K35" s="240"/>
      <c r="L35" s="240"/>
      <c r="M35" s="240"/>
      <c r="N35" s="240"/>
      <c r="O35" s="240"/>
      <c r="P35" s="240"/>
      <c r="Q35" s="240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200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238" customWidth="1"/>
    <col min="2" max="11" width="10" style="238" customWidth="1"/>
    <col min="12" max="16384" width="8.88671875" style="238"/>
  </cols>
  <sheetData>
    <row r="1" spans="1:11" s="64" customFormat="1" ht="18.600000000000001" customHeight="1" thickBot="1" x14ac:dyDescent="0.4">
      <c r="A1" s="463" t="s">
        <v>48</v>
      </c>
      <c r="B1" s="463"/>
      <c r="C1" s="463"/>
      <c r="D1" s="463"/>
      <c r="E1" s="463"/>
      <c r="F1" s="463"/>
      <c r="G1" s="463"/>
      <c r="H1" s="468"/>
      <c r="I1" s="468"/>
      <c r="J1" s="468"/>
      <c r="K1" s="468"/>
    </row>
    <row r="2" spans="1:11" s="64" customFormat="1" ht="14.4" customHeight="1" thickBot="1" x14ac:dyDescent="0.35">
      <c r="A2" s="360" t="s">
        <v>280</v>
      </c>
      <c r="B2" s="65"/>
      <c r="C2" s="65"/>
      <c r="D2" s="65"/>
      <c r="E2" s="65"/>
      <c r="F2" s="65"/>
      <c r="G2" s="65"/>
      <c r="H2" s="65"/>
      <c r="I2" s="65"/>
      <c r="J2" s="65"/>
      <c r="K2" s="65"/>
    </row>
    <row r="3" spans="1:11" ht="14.4" customHeight="1" x14ac:dyDescent="0.3">
      <c r="A3" s="92"/>
      <c r="B3" s="464" t="s">
        <v>49</v>
      </c>
      <c r="C3" s="465"/>
      <c r="D3" s="465"/>
      <c r="E3" s="465"/>
      <c r="F3" s="471" t="s">
        <v>50</v>
      </c>
      <c r="G3" s="465"/>
      <c r="H3" s="465"/>
      <c r="I3" s="465"/>
      <c r="J3" s="465"/>
      <c r="K3" s="472"/>
    </row>
    <row r="4" spans="1:11" ht="14.4" customHeight="1" x14ac:dyDescent="0.3">
      <c r="A4" s="93"/>
      <c r="B4" s="469"/>
      <c r="C4" s="470"/>
      <c r="D4" s="470"/>
      <c r="E4" s="470"/>
      <c r="F4" s="473" t="s">
        <v>272</v>
      </c>
      <c r="G4" s="475" t="s">
        <v>51</v>
      </c>
      <c r="H4" s="250" t="s">
        <v>164</v>
      </c>
      <c r="I4" s="473" t="s">
        <v>52</v>
      </c>
      <c r="J4" s="475" t="s">
        <v>244</v>
      </c>
      <c r="K4" s="476" t="s">
        <v>274</v>
      </c>
    </row>
    <row r="5" spans="1:11" ht="42" thickBot="1" x14ac:dyDescent="0.35">
      <c r="A5" s="94"/>
      <c r="B5" s="28" t="s">
        <v>268</v>
      </c>
      <c r="C5" s="29" t="s">
        <v>269</v>
      </c>
      <c r="D5" s="30" t="s">
        <v>270</v>
      </c>
      <c r="E5" s="30" t="s">
        <v>271</v>
      </c>
      <c r="F5" s="474"/>
      <c r="G5" s="474"/>
      <c r="H5" s="29" t="s">
        <v>273</v>
      </c>
      <c r="I5" s="474"/>
      <c r="J5" s="474"/>
      <c r="K5" s="477"/>
    </row>
    <row r="6" spans="1:11" ht="14.4" customHeight="1" thickBot="1" x14ac:dyDescent="0.35">
      <c r="A6" s="586" t="s">
        <v>283</v>
      </c>
      <c r="B6" s="568">
        <v>53324.9230497963</v>
      </c>
      <c r="C6" s="568">
        <v>58083.959730000002</v>
      </c>
      <c r="D6" s="569">
        <v>4759.0366802036997</v>
      </c>
      <c r="E6" s="570">
        <v>1.089246011208</v>
      </c>
      <c r="F6" s="568">
        <v>61349.9720705379</v>
      </c>
      <c r="G6" s="569">
        <v>35787.483707813801</v>
      </c>
      <c r="H6" s="571">
        <v>6401.73632</v>
      </c>
      <c r="I6" s="568">
        <v>37246.376029999999</v>
      </c>
      <c r="J6" s="569">
        <v>1458.8923221862201</v>
      </c>
      <c r="K6" s="572">
        <v>0.60711317011099997</v>
      </c>
    </row>
    <row r="7" spans="1:11" ht="14.4" customHeight="1" thickBot="1" x14ac:dyDescent="0.35">
      <c r="A7" s="587" t="s">
        <v>284</v>
      </c>
      <c r="B7" s="568">
        <v>16849.5501002196</v>
      </c>
      <c r="C7" s="568">
        <v>18260.980510000001</v>
      </c>
      <c r="D7" s="569">
        <v>1411.43040978043</v>
      </c>
      <c r="E7" s="570">
        <v>1.083766652604</v>
      </c>
      <c r="F7" s="568">
        <v>18975.257966073899</v>
      </c>
      <c r="G7" s="569">
        <v>11068.900480209801</v>
      </c>
      <c r="H7" s="571">
        <v>1630.1061999999999</v>
      </c>
      <c r="I7" s="568">
        <v>10786.38538</v>
      </c>
      <c r="J7" s="569">
        <v>-282.51510020977003</v>
      </c>
      <c r="K7" s="572">
        <v>0.56844472940900004</v>
      </c>
    </row>
    <row r="8" spans="1:11" ht="14.4" customHeight="1" thickBot="1" x14ac:dyDescent="0.35">
      <c r="A8" s="588" t="s">
        <v>285</v>
      </c>
      <c r="B8" s="568">
        <v>16550.383065885399</v>
      </c>
      <c r="C8" s="568">
        <v>17951.808509999999</v>
      </c>
      <c r="D8" s="569">
        <v>1401.4254441145999</v>
      </c>
      <c r="E8" s="570">
        <v>1.0846763146530001</v>
      </c>
      <c r="F8" s="568">
        <v>18670.572323272601</v>
      </c>
      <c r="G8" s="569">
        <v>10891.1671885757</v>
      </c>
      <c r="H8" s="571">
        <v>1614.8142</v>
      </c>
      <c r="I8" s="568">
        <v>10609.46938</v>
      </c>
      <c r="J8" s="569">
        <v>-281.69780857567798</v>
      </c>
      <c r="K8" s="572">
        <v>0.56824553614600004</v>
      </c>
    </row>
    <row r="9" spans="1:11" ht="14.4" customHeight="1" thickBot="1" x14ac:dyDescent="0.35">
      <c r="A9" s="589" t="s">
        <v>286</v>
      </c>
      <c r="B9" s="573">
        <v>0</v>
      </c>
      <c r="C9" s="573">
        <v>7.5100000000000002E-3</v>
      </c>
      <c r="D9" s="574">
        <v>7.5100000000000002E-3</v>
      </c>
      <c r="E9" s="575" t="s">
        <v>281</v>
      </c>
      <c r="F9" s="573">
        <v>0</v>
      </c>
      <c r="G9" s="574">
        <v>0</v>
      </c>
      <c r="H9" s="576">
        <v>1.3500000000000001E-3</v>
      </c>
      <c r="I9" s="573">
        <v>6.0200000000000002E-3</v>
      </c>
      <c r="J9" s="574">
        <v>6.0200000000000002E-3</v>
      </c>
      <c r="K9" s="577" t="s">
        <v>281</v>
      </c>
    </row>
    <row r="10" spans="1:11" ht="14.4" customHeight="1" thickBot="1" x14ac:dyDescent="0.35">
      <c r="A10" s="590" t="s">
        <v>287</v>
      </c>
      <c r="B10" s="568">
        <v>0</v>
      </c>
      <c r="C10" s="568">
        <v>7.5100000000000002E-3</v>
      </c>
      <c r="D10" s="569">
        <v>7.5100000000000002E-3</v>
      </c>
      <c r="E10" s="578" t="s">
        <v>281</v>
      </c>
      <c r="F10" s="568">
        <v>0</v>
      </c>
      <c r="G10" s="569">
        <v>0</v>
      </c>
      <c r="H10" s="571">
        <v>1.3500000000000001E-3</v>
      </c>
      <c r="I10" s="568">
        <v>6.0200000000000002E-3</v>
      </c>
      <c r="J10" s="569">
        <v>6.0200000000000002E-3</v>
      </c>
      <c r="K10" s="579" t="s">
        <v>281</v>
      </c>
    </row>
    <row r="11" spans="1:11" ht="14.4" customHeight="1" thickBot="1" x14ac:dyDescent="0.35">
      <c r="A11" s="589" t="s">
        <v>288</v>
      </c>
      <c r="B11" s="573">
        <v>8278.6965014616198</v>
      </c>
      <c r="C11" s="573">
        <v>8899.9275199999993</v>
      </c>
      <c r="D11" s="574">
        <v>621.231018538385</v>
      </c>
      <c r="E11" s="580">
        <v>1.0750397140929999</v>
      </c>
      <c r="F11" s="573">
        <v>9400.2891524788192</v>
      </c>
      <c r="G11" s="574">
        <v>5483.5020056126396</v>
      </c>
      <c r="H11" s="576">
        <v>1278.7806599999999</v>
      </c>
      <c r="I11" s="573">
        <v>5934.8068599999997</v>
      </c>
      <c r="J11" s="574">
        <v>451.30485438735701</v>
      </c>
      <c r="K11" s="581">
        <v>0.63134301123400005</v>
      </c>
    </row>
    <row r="12" spans="1:11" ht="14.4" customHeight="1" thickBot="1" x14ac:dyDescent="0.35">
      <c r="A12" s="590" t="s">
        <v>289</v>
      </c>
      <c r="B12" s="568">
        <v>3569.3113916345701</v>
      </c>
      <c r="C12" s="568">
        <v>3758.3066199999998</v>
      </c>
      <c r="D12" s="569">
        <v>188.99522836543201</v>
      </c>
      <c r="E12" s="570">
        <v>1.0529500532810001</v>
      </c>
      <c r="F12" s="568">
        <v>3999.8941597153398</v>
      </c>
      <c r="G12" s="569">
        <v>2333.2715931672801</v>
      </c>
      <c r="H12" s="571">
        <v>226.88415000000001</v>
      </c>
      <c r="I12" s="568">
        <v>2153.20334</v>
      </c>
      <c r="J12" s="569">
        <v>-180.06825316728199</v>
      </c>
      <c r="K12" s="572">
        <v>0.53831507885499996</v>
      </c>
    </row>
    <row r="13" spans="1:11" ht="14.4" customHeight="1" thickBot="1" x14ac:dyDescent="0.35">
      <c r="A13" s="590" t="s">
        <v>290</v>
      </c>
      <c r="B13" s="568">
        <v>1564</v>
      </c>
      <c r="C13" s="568">
        <v>1542.2070200000001</v>
      </c>
      <c r="D13" s="569">
        <v>-21.792979999999002</v>
      </c>
      <c r="E13" s="570">
        <v>0.98606586956499997</v>
      </c>
      <c r="F13" s="568">
        <v>1613.00013183803</v>
      </c>
      <c r="G13" s="569">
        <v>940.91674357218301</v>
      </c>
      <c r="H13" s="571">
        <v>124.54876</v>
      </c>
      <c r="I13" s="568">
        <v>891.14224000000002</v>
      </c>
      <c r="J13" s="569">
        <v>-49.774503572181999</v>
      </c>
      <c r="K13" s="572">
        <v>0.55247499514099996</v>
      </c>
    </row>
    <row r="14" spans="1:11" ht="14.4" customHeight="1" thickBot="1" x14ac:dyDescent="0.35">
      <c r="A14" s="590" t="s">
        <v>291</v>
      </c>
      <c r="B14" s="568">
        <v>291</v>
      </c>
      <c r="C14" s="568">
        <v>340.15432000000101</v>
      </c>
      <c r="D14" s="569">
        <v>49.154319999999998</v>
      </c>
      <c r="E14" s="570">
        <v>1.1689151890030001</v>
      </c>
      <c r="F14" s="568">
        <v>343.99993623060999</v>
      </c>
      <c r="G14" s="569">
        <v>200.66662946785601</v>
      </c>
      <c r="H14" s="571">
        <v>8.4479299999999995</v>
      </c>
      <c r="I14" s="568">
        <v>116.52669</v>
      </c>
      <c r="J14" s="569">
        <v>-84.139939467855001</v>
      </c>
      <c r="K14" s="572">
        <v>0.33874044070100001</v>
      </c>
    </row>
    <row r="15" spans="1:11" ht="14.4" customHeight="1" thickBot="1" x14ac:dyDescent="0.35">
      <c r="A15" s="590" t="s">
        <v>292</v>
      </c>
      <c r="B15" s="568">
        <v>0</v>
      </c>
      <c r="C15" s="568">
        <v>0</v>
      </c>
      <c r="D15" s="569">
        <v>0</v>
      </c>
      <c r="E15" s="570">
        <v>1</v>
      </c>
      <c r="F15" s="568">
        <v>0</v>
      </c>
      <c r="G15" s="569">
        <v>0</v>
      </c>
      <c r="H15" s="571">
        <v>8.8119999999999994</v>
      </c>
      <c r="I15" s="568">
        <v>8.8119999999999994</v>
      </c>
      <c r="J15" s="569">
        <v>8.8119999999999994</v>
      </c>
      <c r="K15" s="579" t="s">
        <v>293</v>
      </c>
    </row>
    <row r="16" spans="1:11" ht="14.4" customHeight="1" thickBot="1" x14ac:dyDescent="0.35">
      <c r="A16" s="590" t="s">
        <v>294</v>
      </c>
      <c r="B16" s="568">
        <v>460.084812392353</v>
      </c>
      <c r="C16" s="568">
        <v>1072.3163</v>
      </c>
      <c r="D16" s="569">
        <v>612.23148760764695</v>
      </c>
      <c r="E16" s="570">
        <v>2.3306926703880002</v>
      </c>
      <c r="F16" s="568">
        <v>744.000067167937</v>
      </c>
      <c r="G16" s="569">
        <v>434.00003918129602</v>
      </c>
      <c r="H16" s="571">
        <v>793.62770999999998</v>
      </c>
      <c r="I16" s="568">
        <v>1332.6685</v>
      </c>
      <c r="J16" s="569">
        <v>898.66846081870403</v>
      </c>
      <c r="K16" s="572">
        <v>1.7912209404399999</v>
      </c>
    </row>
    <row r="17" spans="1:11" ht="14.4" customHeight="1" thickBot="1" x14ac:dyDescent="0.35">
      <c r="A17" s="590" t="s">
        <v>295</v>
      </c>
      <c r="B17" s="568">
        <v>64.999997952656997</v>
      </c>
      <c r="C17" s="568">
        <v>383.87331999999998</v>
      </c>
      <c r="D17" s="569">
        <v>318.87332204734201</v>
      </c>
      <c r="E17" s="570">
        <v>5.9057435706310004</v>
      </c>
      <c r="F17" s="568">
        <v>350.00003159782</v>
      </c>
      <c r="G17" s="569">
        <v>204.16668509872801</v>
      </c>
      <c r="H17" s="571">
        <v>0</v>
      </c>
      <c r="I17" s="568">
        <v>21.263470000000002</v>
      </c>
      <c r="J17" s="569">
        <v>-182.903215098728</v>
      </c>
      <c r="K17" s="572">
        <v>6.0752765942999998E-2</v>
      </c>
    </row>
    <row r="18" spans="1:11" ht="14.4" customHeight="1" thickBot="1" x14ac:dyDescent="0.35">
      <c r="A18" s="590" t="s">
        <v>296</v>
      </c>
      <c r="B18" s="568">
        <v>1242.1399438272001</v>
      </c>
      <c r="C18" s="568">
        <v>1147.7063900000001</v>
      </c>
      <c r="D18" s="569">
        <v>-94.433553827200996</v>
      </c>
      <c r="E18" s="570">
        <v>0.92397510900699997</v>
      </c>
      <c r="F18" s="568">
        <v>1293.2325199664399</v>
      </c>
      <c r="G18" s="569">
        <v>754.38563664709204</v>
      </c>
      <c r="H18" s="571">
        <v>92.862769999999998</v>
      </c>
      <c r="I18" s="568">
        <v>679.35159999999996</v>
      </c>
      <c r="J18" s="569">
        <v>-75.034036647091</v>
      </c>
      <c r="K18" s="572">
        <v>0.52531280300399996</v>
      </c>
    </row>
    <row r="19" spans="1:11" ht="14.4" customHeight="1" thickBot="1" x14ac:dyDescent="0.35">
      <c r="A19" s="590" t="s">
        <v>297</v>
      </c>
      <c r="B19" s="568">
        <v>936.61017227702405</v>
      </c>
      <c r="C19" s="568">
        <v>505.80714999999998</v>
      </c>
      <c r="D19" s="569">
        <v>-430.80302227702401</v>
      </c>
      <c r="E19" s="570">
        <v>0.54004020559599997</v>
      </c>
      <c r="F19" s="568">
        <v>909.16229269155497</v>
      </c>
      <c r="G19" s="569">
        <v>530.34467073674</v>
      </c>
      <c r="H19" s="571">
        <v>14.8276</v>
      </c>
      <c r="I19" s="568">
        <v>652.39701000000002</v>
      </c>
      <c r="J19" s="569">
        <v>122.05233926326</v>
      </c>
      <c r="K19" s="572">
        <v>0.71758036518199997</v>
      </c>
    </row>
    <row r="20" spans="1:11" ht="14.4" customHeight="1" thickBot="1" x14ac:dyDescent="0.35">
      <c r="A20" s="590" t="s">
        <v>298</v>
      </c>
      <c r="B20" s="568">
        <v>150.550183377812</v>
      </c>
      <c r="C20" s="568">
        <v>149.5564</v>
      </c>
      <c r="D20" s="569">
        <v>-0.99378337781100001</v>
      </c>
      <c r="E20" s="570">
        <v>0.99339898925699999</v>
      </c>
      <c r="F20" s="568">
        <v>147.00001327108501</v>
      </c>
      <c r="G20" s="569">
        <v>85.750007741466007</v>
      </c>
      <c r="H20" s="571">
        <v>8.7697400000000005</v>
      </c>
      <c r="I20" s="568">
        <v>79.442009999999996</v>
      </c>
      <c r="J20" s="569">
        <v>-6.3079977414649999</v>
      </c>
      <c r="K20" s="572">
        <v>0.54042178794499995</v>
      </c>
    </row>
    <row r="21" spans="1:11" ht="14.4" customHeight="1" thickBot="1" x14ac:dyDescent="0.35">
      <c r="A21" s="589" t="s">
        <v>299</v>
      </c>
      <c r="B21" s="573">
        <v>3631.6084091063499</v>
      </c>
      <c r="C21" s="573">
        <v>4393.1890000000003</v>
      </c>
      <c r="D21" s="574">
        <v>761.58059089365395</v>
      </c>
      <c r="E21" s="580">
        <v>1.2097088961969999</v>
      </c>
      <c r="F21" s="573">
        <v>4662.6962705982696</v>
      </c>
      <c r="G21" s="574">
        <v>2719.90615784899</v>
      </c>
      <c r="H21" s="576">
        <v>0</v>
      </c>
      <c r="I21" s="573">
        <v>1929.2719999999999</v>
      </c>
      <c r="J21" s="574">
        <v>-790.63415784899098</v>
      </c>
      <c r="K21" s="581">
        <v>0.41376746157900002</v>
      </c>
    </row>
    <row r="22" spans="1:11" ht="14.4" customHeight="1" thickBot="1" x14ac:dyDescent="0.35">
      <c r="A22" s="590" t="s">
        <v>300</v>
      </c>
      <c r="B22" s="568">
        <v>3224.6084219258601</v>
      </c>
      <c r="C22" s="568">
        <v>3866.2629999999999</v>
      </c>
      <c r="D22" s="569">
        <v>641.65457807414305</v>
      </c>
      <c r="E22" s="570">
        <v>1.198986820759</v>
      </c>
      <c r="F22" s="568">
        <v>4101.84861955208</v>
      </c>
      <c r="G22" s="569">
        <v>2392.74502807205</v>
      </c>
      <c r="H22" s="571">
        <v>0</v>
      </c>
      <c r="I22" s="568">
        <v>1689.9680000000001</v>
      </c>
      <c r="J22" s="569">
        <v>-702.77702807204605</v>
      </c>
      <c r="K22" s="572">
        <v>0.412001552652</v>
      </c>
    </row>
    <row r="23" spans="1:11" ht="14.4" customHeight="1" thickBot="1" x14ac:dyDescent="0.35">
      <c r="A23" s="590" t="s">
        <v>301</v>
      </c>
      <c r="B23" s="568">
        <v>406.99998718048801</v>
      </c>
      <c r="C23" s="568">
        <v>526.92600000000004</v>
      </c>
      <c r="D23" s="569">
        <v>119.926012819512</v>
      </c>
      <c r="E23" s="570">
        <v>1.294658517437</v>
      </c>
      <c r="F23" s="568">
        <v>560.84765104618896</v>
      </c>
      <c r="G23" s="569">
        <v>327.16112977694399</v>
      </c>
      <c r="H23" s="571">
        <v>0</v>
      </c>
      <c r="I23" s="568">
        <v>239.304</v>
      </c>
      <c r="J23" s="569">
        <v>-87.857129776942998</v>
      </c>
      <c r="K23" s="572">
        <v>0.42668271776400002</v>
      </c>
    </row>
    <row r="24" spans="1:11" ht="14.4" customHeight="1" thickBot="1" x14ac:dyDescent="0.35">
      <c r="A24" s="589" t="s">
        <v>302</v>
      </c>
      <c r="B24" s="573">
        <v>3909.3694227553401</v>
      </c>
      <c r="C24" s="573">
        <v>3984.1931199999999</v>
      </c>
      <c r="D24" s="574">
        <v>74.823697244659996</v>
      </c>
      <c r="E24" s="580">
        <v>1.019139582155</v>
      </c>
      <c r="F24" s="573">
        <v>3910.0003529927899</v>
      </c>
      <c r="G24" s="574">
        <v>2280.8335392457898</v>
      </c>
      <c r="H24" s="576">
        <v>271.13411000000002</v>
      </c>
      <c r="I24" s="573">
        <v>2224.3153900000002</v>
      </c>
      <c r="J24" s="574">
        <v>-56.518149245789999</v>
      </c>
      <c r="K24" s="581">
        <v>0.56887856501</v>
      </c>
    </row>
    <row r="25" spans="1:11" ht="14.4" customHeight="1" thickBot="1" x14ac:dyDescent="0.35">
      <c r="A25" s="590" t="s">
        <v>303</v>
      </c>
      <c r="B25" s="568">
        <v>629.99998658203197</v>
      </c>
      <c r="C25" s="568">
        <v>551.10703999999998</v>
      </c>
      <c r="D25" s="569">
        <v>-78.892946582031996</v>
      </c>
      <c r="E25" s="570">
        <v>0.874773097996</v>
      </c>
      <c r="F25" s="568">
        <v>600.00005416769102</v>
      </c>
      <c r="G25" s="569">
        <v>350.00003159782</v>
      </c>
      <c r="H25" s="571">
        <v>49.258769999999998</v>
      </c>
      <c r="I25" s="568">
        <v>252.69102000000001</v>
      </c>
      <c r="J25" s="569">
        <v>-97.309011597818994</v>
      </c>
      <c r="K25" s="572">
        <v>0.42115166197800002</v>
      </c>
    </row>
    <row r="26" spans="1:11" ht="14.4" customHeight="1" thickBot="1" x14ac:dyDescent="0.35">
      <c r="A26" s="590" t="s">
        <v>304</v>
      </c>
      <c r="B26" s="568">
        <v>0.36951998836099997</v>
      </c>
      <c r="C26" s="568">
        <v>1.1046899999999999</v>
      </c>
      <c r="D26" s="569">
        <v>0.735170011638</v>
      </c>
      <c r="E26" s="570">
        <v>2.9895270480480001</v>
      </c>
      <c r="F26" s="568">
        <v>1.0000000902790001</v>
      </c>
      <c r="G26" s="569">
        <v>0.58333338599600004</v>
      </c>
      <c r="H26" s="571">
        <v>0</v>
      </c>
      <c r="I26" s="568">
        <v>0</v>
      </c>
      <c r="J26" s="569">
        <v>-0.58333338599600004</v>
      </c>
      <c r="K26" s="572">
        <v>0</v>
      </c>
    </row>
    <row r="27" spans="1:11" ht="14.4" customHeight="1" thickBot="1" x14ac:dyDescent="0.35">
      <c r="A27" s="590" t="s">
        <v>305</v>
      </c>
      <c r="B27" s="568">
        <v>382.999987936428</v>
      </c>
      <c r="C27" s="568">
        <v>372.94108</v>
      </c>
      <c r="D27" s="569">
        <v>-10.058907936428</v>
      </c>
      <c r="E27" s="570">
        <v>0.97373653197499999</v>
      </c>
      <c r="F27" s="568">
        <v>380.00003430620399</v>
      </c>
      <c r="G27" s="569">
        <v>221.66668667861899</v>
      </c>
      <c r="H27" s="571">
        <v>25.102219999999999</v>
      </c>
      <c r="I27" s="568">
        <v>256.05932000000001</v>
      </c>
      <c r="J27" s="569">
        <v>34.392633321380998</v>
      </c>
      <c r="K27" s="572">
        <v>0.673840254955</v>
      </c>
    </row>
    <row r="28" spans="1:11" ht="14.4" customHeight="1" thickBot="1" x14ac:dyDescent="0.35">
      <c r="A28" s="590" t="s">
        <v>306</v>
      </c>
      <c r="B28" s="568">
        <v>2381.9999434933502</v>
      </c>
      <c r="C28" s="568">
        <v>2281.1239399999999</v>
      </c>
      <c r="D28" s="569">
        <v>-100.876003493346</v>
      </c>
      <c r="E28" s="570">
        <v>0.95765071121400003</v>
      </c>
      <c r="F28" s="568">
        <v>2253.0002033996798</v>
      </c>
      <c r="G28" s="569">
        <v>1314.25011864981</v>
      </c>
      <c r="H28" s="571">
        <v>168.43385000000001</v>
      </c>
      <c r="I28" s="568">
        <v>1302.82411</v>
      </c>
      <c r="J28" s="569">
        <v>-11.426008649811999</v>
      </c>
      <c r="K28" s="572">
        <v>0.57826186967600002</v>
      </c>
    </row>
    <row r="29" spans="1:11" ht="14.4" customHeight="1" thickBot="1" x14ac:dyDescent="0.35">
      <c r="A29" s="590" t="s">
        <v>307</v>
      </c>
      <c r="B29" s="568">
        <v>87.999997228213005</v>
      </c>
      <c r="C29" s="568">
        <v>111.18277999999999</v>
      </c>
      <c r="D29" s="569">
        <v>23.182782771786002</v>
      </c>
      <c r="E29" s="570">
        <v>1.2634407216129999</v>
      </c>
      <c r="F29" s="568">
        <v>90.000008125153002</v>
      </c>
      <c r="G29" s="569">
        <v>52.500004739672001</v>
      </c>
      <c r="H29" s="571">
        <v>5.1364999999999998</v>
      </c>
      <c r="I29" s="568">
        <v>79.523319999999998</v>
      </c>
      <c r="J29" s="569">
        <v>27.023315260326999</v>
      </c>
      <c r="K29" s="572">
        <v>0.88359236467400004</v>
      </c>
    </row>
    <row r="30" spans="1:11" ht="14.4" customHeight="1" thickBot="1" x14ac:dyDescent="0.35">
      <c r="A30" s="590" t="s">
        <v>308</v>
      </c>
      <c r="B30" s="568">
        <v>19.999999370047998</v>
      </c>
      <c r="C30" s="568">
        <v>26.712510000000002</v>
      </c>
      <c r="D30" s="569">
        <v>6.7125106299509998</v>
      </c>
      <c r="E30" s="570">
        <v>1.3356255420680001</v>
      </c>
      <c r="F30" s="568">
        <v>20.000001805589001</v>
      </c>
      <c r="G30" s="569">
        <v>11.666667719927</v>
      </c>
      <c r="H30" s="571">
        <v>0</v>
      </c>
      <c r="I30" s="568">
        <v>7.0171200000000002</v>
      </c>
      <c r="J30" s="569">
        <v>-4.6495477199269999</v>
      </c>
      <c r="K30" s="572">
        <v>0.35085596832400001</v>
      </c>
    </row>
    <row r="31" spans="1:11" ht="14.4" customHeight="1" thickBot="1" x14ac:dyDescent="0.35">
      <c r="A31" s="590" t="s">
        <v>309</v>
      </c>
      <c r="B31" s="568">
        <v>23.999999244057999</v>
      </c>
      <c r="C31" s="568">
        <v>26.344360000000002</v>
      </c>
      <c r="D31" s="569">
        <v>2.344360755941</v>
      </c>
      <c r="E31" s="570">
        <v>1.09768170124</v>
      </c>
      <c r="F31" s="568">
        <v>25.000002256986999</v>
      </c>
      <c r="G31" s="569">
        <v>14.583334649909</v>
      </c>
      <c r="H31" s="571">
        <v>1.17</v>
      </c>
      <c r="I31" s="568">
        <v>16.529949999999999</v>
      </c>
      <c r="J31" s="569">
        <v>1.9466153500900001</v>
      </c>
      <c r="K31" s="572">
        <v>0.66119794030699997</v>
      </c>
    </row>
    <row r="32" spans="1:11" ht="14.4" customHeight="1" thickBot="1" x14ac:dyDescent="0.35">
      <c r="A32" s="590" t="s">
        <v>310</v>
      </c>
      <c r="B32" s="568">
        <v>179.99999433043601</v>
      </c>
      <c r="C32" s="568">
        <v>203.56461999999999</v>
      </c>
      <c r="D32" s="569">
        <v>23.564625669563</v>
      </c>
      <c r="E32" s="570">
        <v>1.1309145911759999</v>
      </c>
      <c r="F32" s="568">
        <v>180.000016250307</v>
      </c>
      <c r="G32" s="569">
        <v>105.00000947934601</v>
      </c>
      <c r="H32" s="571">
        <v>8.7844999999999995</v>
      </c>
      <c r="I32" s="568">
        <v>113.00326</v>
      </c>
      <c r="J32" s="569">
        <v>8.0032505206539994</v>
      </c>
      <c r="K32" s="572">
        <v>0.62779583221099999</v>
      </c>
    </row>
    <row r="33" spans="1:11" ht="14.4" customHeight="1" thickBot="1" x14ac:dyDescent="0.35">
      <c r="A33" s="590" t="s">
        <v>311</v>
      </c>
      <c r="B33" s="568">
        <v>198.99999467690901</v>
      </c>
      <c r="C33" s="568">
        <v>229.80734000000001</v>
      </c>
      <c r="D33" s="569">
        <v>30.807345323090001</v>
      </c>
      <c r="E33" s="570">
        <v>1.1548107846589999</v>
      </c>
      <c r="F33" s="568">
        <v>200.00001805589699</v>
      </c>
      <c r="G33" s="569">
        <v>116.666677199273</v>
      </c>
      <c r="H33" s="571">
        <v>8.9702400000000004</v>
      </c>
      <c r="I33" s="568">
        <v>86.346239999999995</v>
      </c>
      <c r="J33" s="569">
        <v>-30.320437199273002</v>
      </c>
      <c r="K33" s="572">
        <v>0.43173116102300002</v>
      </c>
    </row>
    <row r="34" spans="1:11" ht="14.4" customHeight="1" thickBot="1" x14ac:dyDescent="0.35">
      <c r="A34" s="590" t="s">
        <v>312</v>
      </c>
      <c r="B34" s="568">
        <v>0</v>
      </c>
      <c r="C34" s="568">
        <v>177.44334000000001</v>
      </c>
      <c r="D34" s="569">
        <v>177.44334000000001</v>
      </c>
      <c r="E34" s="578" t="s">
        <v>293</v>
      </c>
      <c r="F34" s="568">
        <v>157.00001417387901</v>
      </c>
      <c r="G34" s="569">
        <v>91.583341601428998</v>
      </c>
      <c r="H34" s="571">
        <v>3.9949300000000001</v>
      </c>
      <c r="I34" s="568">
        <v>108.03442</v>
      </c>
      <c r="J34" s="569">
        <v>16.451078398570001</v>
      </c>
      <c r="K34" s="572">
        <v>0.68811726271700002</v>
      </c>
    </row>
    <row r="35" spans="1:11" ht="14.4" customHeight="1" thickBot="1" x14ac:dyDescent="0.35">
      <c r="A35" s="590" t="s">
        <v>313</v>
      </c>
      <c r="B35" s="568">
        <v>2.9999999055069999</v>
      </c>
      <c r="C35" s="568">
        <v>2.8614199999999999</v>
      </c>
      <c r="D35" s="569">
        <v>-0.138579905507</v>
      </c>
      <c r="E35" s="570">
        <v>0.95380669670899998</v>
      </c>
      <c r="F35" s="568">
        <v>4.0000003611170003</v>
      </c>
      <c r="G35" s="569">
        <v>2.3333335439849998</v>
      </c>
      <c r="H35" s="571">
        <v>0.28310000000000002</v>
      </c>
      <c r="I35" s="568">
        <v>2.2866300000000002</v>
      </c>
      <c r="J35" s="569">
        <v>-4.6703543984999998E-2</v>
      </c>
      <c r="K35" s="572">
        <v>0.57165744839099997</v>
      </c>
    </row>
    <row r="36" spans="1:11" ht="14.4" customHeight="1" thickBot="1" x14ac:dyDescent="0.35">
      <c r="A36" s="589" t="s">
        <v>314</v>
      </c>
      <c r="B36" s="573">
        <v>58</v>
      </c>
      <c r="C36" s="573">
        <v>66.878950000000003</v>
      </c>
      <c r="D36" s="574">
        <v>8.8789499999999997</v>
      </c>
      <c r="E36" s="580">
        <v>1.153085344827</v>
      </c>
      <c r="F36" s="573">
        <v>65.408991560133998</v>
      </c>
      <c r="G36" s="574">
        <v>38.155245076744002</v>
      </c>
      <c r="H36" s="576">
        <v>6.8672000000000004</v>
      </c>
      <c r="I36" s="573">
        <v>40.215820000000001</v>
      </c>
      <c r="J36" s="574">
        <v>2.0605749232549999</v>
      </c>
      <c r="K36" s="581">
        <v>0.614836263956</v>
      </c>
    </row>
    <row r="37" spans="1:11" ht="14.4" customHeight="1" thickBot="1" x14ac:dyDescent="0.35">
      <c r="A37" s="590" t="s">
        <v>315</v>
      </c>
      <c r="B37" s="568">
        <v>38</v>
      </c>
      <c r="C37" s="568">
        <v>43.419110000000003</v>
      </c>
      <c r="D37" s="569">
        <v>5.4191099999999999</v>
      </c>
      <c r="E37" s="570">
        <v>1.1426081578939999</v>
      </c>
      <c r="F37" s="568">
        <v>48.967497144989999</v>
      </c>
      <c r="G37" s="569">
        <v>28.564373334578001</v>
      </c>
      <c r="H37" s="571">
        <v>4.2741899999999999</v>
      </c>
      <c r="I37" s="568">
        <v>24.944130000000001</v>
      </c>
      <c r="J37" s="569">
        <v>-3.6202433345770002</v>
      </c>
      <c r="K37" s="572">
        <v>0.50940177575599999</v>
      </c>
    </row>
    <row r="38" spans="1:11" ht="14.4" customHeight="1" thickBot="1" x14ac:dyDescent="0.35">
      <c r="A38" s="590" t="s">
        <v>316</v>
      </c>
      <c r="B38" s="568">
        <v>20</v>
      </c>
      <c r="C38" s="568">
        <v>23.45984</v>
      </c>
      <c r="D38" s="569">
        <v>3.4598399999999998</v>
      </c>
      <c r="E38" s="570">
        <v>1.172992</v>
      </c>
      <c r="F38" s="568">
        <v>16.441494415143001</v>
      </c>
      <c r="G38" s="569">
        <v>9.5908717421659997</v>
      </c>
      <c r="H38" s="571">
        <v>2.59301</v>
      </c>
      <c r="I38" s="568">
        <v>15.27169</v>
      </c>
      <c r="J38" s="569">
        <v>5.6808182578329998</v>
      </c>
      <c r="K38" s="572">
        <v>0.928850481251</v>
      </c>
    </row>
    <row r="39" spans="1:11" ht="14.4" customHeight="1" thickBot="1" x14ac:dyDescent="0.35">
      <c r="A39" s="589" t="s">
        <v>317</v>
      </c>
      <c r="B39" s="573">
        <v>341.42880225296801</v>
      </c>
      <c r="C39" s="573">
        <v>378.39614999999998</v>
      </c>
      <c r="D39" s="574">
        <v>36.967347747030999</v>
      </c>
      <c r="E39" s="580">
        <v>1.108272493424</v>
      </c>
      <c r="F39" s="573">
        <v>378.481903829185</v>
      </c>
      <c r="G39" s="574">
        <v>220.781110567024</v>
      </c>
      <c r="H39" s="576">
        <v>21.463550000000001</v>
      </c>
      <c r="I39" s="573">
        <v>229.51418000000001</v>
      </c>
      <c r="J39" s="574">
        <v>8.7330694329750003</v>
      </c>
      <c r="K39" s="581">
        <v>0.60640727516399995</v>
      </c>
    </row>
    <row r="40" spans="1:11" ht="14.4" customHeight="1" thickBot="1" x14ac:dyDescent="0.35">
      <c r="A40" s="590" t="s">
        <v>318</v>
      </c>
      <c r="B40" s="568">
        <v>0</v>
      </c>
      <c r="C40" s="568">
        <v>36.107030000000002</v>
      </c>
      <c r="D40" s="569">
        <v>36.107030000000002</v>
      </c>
      <c r="E40" s="578" t="s">
        <v>293</v>
      </c>
      <c r="F40" s="568">
        <v>19.697506190725001</v>
      </c>
      <c r="G40" s="569">
        <v>11.490211944588999</v>
      </c>
      <c r="H40" s="571">
        <v>0</v>
      </c>
      <c r="I40" s="568">
        <v>5.5739999999989998</v>
      </c>
      <c r="J40" s="569">
        <v>-5.9162119445889996</v>
      </c>
      <c r="K40" s="572">
        <v>0.28297998467500002</v>
      </c>
    </row>
    <row r="41" spans="1:11" ht="14.4" customHeight="1" thickBot="1" x14ac:dyDescent="0.35">
      <c r="A41" s="590" t="s">
        <v>319</v>
      </c>
      <c r="B41" s="568">
        <v>2.9999999055069999</v>
      </c>
      <c r="C41" s="568">
        <v>7.3582700000000001</v>
      </c>
      <c r="D41" s="569">
        <v>4.3582700944920001</v>
      </c>
      <c r="E41" s="570">
        <v>2.4527567439219999</v>
      </c>
      <c r="F41" s="568">
        <v>8.3343548604290003</v>
      </c>
      <c r="G41" s="569">
        <v>4.8617070019169999</v>
      </c>
      <c r="H41" s="571">
        <v>0.29707</v>
      </c>
      <c r="I41" s="568">
        <v>2.8636200000000001</v>
      </c>
      <c r="J41" s="569">
        <v>-1.9980870019170001</v>
      </c>
      <c r="K41" s="572">
        <v>0.34359228134000003</v>
      </c>
    </row>
    <row r="42" spans="1:11" ht="14.4" customHeight="1" thickBot="1" x14ac:dyDescent="0.35">
      <c r="A42" s="590" t="s">
        <v>320</v>
      </c>
      <c r="B42" s="568">
        <v>225.207701234583</v>
      </c>
      <c r="C42" s="568">
        <v>194.79614000000001</v>
      </c>
      <c r="D42" s="569">
        <v>-30.411561234581999</v>
      </c>
      <c r="E42" s="570">
        <v>0.86496216129400005</v>
      </c>
      <c r="F42" s="568">
        <v>191.80018709975499</v>
      </c>
      <c r="G42" s="569">
        <v>111.88344247485701</v>
      </c>
      <c r="H42" s="571">
        <v>9.6324699999999996</v>
      </c>
      <c r="I42" s="568">
        <v>127.02105</v>
      </c>
      <c r="J42" s="569">
        <v>15.137607525143</v>
      </c>
      <c r="K42" s="572">
        <v>0.66225717461800004</v>
      </c>
    </row>
    <row r="43" spans="1:11" ht="14.4" customHeight="1" thickBot="1" x14ac:dyDescent="0.35">
      <c r="A43" s="590" t="s">
        <v>321</v>
      </c>
      <c r="B43" s="568">
        <v>35.999998866086997</v>
      </c>
      <c r="C43" s="568">
        <v>46.259569999999997</v>
      </c>
      <c r="D43" s="569">
        <v>10.259571133912001</v>
      </c>
      <c r="E43" s="570">
        <v>1.2849880960290001</v>
      </c>
      <c r="F43" s="568">
        <v>55.601336356822998</v>
      </c>
      <c r="G43" s="569">
        <v>32.434112874813003</v>
      </c>
      <c r="H43" s="571">
        <v>5.2196199999999999</v>
      </c>
      <c r="I43" s="568">
        <v>28.904959999999999</v>
      </c>
      <c r="J43" s="569">
        <v>-3.5291528748130001</v>
      </c>
      <c r="K43" s="572">
        <v>0.51986088633700001</v>
      </c>
    </row>
    <row r="44" spans="1:11" ht="14.4" customHeight="1" thickBot="1" x14ac:dyDescent="0.35">
      <c r="A44" s="590" t="s">
        <v>322</v>
      </c>
      <c r="B44" s="568">
        <v>2.9999999055069999</v>
      </c>
      <c r="C44" s="568">
        <v>6.5576100000000004</v>
      </c>
      <c r="D44" s="569">
        <v>3.5576100944919999</v>
      </c>
      <c r="E44" s="570">
        <v>2.1858700688489998</v>
      </c>
      <c r="F44" s="568">
        <v>7.2183597543599998</v>
      </c>
      <c r="G44" s="569">
        <v>4.2107098567100003</v>
      </c>
      <c r="H44" s="571">
        <v>0</v>
      </c>
      <c r="I44" s="568">
        <v>10.72541</v>
      </c>
      <c r="J44" s="569">
        <v>6.5147001432889997</v>
      </c>
      <c r="K44" s="572">
        <v>1.4858514073810001</v>
      </c>
    </row>
    <row r="45" spans="1:11" ht="14.4" customHeight="1" thickBot="1" x14ac:dyDescent="0.35">
      <c r="A45" s="590" t="s">
        <v>323</v>
      </c>
      <c r="B45" s="568">
        <v>24.974210888194001</v>
      </c>
      <c r="C45" s="568">
        <v>20.735659999999999</v>
      </c>
      <c r="D45" s="569">
        <v>-4.2385508881940002</v>
      </c>
      <c r="E45" s="570">
        <v>0.830282890331</v>
      </c>
      <c r="F45" s="568">
        <v>19.466272473231999</v>
      </c>
      <c r="G45" s="569">
        <v>11.355325609385</v>
      </c>
      <c r="H45" s="571">
        <v>0</v>
      </c>
      <c r="I45" s="568">
        <v>8.3102400000000003</v>
      </c>
      <c r="J45" s="569">
        <v>-3.0450856093850001</v>
      </c>
      <c r="K45" s="572">
        <v>0.42690453508300003</v>
      </c>
    </row>
    <row r="46" spans="1:11" ht="14.4" customHeight="1" thickBot="1" x14ac:dyDescent="0.35">
      <c r="A46" s="590" t="s">
        <v>324</v>
      </c>
      <c r="B46" s="568">
        <v>7.2468927759869999</v>
      </c>
      <c r="C46" s="568">
        <v>10.952400000000001</v>
      </c>
      <c r="D46" s="569">
        <v>3.7055072240119999</v>
      </c>
      <c r="E46" s="570">
        <v>1.511323589096</v>
      </c>
      <c r="F46" s="568">
        <v>13.300507797807001</v>
      </c>
      <c r="G46" s="569">
        <v>7.7586295487210002</v>
      </c>
      <c r="H46" s="571">
        <v>0</v>
      </c>
      <c r="I46" s="568">
        <v>3.54976</v>
      </c>
      <c r="J46" s="569">
        <v>-4.2088695487210002</v>
      </c>
      <c r="K46" s="572">
        <v>0.266889058219</v>
      </c>
    </row>
    <row r="47" spans="1:11" ht="14.4" customHeight="1" thickBot="1" x14ac:dyDescent="0.35">
      <c r="A47" s="590" t="s">
        <v>325</v>
      </c>
      <c r="B47" s="568">
        <v>0</v>
      </c>
      <c r="C47" s="568">
        <v>2.8435000000000001</v>
      </c>
      <c r="D47" s="569">
        <v>2.8435000000000001</v>
      </c>
      <c r="E47" s="578" t="s">
        <v>293</v>
      </c>
      <c r="F47" s="568">
        <v>0</v>
      </c>
      <c r="G47" s="569">
        <v>0</v>
      </c>
      <c r="H47" s="571">
        <v>0</v>
      </c>
      <c r="I47" s="568">
        <v>0</v>
      </c>
      <c r="J47" s="569">
        <v>0</v>
      </c>
      <c r="K47" s="579" t="s">
        <v>281</v>
      </c>
    </row>
    <row r="48" spans="1:11" ht="14.4" customHeight="1" thickBot="1" x14ac:dyDescent="0.35">
      <c r="A48" s="590" t="s">
        <v>326</v>
      </c>
      <c r="B48" s="568">
        <v>41.999998677100997</v>
      </c>
      <c r="C48" s="568">
        <v>52.785969999999999</v>
      </c>
      <c r="D48" s="569">
        <v>10.785971322898</v>
      </c>
      <c r="E48" s="570">
        <v>1.25680884911</v>
      </c>
      <c r="F48" s="568">
        <v>63.063379296050996</v>
      </c>
      <c r="G48" s="569">
        <v>36.78697125603</v>
      </c>
      <c r="H48" s="571">
        <v>6.3143900000000004</v>
      </c>
      <c r="I48" s="568">
        <v>42.56514</v>
      </c>
      <c r="J48" s="569">
        <v>5.7781687439700002</v>
      </c>
      <c r="K48" s="572">
        <v>0.67495812110099995</v>
      </c>
    </row>
    <row r="49" spans="1:11" ht="14.4" customHeight="1" thickBot="1" x14ac:dyDescent="0.35">
      <c r="A49" s="589" t="s">
        <v>327</v>
      </c>
      <c r="B49" s="573">
        <v>203.27993434081901</v>
      </c>
      <c r="C49" s="573">
        <v>97.496250000000003</v>
      </c>
      <c r="D49" s="574">
        <v>-105.78368434081899</v>
      </c>
      <c r="E49" s="580">
        <v>0.47961570981399998</v>
      </c>
      <c r="F49" s="573">
        <v>111.10826860548801</v>
      </c>
      <c r="G49" s="574">
        <v>64.813156686534001</v>
      </c>
      <c r="H49" s="576">
        <v>21.7621</v>
      </c>
      <c r="I49" s="573">
        <v>155.51351</v>
      </c>
      <c r="J49" s="574">
        <v>90.700353313465001</v>
      </c>
      <c r="K49" s="581">
        <v>1.399657396806</v>
      </c>
    </row>
    <row r="50" spans="1:11" ht="14.4" customHeight="1" thickBot="1" x14ac:dyDescent="0.35">
      <c r="A50" s="590" t="s">
        <v>328</v>
      </c>
      <c r="B50" s="568">
        <v>0</v>
      </c>
      <c r="C50" s="568">
        <v>0</v>
      </c>
      <c r="D50" s="569">
        <v>0</v>
      </c>
      <c r="E50" s="570">
        <v>1</v>
      </c>
      <c r="F50" s="568">
        <v>0</v>
      </c>
      <c r="G50" s="569">
        <v>0</v>
      </c>
      <c r="H50" s="571">
        <v>0</v>
      </c>
      <c r="I50" s="568">
        <v>18.774000000000001</v>
      </c>
      <c r="J50" s="569">
        <v>18.774000000000001</v>
      </c>
      <c r="K50" s="579" t="s">
        <v>293</v>
      </c>
    </row>
    <row r="51" spans="1:11" ht="14.4" customHeight="1" thickBot="1" x14ac:dyDescent="0.35">
      <c r="A51" s="590" t="s">
        <v>329</v>
      </c>
      <c r="B51" s="568">
        <v>202.27993437231601</v>
      </c>
      <c r="C51" s="568">
        <v>88.399559999999994</v>
      </c>
      <c r="D51" s="569">
        <v>-113.880374372316</v>
      </c>
      <c r="E51" s="570">
        <v>0.43701596144100002</v>
      </c>
      <c r="F51" s="568">
        <v>105.258731244354</v>
      </c>
      <c r="G51" s="569">
        <v>61.400926559205999</v>
      </c>
      <c r="H51" s="571">
        <v>21.7026</v>
      </c>
      <c r="I51" s="568">
        <v>135.65486999999999</v>
      </c>
      <c r="J51" s="569">
        <v>74.253943440792995</v>
      </c>
      <c r="K51" s="572">
        <v>1.288775462104</v>
      </c>
    </row>
    <row r="52" spans="1:11" ht="14.4" customHeight="1" thickBot="1" x14ac:dyDescent="0.35">
      <c r="A52" s="590" t="s">
        <v>330</v>
      </c>
      <c r="B52" s="568">
        <v>0</v>
      </c>
      <c r="C52" s="568">
        <v>2.8010000000000002</v>
      </c>
      <c r="D52" s="569">
        <v>2.8010000000000002</v>
      </c>
      <c r="E52" s="578" t="s">
        <v>281</v>
      </c>
      <c r="F52" s="568">
        <v>0</v>
      </c>
      <c r="G52" s="569">
        <v>0</v>
      </c>
      <c r="H52" s="571">
        <v>0</v>
      </c>
      <c r="I52" s="568">
        <v>0</v>
      </c>
      <c r="J52" s="569">
        <v>0</v>
      </c>
      <c r="K52" s="579" t="s">
        <v>281</v>
      </c>
    </row>
    <row r="53" spans="1:11" ht="14.4" customHeight="1" thickBot="1" x14ac:dyDescent="0.35">
      <c r="A53" s="590" t="s">
        <v>331</v>
      </c>
      <c r="B53" s="568">
        <v>0.99999996850200001</v>
      </c>
      <c r="C53" s="568">
        <v>6.2956899999999996</v>
      </c>
      <c r="D53" s="569">
        <v>5.2956900314970001</v>
      </c>
      <c r="E53" s="570">
        <v>6.2956901982979998</v>
      </c>
      <c r="F53" s="568">
        <v>5.8495373611329997</v>
      </c>
      <c r="G53" s="569">
        <v>3.4122301273279998</v>
      </c>
      <c r="H53" s="571">
        <v>5.9499999999999997E-2</v>
      </c>
      <c r="I53" s="568">
        <v>1.08464</v>
      </c>
      <c r="J53" s="569">
        <v>-2.327590127328</v>
      </c>
      <c r="K53" s="572">
        <v>0.18542321093700001</v>
      </c>
    </row>
    <row r="54" spans="1:11" ht="14.4" customHeight="1" thickBot="1" x14ac:dyDescent="0.35">
      <c r="A54" s="589" t="s">
        <v>332</v>
      </c>
      <c r="B54" s="573">
        <v>127.99999596831</v>
      </c>
      <c r="C54" s="573">
        <v>131.72001</v>
      </c>
      <c r="D54" s="574">
        <v>3.7200140316889998</v>
      </c>
      <c r="E54" s="580">
        <v>1.029062610537</v>
      </c>
      <c r="F54" s="573">
        <v>142.587383207926</v>
      </c>
      <c r="G54" s="574">
        <v>83.175973537955997</v>
      </c>
      <c r="H54" s="576">
        <v>14.80523</v>
      </c>
      <c r="I54" s="573">
        <v>95.825599999999994</v>
      </c>
      <c r="J54" s="574">
        <v>12.649626462043001</v>
      </c>
      <c r="K54" s="581">
        <v>0.67204824048300005</v>
      </c>
    </row>
    <row r="55" spans="1:11" ht="14.4" customHeight="1" thickBot="1" x14ac:dyDescent="0.35">
      <c r="A55" s="590" t="s">
        <v>333</v>
      </c>
      <c r="B55" s="568">
        <v>11.999999622028</v>
      </c>
      <c r="C55" s="568">
        <v>2.3110400000000002</v>
      </c>
      <c r="D55" s="569">
        <v>-9.6889596220279994</v>
      </c>
      <c r="E55" s="570">
        <v>0.192586672732</v>
      </c>
      <c r="F55" s="568">
        <v>0.46719557325400002</v>
      </c>
      <c r="G55" s="569">
        <v>0.27253075106500002</v>
      </c>
      <c r="H55" s="571">
        <v>0.31218000000000001</v>
      </c>
      <c r="I55" s="568">
        <v>6.2122799999999998</v>
      </c>
      <c r="J55" s="569">
        <v>5.9397492489339996</v>
      </c>
      <c r="K55" s="572">
        <v>0</v>
      </c>
    </row>
    <row r="56" spans="1:11" ht="14.4" customHeight="1" thickBot="1" x14ac:dyDescent="0.35">
      <c r="A56" s="590" t="s">
        <v>334</v>
      </c>
      <c r="B56" s="568">
        <v>4.9999998425119996</v>
      </c>
      <c r="C56" s="568">
        <v>4.0519999999999996</v>
      </c>
      <c r="D56" s="569">
        <v>-0.94799984251199998</v>
      </c>
      <c r="E56" s="570">
        <v>0.81040002552500001</v>
      </c>
      <c r="F56" s="568">
        <v>4.540210264673</v>
      </c>
      <c r="G56" s="569">
        <v>2.6484559877259999</v>
      </c>
      <c r="H56" s="571">
        <v>0.68969999999999998</v>
      </c>
      <c r="I56" s="568">
        <v>2.7987299999999999</v>
      </c>
      <c r="J56" s="569">
        <v>0.150274012273</v>
      </c>
      <c r="K56" s="572">
        <v>0.61643180312000001</v>
      </c>
    </row>
    <row r="57" spans="1:11" ht="14.4" customHeight="1" thickBot="1" x14ac:dyDescent="0.35">
      <c r="A57" s="590" t="s">
        <v>335</v>
      </c>
      <c r="B57" s="568">
        <v>1.999999937004</v>
      </c>
      <c r="C57" s="568">
        <v>8.1026500000000006</v>
      </c>
      <c r="D57" s="569">
        <v>6.102650062995</v>
      </c>
      <c r="E57" s="570">
        <v>4.0513251276059998</v>
      </c>
      <c r="F57" s="568">
        <v>0</v>
      </c>
      <c r="G57" s="569">
        <v>0</v>
      </c>
      <c r="H57" s="571">
        <v>0.84399999999999997</v>
      </c>
      <c r="I57" s="568">
        <v>0.84399999999999997</v>
      </c>
      <c r="J57" s="569">
        <v>0.84399999999999997</v>
      </c>
      <c r="K57" s="579" t="s">
        <v>281</v>
      </c>
    </row>
    <row r="58" spans="1:11" ht="14.4" customHeight="1" thickBot="1" x14ac:dyDescent="0.35">
      <c r="A58" s="590" t="s">
        <v>336</v>
      </c>
      <c r="B58" s="568">
        <v>6.9999997795160001</v>
      </c>
      <c r="C58" s="568">
        <v>10.30687</v>
      </c>
      <c r="D58" s="569">
        <v>3.3068702204829998</v>
      </c>
      <c r="E58" s="570">
        <v>1.472410046377</v>
      </c>
      <c r="F58" s="568">
        <v>18.787730906566001</v>
      </c>
      <c r="G58" s="569">
        <v>10.959509695496999</v>
      </c>
      <c r="H58" s="571">
        <v>2.1404399999999999</v>
      </c>
      <c r="I58" s="568">
        <v>13.795820000000001</v>
      </c>
      <c r="J58" s="569">
        <v>2.8363103045020002</v>
      </c>
      <c r="K58" s="572">
        <v>0.73429942490699995</v>
      </c>
    </row>
    <row r="59" spans="1:11" ht="14.4" customHeight="1" thickBot="1" x14ac:dyDescent="0.35">
      <c r="A59" s="590" t="s">
        <v>337</v>
      </c>
      <c r="B59" s="568">
        <v>1.999999937004</v>
      </c>
      <c r="C59" s="568">
        <v>2.0095299999999998</v>
      </c>
      <c r="D59" s="569">
        <v>9.5300629949999997E-3</v>
      </c>
      <c r="E59" s="570">
        <v>1.004765031647</v>
      </c>
      <c r="F59" s="568">
        <v>6.0700633676519997</v>
      </c>
      <c r="G59" s="569">
        <v>3.5408702977969999</v>
      </c>
      <c r="H59" s="571">
        <v>1.67503</v>
      </c>
      <c r="I59" s="568">
        <v>6.0285900000000003</v>
      </c>
      <c r="J59" s="569">
        <v>2.4877197022019999</v>
      </c>
      <c r="K59" s="572">
        <v>0.993167556063</v>
      </c>
    </row>
    <row r="60" spans="1:11" ht="14.4" customHeight="1" thickBot="1" x14ac:dyDescent="0.35">
      <c r="A60" s="590" t="s">
        <v>338</v>
      </c>
      <c r="B60" s="568">
        <v>99.999996850241999</v>
      </c>
      <c r="C60" s="568">
        <v>104.93792000000001</v>
      </c>
      <c r="D60" s="569">
        <v>4.9379231497570002</v>
      </c>
      <c r="E60" s="570">
        <v>1.049379233052</v>
      </c>
      <c r="F60" s="568">
        <v>112.722183095779</v>
      </c>
      <c r="G60" s="569">
        <v>65.754606805869997</v>
      </c>
      <c r="H60" s="571">
        <v>9.1438799999999993</v>
      </c>
      <c r="I60" s="568">
        <v>66.146180000000001</v>
      </c>
      <c r="J60" s="569">
        <v>0.39157319412899999</v>
      </c>
      <c r="K60" s="572">
        <v>0.586807123348</v>
      </c>
    </row>
    <row r="61" spans="1:11" ht="14.4" customHeight="1" thickBot="1" x14ac:dyDescent="0.35">
      <c r="A61" s="588" t="s">
        <v>29</v>
      </c>
      <c r="B61" s="568">
        <v>299.16703433417598</v>
      </c>
      <c r="C61" s="568">
        <v>309.17200000000003</v>
      </c>
      <c r="D61" s="569">
        <v>10.004965665823001</v>
      </c>
      <c r="E61" s="570">
        <v>1.0334427410689999</v>
      </c>
      <c r="F61" s="568">
        <v>304.68564280130101</v>
      </c>
      <c r="G61" s="569">
        <v>177.73329163409201</v>
      </c>
      <c r="H61" s="571">
        <v>15.292</v>
      </c>
      <c r="I61" s="568">
        <v>176.916</v>
      </c>
      <c r="J61" s="569">
        <v>-0.81729163409100003</v>
      </c>
      <c r="K61" s="572">
        <v>0.58065092392700002</v>
      </c>
    </row>
    <row r="62" spans="1:11" ht="14.4" customHeight="1" thickBot="1" x14ac:dyDescent="0.35">
      <c r="A62" s="589" t="s">
        <v>339</v>
      </c>
      <c r="B62" s="573">
        <v>299.16703433417598</v>
      </c>
      <c r="C62" s="573">
        <v>309.17200000000003</v>
      </c>
      <c r="D62" s="574">
        <v>10.004965665823001</v>
      </c>
      <c r="E62" s="580">
        <v>1.0334427410689999</v>
      </c>
      <c r="F62" s="573">
        <v>304.68564280130101</v>
      </c>
      <c r="G62" s="574">
        <v>177.73329163409201</v>
      </c>
      <c r="H62" s="576">
        <v>15.292</v>
      </c>
      <c r="I62" s="573">
        <v>176.916</v>
      </c>
      <c r="J62" s="574">
        <v>-0.81729163409100003</v>
      </c>
      <c r="K62" s="581">
        <v>0.58065092392700002</v>
      </c>
    </row>
    <row r="63" spans="1:11" ht="14.4" customHeight="1" thickBot="1" x14ac:dyDescent="0.35">
      <c r="A63" s="590" t="s">
        <v>340</v>
      </c>
      <c r="B63" s="568">
        <v>106.167040413208</v>
      </c>
      <c r="C63" s="568">
        <v>106.074</v>
      </c>
      <c r="D63" s="569">
        <v>-9.3040413207000003E-2</v>
      </c>
      <c r="E63" s="570">
        <v>0.99912364126499997</v>
      </c>
      <c r="F63" s="568">
        <v>104.655162717577</v>
      </c>
      <c r="G63" s="569">
        <v>61.048844918585999</v>
      </c>
      <c r="H63" s="571">
        <v>7.95</v>
      </c>
      <c r="I63" s="568">
        <v>55.286999999999999</v>
      </c>
      <c r="J63" s="569">
        <v>-5.7618449185860001</v>
      </c>
      <c r="K63" s="572">
        <v>0.52827780841700001</v>
      </c>
    </row>
    <row r="64" spans="1:11" ht="14.4" customHeight="1" thickBot="1" x14ac:dyDescent="0.35">
      <c r="A64" s="590" t="s">
        <v>341</v>
      </c>
      <c r="B64" s="568">
        <v>29.999999055071999</v>
      </c>
      <c r="C64" s="568">
        <v>26.786000000000001</v>
      </c>
      <c r="D64" s="569">
        <v>-3.2139990550720001</v>
      </c>
      <c r="E64" s="570">
        <v>0.89286669478900005</v>
      </c>
      <c r="F64" s="568">
        <v>25.940625280494999</v>
      </c>
      <c r="G64" s="569">
        <v>15.132031413622</v>
      </c>
      <c r="H64" s="571">
        <v>2.0609999999999999</v>
      </c>
      <c r="I64" s="568">
        <v>16.545000000000002</v>
      </c>
      <c r="J64" s="569">
        <v>1.4129685863770001</v>
      </c>
      <c r="K64" s="572">
        <v>0.63780266748000003</v>
      </c>
    </row>
    <row r="65" spans="1:11" ht="14.4" customHeight="1" thickBot="1" x14ac:dyDescent="0.35">
      <c r="A65" s="590" t="s">
        <v>342</v>
      </c>
      <c r="B65" s="568">
        <v>162.99999486589601</v>
      </c>
      <c r="C65" s="568">
        <v>176.31200000000001</v>
      </c>
      <c r="D65" s="569">
        <v>13.312005134104</v>
      </c>
      <c r="E65" s="570">
        <v>1.0816687457259999</v>
      </c>
      <c r="F65" s="568">
        <v>174.08985480322801</v>
      </c>
      <c r="G65" s="569">
        <v>101.552415301883</v>
      </c>
      <c r="H65" s="571">
        <v>5.2809999999999997</v>
      </c>
      <c r="I65" s="568">
        <v>105.084</v>
      </c>
      <c r="J65" s="569">
        <v>3.5315846981169998</v>
      </c>
      <c r="K65" s="572">
        <v>0.60361932129100004</v>
      </c>
    </row>
    <row r="66" spans="1:11" ht="14.4" customHeight="1" thickBot="1" x14ac:dyDescent="0.35">
      <c r="A66" s="591" t="s">
        <v>343</v>
      </c>
      <c r="B66" s="573">
        <v>1404.38135398842</v>
      </c>
      <c r="C66" s="573">
        <v>1589.7145599999999</v>
      </c>
      <c r="D66" s="574">
        <v>185.33320601157499</v>
      </c>
      <c r="E66" s="580">
        <v>1.1319678629200001</v>
      </c>
      <c r="F66" s="573">
        <v>1546.9264129926</v>
      </c>
      <c r="G66" s="574">
        <v>902.37374091234801</v>
      </c>
      <c r="H66" s="576">
        <v>211.41999000000001</v>
      </c>
      <c r="I66" s="573">
        <v>1000.74147</v>
      </c>
      <c r="J66" s="574">
        <v>98.367729087651</v>
      </c>
      <c r="K66" s="581">
        <v>0.64692247904900002</v>
      </c>
    </row>
    <row r="67" spans="1:11" ht="14.4" customHeight="1" thickBot="1" x14ac:dyDescent="0.35">
      <c r="A67" s="588" t="s">
        <v>32</v>
      </c>
      <c r="B67" s="568">
        <v>574.96339661508296</v>
      </c>
      <c r="C67" s="568">
        <v>534.68736999999999</v>
      </c>
      <c r="D67" s="569">
        <v>-40.276026615082998</v>
      </c>
      <c r="E67" s="570">
        <v>0.92995027709199996</v>
      </c>
      <c r="F67" s="568">
        <v>578.10704015763395</v>
      </c>
      <c r="G67" s="569">
        <v>337.22910675861999</v>
      </c>
      <c r="H67" s="571">
        <v>52.547490000000003</v>
      </c>
      <c r="I67" s="568">
        <v>280.60332</v>
      </c>
      <c r="J67" s="569">
        <v>-56.625786758619</v>
      </c>
      <c r="K67" s="572">
        <v>0.48538298361400001</v>
      </c>
    </row>
    <row r="68" spans="1:11" ht="14.4" customHeight="1" thickBot="1" x14ac:dyDescent="0.35">
      <c r="A68" s="592" t="s">
        <v>344</v>
      </c>
      <c r="B68" s="568">
        <v>574.96339661508296</v>
      </c>
      <c r="C68" s="568">
        <v>534.68736999999999</v>
      </c>
      <c r="D68" s="569">
        <v>-40.276026615082998</v>
      </c>
      <c r="E68" s="570">
        <v>0.92995027709199996</v>
      </c>
      <c r="F68" s="568">
        <v>578.10704015763395</v>
      </c>
      <c r="G68" s="569">
        <v>337.22910675861999</v>
      </c>
      <c r="H68" s="571">
        <v>52.547490000000003</v>
      </c>
      <c r="I68" s="568">
        <v>280.60332</v>
      </c>
      <c r="J68" s="569">
        <v>-56.625786758619</v>
      </c>
      <c r="K68" s="572">
        <v>0.48538298361400001</v>
      </c>
    </row>
    <row r="69" spans="1:11" ht="14.4" customHeight="1" thickBot="1" x14ac:dyDescent="0.35">
      <c r="A69" s="590" t="s">
        <v>345</v>
      </c>
      <c r="B69" s="568">
        <v>517.76746542230205</v>
      </c>
      <c r="C69" s="568">
        <v>476.26542999999998</v>
      </c>
      <c r="D69" s="569">
        <v>-41.502035422302001</v>
      </c>
      <c r="E69" s="570">
        <v>0.91984425790699997</v>
      </c>
      <c r="F69" s="568">
        <v>524.76082482663401</v>
      </c>
      <c r="G69" s="569">
        <v>306.11048114887001</v>
      </c>
      <c r="H69" s="571">
        <v>51.005650000000003</v>
      </c>
      <c r="I69" s="568">
        <v>209.52914000000001</v>
      </c>
      <c r="J69" s="569">
        <v>-96.581341148869001</v>
      </c>
      <c r="K69" s="572">
        <v>0.39928502679099998</v>
      </c>
    </row>
    <row r="70" spans="1:11" ht="14.4" customHeight="1" thickBot="1" x14ac:dyDescent="0.35">
      <c r="A70" s="590" t="s">
        <v>346</v>
      </c>
      <c r="B70" s="568">
        <v>4.4653803817720004</v>
      </c>
      <c r="C70" s="568">
        <v>0.59299999999999997</v>
      </c>
      <c r="D70" s="569">
        <v>-3.8723803817719999</v>
      </c>
      <c r="E70" s="570">
        <v>0.13279943684500001</v>
      </c>
      <c r="F70" s="568">
        <v>0</v>
      </c>
      <c r="G70" s="569">
        <v>0</v>
      </c>
      <c r="H70" s="571">
        <v>0</v>
      </c>
      <c r="I70" s="568">
        <v>2.7969900000000001</v>
      </c>
      <c r="J70" s="569">
        <v>2.7969900000000001</v>
      </c>
      <c r="K70" s="579" t="s">
        <v>281</v>
      </c>
    </row>
    <row r="71" spans="1:11" ht="14.4" customHeight="1" thickBot="1" x14ac:dyDescent="0.35">
      <c r="A71" s="590" t="s">
        <v>347</v>
      </c>
      <c r="B71" s="568">
        <v>35.999998866086997</v>
      </c>
      <c r="C71" s="568">
        <v>27.327850000000002</v>
      </c>
      <c r="D71" s="569">
        <v>-8.6721488660869994</v>
      </c>
      <c r="E71" s="570">
        <v>0.75910696835400004</v>
      </c>
      <c r="F71" s="568">
        <v>23.684919065047001</v>
      </c>
      <c r="G71" s="569">
        <v>13.816202787944</v>
      </c>
      <c r="H71" s="571">
        <v>0</v>
      </c>
      <c r="I71" s="568">
        <v>51.779319999999998</v>
      </c>
      <c r="J71" s="569">
        <v>37.963117212055003</v>
      </c>
      <c r="K71" s="572">
        <v>2.1861725538429999</v>
      </c>
    </row>
    <row r="72" spans="1:11" ht="14.4" customHeight="1" thickBot="1" x14ac:dyDescent="0.35">
      <c r="A72" s="590" t="s">
        <v>348</v>
      </c>
      <c r="B72" s="568">
        <v>16.730551944921</v>
      </c>
      <c r="C72" s="568">
        <v>30.501090000000001</v>
      </c>
      <c r="D72" s="569">
        <v>13.770538055077999</v>
      </c>
      <c r="E72" s="570">
        <v>1.8230773318419999</v>
      </c>
      <c r="F72" s="568">
        <v>29.661296265952</v>
      </c>
      <c r="G72" s="569">
        <v>17.302422821804999</v>
      </c>
      <c r="H72" s="571">
        <v>1.5418400000000001</v>
      </c>
      <c r="I72" s="568">
        <v>16.497869999999999</v>
      </c>
      <c r="J72" s="569">
        <v>-0.80455282180499998</v>
      </c>
      <c r="K72" s="572">
        <v>0.55620866505800004</v>
      </c>
    </row>
    <row r="73" spans="1:11" ht="14.4" customHeight="1" thickBot="1" x14ac:dyDescent="0.35">
      <c r="A73" s="593" t="s">
        <v>33</v>
      </c>
      <c r="B73" s="573">
        <v>0</v>
      </c>
      <c r="C73" s="573">
        <v>119.842</v>
      </c>
      <c r="D73" s="574">
        <v>119.842</v>
      </c>
      <c r="E73" s="575" t="s">
        <v>281</v>
      </c>
      <c r="F73" s="573">
        <v>0</v>
      </c>
      <c r="G73" s="574">
        <v>0</v>
      </c>
      <c r="H73" s="576">
        <v>0</v>
      </c>
      <c r="I73" s="573">
        <v>104.512</v>
      </c>
      <c r="J73" s="574">
        <v>104.512</v>
      </c>
      <c r="K73" s="577" t="s">
        <v>281</v>
      </c>
    </row>
    <row r="74" spans="1:11" ht="14.4" customHeight="1" thickBot="1" x14ac:dyDescent="0.35">
      <c r="A74" s="589" t="s">
        <v>349</v>
      </c>
      <c r="B74" s="573">
        <v>0</v>
      </c>
      <c r="C74" s="573">
        <v>39.792999999999999</v>
      </c>
      <c r="D74" s="574">
        <v>39.792999999999999</v>
      </c>
      <c r="E74" s="575" t="s">
        <v>281</v>
      </c>
      <c r="F74" s="573">
        <v>0</v>
      </c>
      <c r="G74" s="574">
        <v>0</v>
      </c>
      <c r="H74" s="576">
        <v>0</v>
      </c>
      <c r="I74" s="573">
        <v>104.512</v>
      </c>
      <c r="J74" s="574">
        <v>104.512</v>
      </c>
      <c r="K74" s="577" t="s">
        <v>281</v>
      </c>
    </row>
    <row r="75" spans="1:11" ht="14.4" customHeight="1" thickBot="1" x14ac:dyDescent="0.35">
      <c r="A75" s="590" t="s">
        <v>350</v>
      </c>
      <c r="B75" s="568">
        <v>0</v>
      </c>
      <c r="C75" s="568">
        <v>28.533000000000001</v>
      </c>
      <c r="D75" s="569">
        <v>28.533000000000001</v>
      </c>
      <c r="E75" s="578" t="s">
        <v>281</v>
      </c>
      <c r="F75" s="568">
        <v>0</v>
      </c>
      <c r="G75" s="569">
        <v>0</v>
      </c>
      <c r="H75" s="571">
        <v>0</v>
      </c>
      <c r="I75" s="568">
        <v>53.762</v>
      </c>
      <c r="J75" s="569">
        <v>53.762</v>
      </c>
      <c r="K75" s="579" t="s">
        <v>281</v>
      </c>
    </row>
    <row r="76" spans="1:11" ht="14.4" customHeight="1" thickBot="1" x14ac:dyDescent="0.35">
      <c r="A76" s="590" t="s">
        <v>351</v>
      </c>
      <c r="B76" s="568">
        <v>0</v>
      </c>
      <c r="C76" s="568">
        <v>11.26</v>
      </c>
      <c r="D76" s="569">
        <v>11.26</v>
      </c>
      <c r="E76" s="578" t="s">
        <v>281</v>
      </c>
      <c r="F76" s="568">
        <v>0</v>
      </c>
      <c r="G76" s="569">
        <v>0</v>
      </c>
      <c r="H76" s="571">
        <v>0</v>
      </c>
      <c r="I76" s="568">
        <v>50.75</v>
      </c>
      <c r="J76" s="569">
        <v>50.75</v>
      </c>
      <c r="K76" s="579" t="s">
        <v>281</v>
      </c>
    </row>
    <row r="77" spans="1:11" ht="14.4" customHeight="1" thickBot="1" x14ac:dyDescent="0.35">
      <c r="A77" s="589" t="s">
        <v>352</v>
      </c>
      <c r="B77" s="573">
        <v>0</v>
      </c>
      <c r="C77" s="573">
        <v>80.049000000000007</v>
      </c>
      <c r="D77" s="574">
        <v>80.049000000000007</v>
      </c>
      <c r="E77" s="575" t="s">
        <v>281</v>
      </c>
      <c r="F77" s="573">
        <v>0</v>
      </c>
      <c r="G77" s="574">
        <v>0</v>
      </c>
      <c r="H77" s="576">
        <v>0</v>
      </c>
      <c r="I77" s="573">
        <v>0</v>
      </c>
      <c r="J77" s="574">
        <v>0</v>
      </c>
      <c r="K77" s="577" t="s">
        <v>281</v>
      </c>
    </row>
    <row r="78" spans="1:11" ht="14.4" customHeight="1" thickBot="1" x14ac:dyDescent="0.35">
      <c r="A78" s="590" t="s">
        <v>353</v>
      </c>
      <c r="B78" s="568">
        <v>0</v>
      </c>
      <c r="C78" s="568">
        <v>80.049000000000007</v>
      </c>
      <c r="D78" s="569">
        <v>80.049000000000007</v>
      </c>
      <c r="E78" s="578" t="s">
        <v>293</v>
      </c>
      <c r="F78" s="568">
        <v>0</v>
      </c>
      <c r="G78" s="569">
        <v>0</v>
      </c>
      <c r="H78" s="571">
        <v>0</v>
      </c>
      <c r="I78" s="568">
        <v>0</v>
      </c>
      <c r="J78" s="569">
        <v>0</v>
      </c>
      <c r="K78" s="579" t="s">
        <v>281</v>
      </c>
    </row>
    <row r="79" spans="1:11" ht="14.4" customHeight="1" thickBot="1" x14ac:dyDescent="0.35">
      <c r="A79" s="588" t="s">
        <v>34</v>
      </c>
      <c r="B79" s="568">
        <v>829.41795737334201</v>
      </c>
      <c r="C79" s="568">
        <v>935.18519000000003</v>
      </c>
      <c r="D79" s="569">
        <v>105.767232626658</v>
      </c>
      <c r="E79" s="570">
        <v>1.1275198248189999</v>
      </c>
      <c r="F79" s="568">
        <v>968.81937283496302</v>
      </c>
      <c r="G79" s="569">
        <v>565.14463415372802</v>
      </c>
      <c r="H79" s="571">
        <v>158.8725</v>
      </c>
      <c r="I79" s="568">
        <v>615.62615000000005</v>
      </c>
      <c r="J79" s="569">
        <v>50.481515846271002</v>
      </c>
      <c r="K79" s="572">
        <v>0.63543955381299999</v>
      </c>
    </row>
    <row r="80" spans="1:11" ht="14.4" customHeight="1" thickBot="1" x14ac:dyDescent="0.35">
      <c r="A80" s="589" t="s">
        <v>354</v>
      </c>
      <c r="B80" s="573">
        <v>6.9999997795160001</v>
      </c>
      <c r="C80" s="573">
        <v>3.4409000000000001</v>
      </c>
      <c r="D80" s="574">
        <v>-3.559099779516</v>
      </c>
      <c r="E80" s="580">
        <v>0.49155715834000002</v>
      </c>
      <c r="F80" s="573">
        <v>5.2766745769999996</v>
      </c>
      <c r="G80" s="574">
        <v>3.0780601699160002</v>
      </c>
      <c r="H80" s="576">
        <v>0</v>
      </c>
      <c r="I80" s="573">
        <v>0</v>
      </c>
      <c r="J80" s="574">
        <v>-3.0780601699160002</v>
      </c>
      <c r="K80" s="581">
        <v>0</v>
      </c>
    </row>
    <row r="81" spans="1:11" ht="14.4" customHeight="1" thickBot="1" x14ac:dyDescent="0.35">
      <c r="A81" s="590" t="s">
        <v>355</v>
      </c>
      <c r="B81" s="568">
        <v>6.9999997795160001</v>
      </c>
      <c r="C81" s="568">
        <v>3.4409000000000001</v>
      </c>
      <c r="D81" s="569">
        <v>-3.559099779516</v>
      </c>
      <c r="E81" s="570">
        <v>0.49155715834000002</v>
      </c>
      <c r="F81" s="568">
        <v>5.2766745769999996</v>
      </c>
      <c r="G81" s="569">
        <v>3.0780601699160002</v>
      </c>
      <c r="H81" s="571">
        <v>0</v>
      </c>
      <c r="I81" s="568">
        <v>0</v>
      </c>
      <c r="J81" s="569">
        <v>-3.0780601699160002</v>
      </c>
      <c r="K81" s="572">
        <v>0</v>
      </c>
    </row>
    <row r="82" spans="1:11" ht="14.4" customHeight="1" thickBot="1" x14ac:dyDescent="0.35">
      <c r="A82" s="589" t="s">
        <v>356</v>
      </c>
      <c r="B82" s="573">
        <v>6.2488507842930003</v>
      </c>
      <c r="C82" s="573">
        <v>5.7269199999999998</v>
      </c>
      <c r="D82" s="574">
        <v>-0.52193078429299999</v>
      </c>
      <c r="E82" s="580">
        <v>0.91647571652600002</v>
      </c>
      <c r="F82" s="573">
        <v>5.8516966701799999</v>
      </c>
      <c r="G82" s="574">
        <v>3.4134897242719999</v>
      </c>
      <c r="H82" s="576">
        <v>0.25667000000000001</v>
      </c>
      <c r="I82" s="573">
        <v>3.5605099999999998</v>
      </c>
      <c r="J82" s="574">
        <v>0.14702027572699999</v>
      </c>
      <c r="K82" s="581">
        <v>0.608457717595</v>
      </c>
    </row>
    <row r="83" spans="1:11" ht="14.4" customHeight="1" thickBot="1" x14ac:dyDescent="0.35">
      <c r="A83" s="590" t="s">
        <v>357</v>
      </c>
      <c r="B83" s="568">
        <v>1.1983282151400001</v>
      </c>
      <c r="C83" s="568">
        <v>1.1076999999999999</v>
      </c>
      <c r="D83" s="569">
        <v>-9.0628215139999996E-2</v>
      </c>
      <c r="E83" s="570">
        <v>0.92437112470799998</v>
      </c>
      <c r="F83" s="568">
        <v>0.73088596033300002</v>
      </c>
      <c r="G83" s="569">
        <v>0.42635014352700001</v>
      </c>
      <c r="H83" s="571">
        <v>0.1181</v>
      </c>
      <c r="I83" s="568">
        <v>0.79410000000000003</v>
      </c>
      <c r="J83" s="569">
        <v>0.36774985647199998</v>
      </c>
      <c r="K83" s="572">
        <v>1.0864896072670001</v>
      </c>
    </row>
    <row r="84" spans="1:11" ht="14.4" customHeight="1" thickBot="1" x14ac:dyDescent="0.35">
      <c r="A84" s="590" t="s">
        <v>358</v>
      </c>
      <c r="B84" s="568">
        <v>5.0505225691520002</v>
      </c>
      <c r="C84" s="568">
        <v>4.6192200000000003</v>
      </c>
      <c r="D84" s="569">
        <v>-0.43130256915199999</v>
      </c>
      <c r="E84" s="570">
        <v>0.914602387525</v>
      </c>
      <c r="F84" s="568">
        <v>5.1208107098470004</v>
      </c>
      <c r="G84" s="569">
        <v>2.987139580744</v>
      </c>
      <c r="H84" s="571">
        <v>0.13857</v>
      </c>
      <c r="I84" s="568">
        <v>2.76641</v>
      </c>
      <c r="J84" s="569">
        <v>-0.22072958074400001</v>
      </c>
      <c r="K84" s="572">
        <v>0.54022891232400005</v>
      </c>
    </row>
    <row r="85" spans="1:11" ht="14.4" customHeight="1" thickBot="1" x14ac:dyDescent="0.35">
      <c r="A85" s="589" t="s">
        <v>359</v>
      </c>
      <c r="B85" s="573">
        <v>33.001785633859001</v>
      </c>
      <c r="C85" s="573">
        <v>31.54907</v>
      </c>
      <c r="D85" s="574">
        <v>-1.4527156338589999</v>
      </c>
      <c r="E85" s="580">
        <v>0.95598069601500002</v>
      </c>
      <c r="F85" s="573">
        <v>35.893306920904003</v>
      </c>
      <c r="G85" s="574">
        <v>20.937762370527</v>
      </c>
      <c r="H85" s="576">
        <v>3.24</v>
      </c>
      <c r="I85" s="573">
        <v>27.712219999999999</v>
      </c>
      <c r="J85" s="574">
        <v>6.7744576294719998</v>
      </c>
      <c r="K85" s="581">
        <v>0.77207207630800001</v>
      </c>
    </row>
    <row r="86" spans="1:11" ht="14.4" customHeight="1" thickBot="1" x14ac:dyDescent="0.35">
      <c r="A86" s="590" t="s">
        <v>360</v>
      </c>
      <c r="B86" s="568">
        <v>13.001786263811001</v>
      </c>
      <c r="C86" s="568">
        <v>12.96</v>
      </c>
      <c r="D86" s="569">
        <v>-4.1786263810000002E-2</v>
      </c>
      <c r="E86" s="570">
        <v>0.99678611361799996</v>
      </c>
      <c r="F86" s="568">
        <v>12.999979310038</v>
      </c>
      <c r="G86" s="569">
        <v>7.5833212641890002</v>
      </c>
      <c r="H86" s="571">
        <v>3.24</v>
      </c>
      <c r="I86" s="568">
        <v>9.7200000000000006</v>
      </c>
      <c r="J86" s="569">
        <v>2.1366787358099999</v>
      </c>
      <c r="K86" s="572">
        <v>0.74769349767299997</v>
      </c>
    </row>
    <row r="87" spans="1:11" ht="14.4" customHeight="1" thickBot="1" x14ac:dyDescent="0.35">
      <c r="A87" s="590" t="s">
        <v>361</v>
      </c>
      <c r="B87" s="568">
        <v>19.999999370047998</v>
      </c>
      <c r="C87" s="568">
        <v>18.58907</v>
      </c>
      <c r="D87" s="569">
        <v>-1.4109293700479999</v>
      </c>
      <c r="E87" s="570">
        <v>0.92945352927500002</v>
      </c>
      <c r="F87" s="568">
        <v>22.893327610865999</v>
      </c>
      <c r="G87" s="569">
        <v>13.354441106337999</v>
      </c>
      <c r="H87" s="571">
        <v>0</v>
      </c>
      <c r="I87" s="568">
        <v>17.99222</v>
      </c>
      <c r="J87" s="569">
        <v>4.6377788936610003</v>
      </c>
      <c r="K87" s="572">
        <v>0.78591545562200005</v>
      </c>
    </row>
    <row r="88" spans="1:11" ht="14.4" customHeight="1" thickBot="1" x14ac:dyDescent="0.35">
      <c r="A88" s="589" t="s">
        <v>362</v>
      </c>
      <c r="B88" s="573">
        <v>492.15895404046103</v>
      </c>
      <c r="C88" s="573">
        <v>439.22807999999998</v>
      </c>
      <c r="D88" s="574">
        <v>-52.930874040460999</v>
      </c>
      <c r="E88" s="580">
        <v>0.892451669108</v>
      </c>
      <c r="F88" s="573">
        <v>448.06023074944898</v>
      </c>
      <c r="G88" s="574">
        <v>261.36846793717899</v>
      </c>
      <c r="H88" s="576">
        <v>33.252789999999997</v>
      </c>
      <c r="I88" s="573">
        <v>264.92628000000002</v>
      </c>
      <c r="J88" s="574">
        <v>3.5578120628210002</v>
      </c>
      <c r="K88" s="581">
        <v>0.59127381056899997</v>
      </c>
    </row>
    <row r="89" spans="1:11" ht="14.4" customHeight="1" thickBot="1" x14ac:dyDescent="0.35">
      <c r="A89" s="590" t="s">
        <v>363</v>
      </c>
      <c r="B89" s="568">
        <v>492.15895404046103</v>
      </c>
      <c r="C89" s="568">
        <v>439.22807999999998</v>
      </c>
      <c r="D89" s="569">
        <v>-52.930874040460999</v>
      </c>
      <c r="E89" s="570">
        <v>0.892451669108</v>
      </c>
      <c r="F89" s="568">
        <v>448.06023074944898</v>
      </c>
      <c r="G89" s="569">
        <v>261.36846793717899</v>
      </c>
      <c r="H89" s="571">
        <v>33.252789999999997</v>
      </c>
      <c r="I89" s="568">
        <v>235.70982000000001</v>
      </c>
      <c r="J89" s="569">
        <v>-25.658647937177999</v>
      </c>
      <c r="K89" s="572">
        <v>0.526067264674</v>
      </c>
    </row>
    <row r="90" spans="1:11" ht="14.4" customHeight="1" thickBot="1" x14ac:dyDescent="0.35">
      <c r="A90" s="590" t="s">
        <v>364</v>
      </c>
      <c r="B90" s="568">
        <v>0</v>
      </c>
      <c r="C90" s="568">
        <v>0</v>
      </c>
      <c r="D90" s="569">
        <v>0</v>
      </c>
      <c r="E90" s="570">
        <v>1</v>
      </c>
      <c r="F90" s="568">
        <v>0</v>
      </c>
      <c r="G90" s="569">
        <v>0</v>
      </c>
      <c r="H90" s="571">
        <v>0</v>
      </c>
      <c r="I90" s="568">
        <v>22.77946</v>
      </c>
      <c r="J90" s="569">
        <v>22.77946</v>
      </c>
      <c r="K90" s="579" t="s">
        <v>293</v>
      </c>
    </row>
    <row r="91" spans="1:11" ht="14.4" customHeight="1" thickBot="1" x14ac:dyDescent="0.35">
      <c r="A91" s="590" t="s">
        <v>365</v>
      </c>
      <c r="B91" s="568">
        <v>0</v>
      </c>
      <c r="C91" s="568">
        <v>0</v>
      </c>
      <c r="D91" s="569">
        <v>0</v>
      </c>
      <c r="E91" s="570">
        <v>1</v>
      </c>
      <c r="F91" s="568">
        <v>0</v>
      </c>
      <c r="G91" s="569">
        <v>0</v>
      </c>
      <c r="H91" s="571">
        <v>0</v>
      </c>
      <c r="I91" s="568">
        <v>6.4370000000000003</v>
      </c>
      <c r="J91" s="569">
        <v>6.4370000000000003</v>
      </c>
      <c r="K91" s="579" t="s">
        <v>293</v>
      </c>
    </row>
    <row r="92" spans="1:11" ht="14.4" customHeight="1" thickBot="1" x14ac:dyDescent="0.35">
      <c r="A92" s="589" t="s">
        <v>366</v>
      </c>
      <c r="B92" s="573">
        <v>291.00836713521102</v>
      </c>
      <c r="C92" s="573">
        <v>455.24022000000002</v>
      </c>
      <c r="D92" s="574">
        <v>164.231852864789</v>
      </c>
      <c r="E92" s="580">
        <v>1.5643544014949999</v>
      </c>
      <c r="F92" s="573">
        <v>473.73746391742799</v>
      </c>
      <c r="G92" s="574">
        <v>276.346853951833</v>
      </c>
      <c r="H92" s="576">
        <v>122.12304</v>
      </c>
      <c r="I92" s="573">
        <v>319.42714000000001</v>
      </c>
      <c r="J92" s="574">
        <v>43.080286048166002</v>
      </c>
      <c r="K92" s="581">
        <v>0.67427038038800002</v>
      </c>
    </row>
    <row r="93" spans="1:11" ht="14.4" customHeight="1" thickBot="1" x14ac:dyDescent="0.35">
      <c r="A93" s="590" t="s">
        <v>367</v>
      </c>
      <c r="B93" s="568">
        <v>0</v>
      </c>
      <c r="C93" s="568">
        <v>14.103999999999999</v>
      </c>
      <c r="D93" s="569">
        <v>14.103999999999999</v>
      </c>
      <c r="E93" s="578" t="s">
        <v>293</v>
      </c>
      <c r="F93" s="568">
        <v>0.99999840846400001</v>
      </c>
      <c r="G93" s="569">
        <v>0.583332404937</v>
      </c>
      <c r="H93" s="571">
        <v>0</v>
      </c>
      <c r="I93" s="568">
        <v>0.90500000000000003</v>
      </c>
      <c r="J93" s="569">
        <v>0.32166759506199999</v>
      </c>
      <c r="K93" s="572">
        <v>0.90500144034100005</v>
      </c>
    </row>
    <row r="94" spans="1:11" ht="14.4" customHeight="1" thickBot="1" x14ac:dyDescent="0.35">
      <c r="A94" s="590" t="s">
        <v>368</v>
      </c>
      <c r="B94" s="568">
        <v>223.92129432073099</v>
      </c>
      <c r="C94" s="568">
        <v>382.61306999999999</v>
      </c>
      <c r="D94" s="569">
        <v>158.69177567926801</v>
      </c>
      <c r="E94" s="570">
        <v>1.7086944373049999</v>
      </c>
      <c r="F94" s="568">
        <v>380.53282531032397</v>
      </c>
      <c r="G94" s="569">
        <v>221.977481431022</v>
      </c>
      <c r="H94" s="571">
        <v>122.12304</v>
      </c>
      <c r="I94" s="568">
        <v>292.02372000000003</v>
      </c>
      <c r="J94" s="569">
        <v>70.046238568977003</v>
      </c>
      <c r="K94" s="572">
        <v>0.76740743656400001</v>
      </c>
    </row>
    <row r="95" spans="1:11" ht="14.4" customHeight="1" thickBot="1" x14ac:dyDescent="0.35">
      <c r="A95" s="590" t="s">
        <v>369</v>
      </c>
      <c r="B95" s="568">
        <v>3.9999998740090001</v>
      </c>
      <c r="C95" s="568">
        <v>3.9849999999999999</v>
      </c>
      <c r="D95" s="569">
        <v>-1.4999874009E-2</v>
      </c>
      <c r="E95" s="570">
        <v>0.99625003137900003</v>
      </c>
      <c r="F95" s="568">
        <v>5.999990450786</v>
      </c>
      <c r="G95" s="569">
        <v>3.4999944296250001</v>
      </c>
      <c r="H95" s="571">
        <v>0</v>
      </c>
      <c r="I95" s="568">
        <v>0.97399999999999998</v>
      </c>
      <c r="J95" s="569">
        <v>-2.5259944296249999</v>
      </c>
      <c r="K95" s="572">
        <v>0.16233359169299999</v>
      </c>
    </row>
    <row r="96" spans="1:11" ht="14.4" customHeight="1" thickBot="1" x14ac:dyDescent="0.35">
      <c r="A96" s="590" t="s">
        <v>370</v>
      </c>
      <c r="B96" s="568">
        <v>1.4608597273840001</v>
      </c>
      <c r="C96" s="568">
        <v>0.82279999999999998</v>
      </c>
      <c r="D96" s="569">
        <v>-0.63805972738399996</v>
      </c>
      <c r="E96" s="570">
        <v>0.56322998339599994</v>
      </c>
      <c r="F96" s="568">
        <v>1.7826979080700001</v>
      </c>
      <c r="G96" s="569">
        <v>1.0399071130399999</v>
      </c>
      <c r="H96" s="571">
        <v>0</v>
      </c>
      <c r="I96" s="568">
        <v>0.38719999999999999</v>
      </c>
      <c r="J96" s="569">
        <v>-0.65270711303999995</v>
      </c>
      <c r="K96" s="572">
        <v>0.21719888616399999</v>
      </c>
    </row>
    <row r="97" spans="1:11" ht="14.4" customHeight="1" thickBot="1" x14ac:dyDescent="0.35">
      <c r="A97" s="590" t="s">
        <v>371</v>
      </c>
      <c r="B97" s="568">
        <v>61.626213213085002</v>
      </c>
      <c r="C97" s="568">
        <v>53.715350000000001</v>
      </c>
      <c r="D97" s="569">
        <v>-7.9108632130850003</v>
      </c>
      <c r="E97" s="570">
        <v>0.87163152170699998</v>
      </c>
      <c r="F97" s="568">
        <v>84.421951839781997</v>
      </c>
      <c r="G97" s="569">
        <v>49.246138573205997</v>
      </c>
      <c r="H97" s="571">
        <v>0</v>
      </c>
      <c r="I97" s="568">
        <v>25.137219999999999</v>
      </c>
      <c r="J97" s="569">
        <v>-24.108918573206001</v>
      </c>
      <c r="K97" s="572">
        <v>0.297756915733</v>
      </c>
    </row>
    <row r="98" spans="1:11" ht="14.4" customHeight="1" thickBot="1" x14ac:dyDescent="0.35">
      <c r="A98" s="587" t="s">
        <v>35</v>
      </c>
      <c r="B98" s="568">
        <v>33265.998952201597</v>
      </c>
      <c r="C98" s="568">
        <v>36337.680039999999</v>
      </c>
      <c r="D98" s="569">
        <v>3071.6810877983798</v>
      </c>
      <c r="E98" s="570">
        <v>1.092336956187</v>
      </c>
      <c r="F98" s="568">
        <v>38949.383767820298</v>
      </c>
      <c r="G98" s="569">
        <v>22720.4738645619</v>
      </c>
      <c r="H98" s="571">
        <v>4412.7801300000001</v>
      </c>
      <c r="I98" s="568">
        <v>24185.272260000002</v>
      </c>
      <c r="J98" s="569">
        <v>1464.79839543815</v>
      </c>
      <c r="K98" s="572">
        <v>0.62094107583699998</v>
      </c>
    </row>
    <row r="99" spans="1:11" ht="14.4" customHeight="1" thickBot="1" x14ac:dyDescent="0.35">
      <c r="A99" s="593" t="s">
        <v>372</v>
      </c>
      <c r="B99" s="573">
        <v>24690.9992222933</v>
      </c>
      <c r="C99" s="573">
        <v>27010.187999999998</v>
      </c>
      <c r="D99" s="574">
        <v>2319.1887777066599</v>
      </c>
      <c r="E99" s="580">
        <v>1.093928510419</v>
      </c>
      <c r="F99" s="573">
        <v>28782.183045425601</v>
      </c>
      <c r="G99" s="574">
        <v>16789.606776498302</v>
      </c>
      <c r="H99" s="576">
        <v>3259.1779999999999</v>
      </c>
      <c r="I99" s="573">
        <v>17876.366000000002</v>
      </c>
      <c r="J99" s="574">
        <v>1086.75922350171</v>
      </c>
      <c r="K99" s="581">
        <v>0.62109138739699998</v>
      </c>
    </row>
    <row r="100" spans="1:11" ht="14.4" customHeight="1" thickBot="1" x14ac:dyDescent="0.35">
      <c r="A100" s="589" t="s">
        <v>373</v>
      </c>
      <c r="B100" s="573">
        <v>24499.9992283094</v>
      </c>
      <c r="C100" s="573">
        <v>26900.275000000001</v>
      </c>
      <c r="D100" s="574">
        <v>2400.2757716906199</v>
      </c>
      <c r="E100" s="580">
        <v>1.097970442746</v>
      </c>
      <c r="F100" s="573">
        <v>28640.0020342934</v>
      </c>
      <c r="G100" s="574">
        <v>16706.6678533378</v>
      </c>
      <c r="H100" s="576">
        <v>3249.578</v>
      </c>
      <c r="I100" s="573">
        <v>17769.919999999998</v>
      </c>
      <c r="J100" s="574">
        <v>1063.2521466621699</v>
      </c>
      <c r="K100" s="581">
        <v>0.62045805648700003</v>
      </c>
    </row>
    <row r="101" spans="1:11" ht="14.4" customHeight="1" thickBot="1" x14ac:dyDescent="0.35">
      <c r="A101" s="590" t="s">
        <v>374</v>
      </c>
      <c r="B101" s="568">
        <v>24499.9992283094</v>
      </c>
      <c r="C101" s="568">
        <v>26900.275000000001</v>
      </c>
      <c r="D101" s="569">
        <v>2400.2757716906199</v>
      </c>
      <c r="E101" s="570">
        <v>1.097970442746</v>
      </c>
      <c r="F101" s="568">
        <v>28640.0020342934</v>
      </c>
      <c r="G101" s="569">
        <v>16706.6678533378</v>
      </c>
      <c r="H101" s="571">
        <v>3249.578</v>
      </c>
      <c r="I101" s="568">
        <v>17769.919999999998</v>
      </c>
      <c r="J101" s="569">
        <v>1063.2521466621699</v>
      </c>
      <c r="K101" s="572">
        <v>0.62045805648700003</v>
      </c>
    </row>
    <row r="102" spans="1:11" ht="14.4" customHeight="1" thickBot="1" x14ac:dyDescent="0.35">
      <c r="A102" s="589" t="s">
        <v>375</v>
      </c>
      <c r="B102" s="573">
        <v>114.999996377779</v>
      </c>
      <c r="C102" s="573">
        <v>56.497999999999998</v>
      </c>
      <c r="D102" s="574">
        <v>-58.501996377777999</v>
      </c>
      <c r="E102" s="580">
        <v>0.49128697199600002</v>
      </c>
      <c r="F102" s="573">
        <v>60.000005416769</v>
      </c>
      <c r="G102" s="574">
        <v>35.000003159781997</v>
      </c>
      <c r="H102" s="576">
        <v>9.6</v>
      </c>
      <c r="I102" s="573">
        <v>67.2</v>
      </c>
      <c r="J102" s="574">
        <v>32.199996840216997</v>
      </c>
      <c r="K102" s="581">
        <v>1.119999898886</v>
      </c>
    </row>
    <row r="103" spans="1:11" ht="14.4" customHeight="1" thickBot="1" x14ac:dyDescent="0.35">
      <c r="A103" s="590" t="s">
        <v>376</v>
      </c>
      <c r="B103" s="568">
        <v>114.999996377779</v>
      </c>
      <c r="C103" s="568">
        <v>56.497999999999998</v>
      </c>
      <c r="D103" s="569">
        <v>-58.501996377777999</v>
      </c>
      <c r="E103" s="570">
        <v>0.49128697199600002</v>
      </c>
      <c r="F103" s="568">
        <v>60.000005416769</v>
      </c>
      <c r="G103" s="569">
        <v>35.000003159781997</v>
      </c>
      <c r="H103" s="571">
        <v>9.6</v>
      </c>
      <c r="I103" s="568">
        <v>67.2</v>
      </c>
      <c r="J103" s="569">
        <v>32.199996840216997</v>
      </c>
      <c r="K103" s="572">
        <v>1.119999898886</v>
      </c>
    </row>
    <row r="104" spans="1:11" ht="14.4" customHeight="1" thickBot="1" x14ac:dyDescent="0.35">
      <c r="A104" s="589" t="s">
        <v>377</v>
      </c>
      <c r="B104" s="573">
        <v>75.999997606183996</v>
      </c>
      <c r="C104" s="573">
        <v>53.414999999999999</v>
      </c>
      <c r="D104" s="574">
        <v>-22.584997606184</v>
      </c>
      <c r="E104" s="580">
        <v>0.70282896950499996</v>
      </c>
      <c r="F104" s="573">
        <v>82.181005715430999</v>
      </c>
      <c r="G104" s="574">
        <v>47.938920000667999</v>
      </c>
      <c r="H104" s="576">
        <v>0</v>
      </c>
      <c r="I104" s="573">
        <v>39.246000000000002</v>
      </c>
      <c r="J104" s="574">
        <v>-8.6929200006679999</v>
      </c>
      <c r="K104" s="581">
        <v>0.47755560616800002</v>
      </c>
    </row>
    <row r="105" spans="1:11" ht="14.4" customHeight="1" thickBot="1" x14ac:dyDescent="0.35">
      <c r="A105" s="590" t="s">
        <v>378</v>
      </c>
      <c r="B105" s="568">
        <v>75.999997606183996</v>
      </c>
      <c r="C105" s="568">
        <v>53.414999999999999</v>
      </c>
      <c r="D105" s="569">
        <v>-22.584997606184</v>
      </c>
      <c r="E105" s="570">
        <v>0.70282896950499996</v>
      </c>
      <c r="F105" s="568">
        <v>82.181005715430999</v>
      </c>
      <c r="G105" s="569">
        <v>47.938920000667999</v>
      </c>
      <c r="H105" s="571">
        <v>0</v>
      </c>
      <c r="I105" s="568">
        <v>39.246000000000002</v>
      </c>
      <c r="J105" s="569">
        <v>-8.6929200006679999</v>
      </c>
      <c r="K105" s="572">
        <v>0.47755560616800002</v>
      </c>
    </row>
    <row r="106" spans="1:11" ht="14.4" customHeight="1" thickBot="1" x14ac:dyDescent="0.35">
      <c r="A106" s="588" t="s">
        <v>379</v>
      </c>
      <c r="B106" s="568">
        <v>8329.9997376251904</v>
      </c>
      <c r="C106" s="568">
        <v>9057.9548200000008</v>
      </c>
      <c r="D106" s="569">
        <v>727.95508237481397</v>
      </c>
      <c r="E106" s="570">
        <v>1.0873895684629999</v>
      </c>
      <c r="F106" s="568">
        <v>9737.6006917700306</v>
      </c>
      <c r="G106" s="569">
        <v>5680.2670701991801</v>
      </c>
      <c r="H106" s="571">
        <v>1104.8580300000001</v>
      </c>
      <c r="I106" s="568">
        <v>6041.76908</v>
      </c>
      <c r="J106" s="569">
        <v>361.50200980081598</v>
      </c>
      <c r="K106" s="572">
        <v>0.62045767445599997</v>
      </c>
    </row>
    <row r="107" spans="1:11" ht="14.4" customHeight="1" thickBot="1" x14ac:dyDescent="0.35">
      <c r="A107" s="589" t="s">
        <v>380</v>
      </c>
      <c r="B107" s="573">
        <v>2204.99993054784</v>
      </c>
      <c r="C107" s="573">
        <v>2421.0213199999998</v>
      </c>
      <c r="D107" s="574">
        <v>216.021389452156</v>
      </c>
      <c r="E107" s="580">
        <v>1.0979688871910001</v>
      </c>
      <c r="F107" s="573">
        <v>2577.6001831966701</v>
      </c>
      <c r="G107" s="574">
        <v>1503.6001068647299</v>
      </c>
      <c r="H107" s="576">
        <v>292.46352999999999</v>
      </c>
      <c r="I107" s="573">
        <v>1599.28908</v>
      </c>
      <c r="J107" s="574">
        <v>95.688973135275006</v>
      </c>
      <c r="K107" s="581">
        <v>0.62045661325799994</v>
      </c>
    </row>
    <row r="108" spans="1:11" ht="14.4" customHeight="1" thickBot="1" x14ac:dyDescent="0.35">
      <c r="A108" s="590" t="s">
        <v>381</v>
      </c>
      <c r="B108" s="568">
        <v>2204.99993054784</v>
      </c>
      <c r="C108" s="568">
        <v>2421.0213199999998</v>
      </c>
      <c r="D108" s="569">
        <v>216.021389452156</v>
      </c>
      <c r="E108" s="570">
        <v>1.0979688871910001</v>
      </c>
      <c r="F108" s="568">
        <v>2577.6001831966701</v>
      </c>
      <c r="G108" s="569">
        <v>1503.6001068647299</v>
      </c>
      <c r="H108" s="571">
        <v>292.46352999999999</v>
      </c>
      <c r="I108" s="568">
        <v>1599.28908</v>
      </c>
      <c r="J108" s="569">
        <v>95.688973135275006</v>
      </c>
      <c r="K108" s="572">
        <v>0.62045661325799994</v>
      </c>
    </row>
    <row r="109" spans="1:11" ht="14.4" customHeight="1" thickBot="1" x14ac:dyDescent="0.35">
      <c r="A109" s="589" t="s">
        <v>382</v>
      </c>
      <c r="B109" s="573">
        <v>6124.9998070773399</v>
      </c>
      <c r="C109" s="573">
        <v>6636.9335000000001</v>
      </c>
      <c r="D109" s="574">
        <v>511.93369292265697</v>
      </c>
      <c r="E109" s="580">
        <v>1.0835810137220001</v>
      </c>
      <c r="F109" s="573">
        <v>7160.0005085733601</v>
      </c>
      <c r="G109" s="574">
        <v>4176.66696333446</v>
      </c>
      <c r="H109" s="576">
        <v>812.39449999999999</v>
      </c>
      <c r="I109" s="573">
        <v>4442.4799999999996</v>
      </c>
      <c r="J109" s="574">
        <v>265.81303666554197</v>
      </c>
      <c r="K109" s="581">
        <v>0.62045805648700003</v>
      </c>
    </row>
    <row r="110" spans="1:11" ht="14.4" customHeight="1" thickBot="1" x14ac:dyDescent="0.35">
      <c r="A110" s="590" t="s">
        <v>383</v>
      </c>
      <c r="B110" s="568">
        <v>6124.9998070773399</v>
      </c>
      <c r="C110" s="568">
        <v>6636.9335000000001</v>
      </c>
      <c r="D110" s="569">
        <v>511.93369292265697</v>
      </c>
      <c r="E110" s="570">
        <v>1.0835810137220001</v>
      </c>
      <c r="F110" s="568">
        <v>7160.0005085733601</v>
      </c>
      <c r="G110" s="569">
        <v>4176.66696333446</v>
      </c>
      <c r="H110" s="571">
        <v>812.39449999999999</v>
      </c>
      <c r="I110" s="568">
        <v>4442.4799999999996</v>
      </c>
      <c r="J110" s="569">
        <v>265.81303666554197</v>
      </c>
      <c r="K110" s="572">
        <v>0.62045805648700003</v>
      </c>
    </row>
    <row r="111" spans="1:11" ht="14.4" customHeight="1" thickBot="1" x14ac:dyDescent="0.35">
      <c r="A111" s="588" t="s">
        <v>384</v>
      </c>
      <c r="B111" s="568">
        <v>244.999992283094</v>
      </c>
      <c r="C111" s="568">
        <v>269.53721999999999</v>
      </c>
      <c r="D111" s="569">
        <v>24.537227716905999</v>
      </c>
      <c r="E111" s="570">
        <v>1.100151953019</v>
      </c>
      <c r="F111" s="568">
        <v>429.60003062466399</v>
      </c>
      <c r="G111" s="569">
        <v>250.60001786438701</v>
      </c>
      <c r="H111" s="571">
        <v>48.744100000000003</v>
      </c>
      <c r="I111" s="568">
        <v>267.13718</v>
      </c>
      <c r="J111" s="569">
        <v>16.537162135612</v>
      </c>
      <c r="K111" s="572">
        <v>0.62182765585800004</v>
      </c>
    </row>
    <row r="112" spans="1:11" ht="14.4" customHeight="1" thickBot="1" x14ac:dyDescent="0.35">
      <c r="A112" s="589" t="s">
        <v>385</v>
      </c>
      <c r="B112" s="573">
        <v>244.999992283094</v>
      </c>
      <c r="C112" s="573">
        <v>269.53721999999999</v>
      </c>
      <c r="D112" s="574">
        <v>24.537227716905999</v>
      </c>
      <c r="E112" s="580">
        <v>1.100151953019</v>
      </c>
      <c r="F112" s="573">
        <v>429.60003062466399</v>
      </c>
      <c r="G112" s="574">
        <v>250.60001786438701</v>
      </c>
      <c r="H112" s="576">
        <v>48.744100000000003</v>
      </c>
      <c r="I112" s="573">
        <v>267.13718</v>
      </c>
      <c r="J112" s="574">
        <v>16.537162135612</v>
      </c>
      <c r="K112" s="581">
        <v>0.62182765585800004</v>
      </c>
    </row>
    <row r="113" spans="1:11" ht="14.4" customHeight="1" thickBot="1" x14ac:dyDescent="0.35">
      <c r="A113" s="590" t="s">
        <v>386</v>
      </c>
      <c r="B113" s="568">
        <v>244.999992283094</v>
      </c>
      <c r="C113" s="568">
        <v>269.53721999999999</v>
      </c>
      <c r="D113" s="569">
        <v>24.537227716905999</v>
      </c>
      <c r="E113" s="570">
        <v>1.100151953019</v>
      </c>
      <c r="F113" s="568">
        <v>429.60003062466399</v>
      </c>
      <c r="G113" s="569">
        <v>250.60001786438701</v>
      </c>
      <c r="H113" s="571">
        <v>48.744100000000003</v>
      </c>
      <c r="I113" s="568">
        <v>267.13718</v>
      </c>
      <c r="J113" s="569">
        <v>16.537162135612</v>
      </c>
      <c r="K113" s="572">
        <v>0.62182765585800004</v>
      </c>
    </row>
    <row r="114" spans="1:11" ht="14.4" customHeight="1" thickBot="1" x14ac:dyDescent="0.35">
      <c r="A114" s="587" t="s">
        <v>387</v>
      </c>
      <c r="B114" s="568">
        <v>0</v>
      </c>
      <c r="C114" s="568">
        <v>128.24770000000001</v>
      </c>
      <c r="D114" s="569">
        <v>128.24770000000001</v>
      </c>
      <c r="E114" s="578" t="s">
        <v>281</v>
      </c>
      <c r="F114" s="568">
        <v>48.399697705934003</v>
      </c>
      <c r="G114" s="569">
        <v>28.233156995127999</v>
      </c>
      <c r="H114" s="571">
        <v>0</v>
      </c>
      <c r="I114" s="568">
        <v>133.81200000000001</v>
      </c>
      <c r="J114" s="569">
        <v>105.578843004871</v>
      </c>
      <c r="K114" s="572">
        <v>2.7647280115880002</v>
      </c>
    </row>
    <row r="115" spans="1:11" ht="14.4" customHeight="1" thickBot="1" x14ac:dyDescent="0.35">
      <c r="A115" s="588" t="s">
        <v>388</v>
      </c>
      <c r="B115" s="568">
        <v>0</v>
      </c>
      <c r="C115" s="568">
        <v>128.24770000000001</v>
      </c>
      <c r="D115" s="569">
        <v>128.24770000000001</v>
      </c>
      <c r="E115" s="578" t="s">
        <v>281</v>
      </c>
      <c r="F115" s="568">
        <v>48.399697705934003</v>
      </c>
      <c r="G115" s="569">
        <v>28.233156995127999</v>
      </c>
      <c r="H115" s="571">
        <v>0</v>
      </c>
      <c r="I115" s="568">
        <v>133.81200000000001</v>
      </c>
      <c r="J115" s="569">
        <v>105.578843004871</v>
      </c>
      <c r="K115" s="572">
        <v>2.7647280115880002</v>
      </c>
    </row>
    <row r="116" spans="1:11" ht="14.4" customHeight="1" thickBot="1" x14ac:dyDescent="0.35">
      <c r="A116" s="589" t="s">
        <v>389</v>
      </c>
      <c r="B116" s="573">
        <v>0</v>
      </c>
      <c r="C116" s="573">
        <v>122.9477</v>
      </c>
      <c r="D116" s="574">
        <v>122.9477</v>
      </c>
      <c r="E116" s="575" t="s">
        <v>281</v>
      </c>
      <c r="F116" s="573">
        <v>48.399697705934003</v>
      </c>
      <c r="G116" s="574">
        <v>28.233156995127999</v>
      </c>
      <c r="H116" s="576">
        <v>0</v>
      </c>
      <c r="I116" s="573">
        <v>117.11199999999999</v>
      </c>
      <c r="J116" s="574">
        <v>88.878843004871001</v>
      </c>
      <c r="K116" s="581">
        <v>2.41968453422</v>
      </c>
    </row>
    <row r="117" spans="1:11" ht="14.4" customHeight="1" thickBot="1" x14ac:dyDescent="0.35">
      <c r="A117" s="590" t="s">
        <v>390</v>
      </c>
      <c r="B117" s="568">
        <v>0</v>
      </c>
      <c r="C117" s="568">
        <v>0.30299999999999999</v>
      </c>
      <c r="D117" s="569">
        <v>0.30299999999999999</v>
      </c>
      <c r="E117" s="578" t="s">
        <v>281</v>
      </c>
      <c r="F117" s="568">
        <v>0</v>
      </c>
      <c r="G117" s="569">
        <v>0</v>
      </c>
      <c r="H117" s="571">
        <v>0</v>
      </c>
      <c r="I117" s="568">
        <v>1.7849999999999999</v>
      </c>
      <c r="J117" s="569">
        <v>1.7849999999999999</v>
      </c>
      <c r="K117" s="579" t="s">
        <v>281</v>
      </c>
    </row>
    <row r="118" spans="1:11" ht="14.4" customHeight="1" thickBot="1" x14ac:dyDescent="0.35">
      <c r="A118" s="590" t="s">
        <v>391</v>
      </c>
      <c r="B118" s="568">
        <v>0</v>
      </c>
      <c r="C118" s="568">
        <v>13.9</v>
      </c>
      <c r="D118" s="569">
        <v>13.9</v>
      </c>
      <c r="E118" s="578" t="s">
        <v>281</v>
      </c>
      <c r="F118" s="568">
        <v>0</v>
      </c>
      <c r="G118" s="569">
        <v>0</v>
      </c>
      <c r="H118" s="571">
        <v>0</v>
      </c>
      <c r="I118" s="568">
        <v>5</v>
      </c>
      <c r="J118" s="569">
        <v>5</v>
      </c>
      <c r="K118" s="579" t="s">
        <v>281</v>
      </c>
    </row>
    <row r="119" spans="1:11" ht="14.4" customHeight="1" thickBot="1" x14ac:dyDescent="0.35">
      <c r="A119" s="590" t="s">
        <v>392</v>
      </c>
      <c r="B119" s="568">
        <v>0</v>
      </c>
      <c r="C119" s="568">
        <v>66.081999999999994</v>
      </c>
      <c r="D119" s="569">
        <v>66.081999999999994</v>
      </c>
      <c r="E119" s="578" t="s">
        <v>281</v>
      </c>
      <c r="F119" s="568">
        <v>0</v>
      </c>
      <c r="G119" s="569">
        <v>0</v>
      </c>
      <c r="H119" s="571">
        <v>0</v>
      </c>
      <c r="I119" s="568">
        <v>110.327</v>
      </c>
      <c r="J119" s="569">
        <v>110.327</v>
      </c>
      <c r="K119" s="579" t="s">
        <v>281</v>
      </c>
    </row>
    <row r="120" spans="1:11" ht="14.4" customHeight="1" thickBot="1" x14ac:dyDescent="0.35">
      <c r="A120" s="590" t="s">
        <v>393</v>
      </c>
      <c r="B120" s="568">
        <v>0</v>
      </c>
      <c r="C120" s="568">
        <v>0.1</v>
      </c>
      <c r="D120" s="569">
        <v>0.1</v>
      </c>
      <c r="E120" s="578" t="s">
        <v>293</v>
      </c>
      <c r="F120" s="568">
        <v>0</v>
      </c>
      <c r="G120" s="569">
        <v>0</v>
      </c>
      <c r="H120" s="571">
        <v>0</v>
      </c>
      <c r="I120" s="568">
        <v>0</v>
      </c>
      <c r="J120" s="569">
        <v>0</v>
      </c>
      <c r="K120" s="579" t="s">
        <v>281</v>
      </c>
    </row>
    <row r="121" spans="1:11" ht="14.4" customHeight="1" thickBot="1" x14ac:dyDescent="0.35">
      <c r="A121" s="590" t="s">
        <v>394</v>
      </c>
      <c r="B121" s="568">
        <v>0</v>
      </c>
      <c r="C121" s="568">
        <v>42.5627</v>
      </c>
      <c r="D121" s="569">
        <v>42.5627</v>
      </c>
      <c r="E121" s="578" t="s">
        <v>293</v>
      </c>
      <c r="F121" s="568">
        <v>48.399697705934003</v>
      </c>
      <c r="G121" s="569">
        <v>28.233156995127999</v>
      </c>
      <c r="H121" s="571">
        <v>0</v>
      </c>
      <c r="I121" s="568">
        <v>0</v>
      </c>
      <c r="J121" s="569">
        <v>-28.233156995127999</v>
      </c>
      <c r="K121" s="572">
        <v>0</v>
      </c>
    </row>
    <row r="122" spans="1:11" ht="14.4" customHeight="1" thickBot="1" x14ac:dyDescent="0.35">
      <c r="A122" s="592" t="s">
        <v>395</v>
      </c>
      <c r="B122" s="568">
        <v>0</v>
      </c>
      <c r="C122" s="568">
        <v>5.3</v>
      </c>
      <c r="D122" s="569">
        <v>5.3</v>
      </c>
      <c r="E122" s="578" t="s">
        <v>281</v>
      </c>
      <c r="F122" s="568">
        <v>0</v>
      </c>
      <c r="G122" s="569">
        <v>0</v>
      </c>
      <c r="H122" s="571">
        <v>0</v>
      </c>
      <c r="I122" s="568">
        <v>16.7</v>
      </c>
      <c r="J122" s="569">
        <v>16.7</v>
      </c>
      <c r="K122" s="579" t="s">
        <v>281</v>
      </c>
    </row>
    <row r="123" spans="1:11" ht="14.4" customHeight="1" thickBot="1" x14ac:dyDescent="0.35">
      <c r="A123" s="590" t="s">
        <v>396</v>
      </c>
      <c r="B123" s="568">
        <v>0</v>
      </c>
      <c r="C123" s="568">
        <v>5.3</v>
      </c>
      <c r="D123" s="569">
        <v>5.3</v>
      </c>
      <c r="E123" s="578" t="s">
        <v>281</v>
      </c>
      <c r="F123" s="568">
        <v>0</v>
      </c>
      <c r="G123" s="569">
        <v>0</v>
      </c>
      <c r="H123" s="571">
        <v>0</v>
      </c>
      <c r="I123" s="568">
        <v>16.7</v>
      </c>
      <c r="J123" s="569">
        <v>16.7</v>
      </c>
      <c r="K123" s="579" t="s">
        <v>281</v>
      </c>
    </row>
    <row r="124" spans="1:11" ht="14.4" customHeight="1" thickBot="1" x14ac:dyDescent="0.35">
      <c r="A124" s="587" t="s">
        <v>397</v>
      </c>
      <c r="B124" s="568">
        <v>1804.9926433867099</v>
      </c>
      <c r="C124" s="568">
        <v>1766.4012</v>
      </c>
      <c r="D124" s="569">
        <v>-38.591443386705997</v>
      </c>
      <c r="E124" s="570">
        <v>0.97861961181400003</v>
      </c>
      <c r="F124" s="568">
        <v>1830.00422594517</v>
      </c>
      <c r="G124" s="569">
        <v>1067.5024651346801</v>
      </c>
      <c r="H124" s="571">
        <v>147.43</v>
      </c>
      <c r="I124" s="568">
        <v>1140.1649199999999</v>
      </c>
      <c r="J124" s="569">
        <v>72.662454865319006</v>
      </c>
      <c r="K124" s="572">
        <v>0.62303950112999995</v>
      </c>
    </row>
    <row r="125" spans="1:11" ht="14.4" customHeight="1" thickBot="1" x14ac:dyDescent="0.35">
      <c r="A125" s="588" t="s">
        <v>398</v>
      </c>
      <c r="B125" s="568">
        <v>1654.9926433867099</v>
      </c>
      <c r="C125" s="568">
        <v>1609.9380000000001</v>
      </c>
      <c r="D125" s="569">
        <v>-45.054643386705997</v>
      </c>
      <c r="E125" s="570">
        <v>0.97277652951100002</v>
      </c>
      <c r="F125" s="568">
        <v>1830.00422594517</v>
      </c>
      <c r="G125" s="569">
        <v>1067.5024651346801</v>
      </c>
      <c r="H125" s="571">
        <v>147.43</v>
      </c>
      <c r="I125" s="568">
        <v>1086.807</v>
      </c>
      <c r="J125" s="569">
        <v>19.304534865318999</v>
      </c>
      <c r="K125" s="572">
        <v>0.59388223512899996</v>
      </c>
    </row>
    <row r="126" spans="1:11" ht="14.4" customHeight="1" thickBot="1" x14ac:dyDescent="0.35">
      <c r="A126" s="589" t="s">
        <v>399</v>
      </c>
      <c r="B126" s="573">
        <v>1654.9926433867099</v>
      </c>
      <c r="C126" s="573">
        <v>1573.877</v>
      </c>
      <c r="D126" s="574">
        <v>-81.115643386705997</v>
      </c>
      <c r="E126" s="580">
        <v>0.95098730878899995</v>
      </c>
      <c r="F126" s="573">
        <v>1830.00422594517</v>
      </c>
      <c r="G126" s="574">
        <v>1067.5024651346801</v>
      </c>
      <c r="H126" s="576">
        <v>147.43</v>
      </c>
      <c r="I126" s="573">
        <v>1086.807</v>
      </c>
      <c r="J126" s="574">
        <v>19.304534865318999</v>
      </c>
      <c r="K126" s="581">
        <v>0.59388223512899996</v>
      </c>
    </row>
    <row r="127" spans="1:11" ht="14.4" customHeight="1" thickBot="1" x14ac:dyDescent="0.35">
      <c r="A127" s="590" t="s">
        <v>400</v>
      </c>
      <c r="B127" s="568">
        <v>72.999997700674996</v>
      </c>
      <c r="C127" s="568">
        <v>72.837999999999994</v>
      </c>
      <c r="D127" s="569">
        <v>-0.16199770067499999</v>
      </c>
      <c r="E127" s="570">
        <v>0.997780853345</v>
      </c>
      <c r="F127" s="568">
        <v>73.000168575954007</v>
      </c>
      <c r="G127" s="569">
        <v>42.583431669306002</v>
      </c>
      <c r="H127" s="571">
        <v>6.0789999999999997</v>
      </c>
      <c r="I127" s="568">
        <v>42.552999999999997</v>
      </c>
      <c r="J127" s="569">
        <v>-3.0431669306000001E-2</v>
      </c>
      <c r="K127" s="572">
        <v>0.58291646211299997</v>
      </c>
    </row>
    <row r="128" spans="1:11" ht="14.4" customHeight="1" thickBot="1" x14ac:dyDescent="0.35">
      <c r="A128" s="590" t="s">
        <v>401</v>
      </c>
      <c r="B128" s="568">
        <v>832.99997376250303</v>
      </c>
      <c r="C128" s="568">
        <v>752.60500000000002</v>
      </c>
      <c r="D128" s="569">
        <v>-80.394973762502005</v>
      </c>
      <c r="E128" s="570">
        <v>0.90348742341499999</v>
      </c>
      <c r="F128" s="568">
        <v>1061.00245012449</v>
      </c>
      <c r="G128" s="569">
        <v>618.91809590595403</v>
      </c>
      <c r="H128" s="571">
        <v>84.597999999999999</v>
      </c>
      <c r="I128" s="568">
        <v>637.65599999999995</v>
      </c>
      <c r="J128" s="569">
        <v>18.737904094045</v>
      </c>
      <c r="K128" s="572">
        <v>0.60099389961299998</v>
      </c>
    </row>
    <row r="129" spans="1:11" ht="14.4" customHeight="1" thickBot="1" x14ac:dyDescent="0.35">
      <c r="A129" s="590" t="s">
        <v>402</v>
      </c>
      <c r="B129" s="568">
        <v>592.992676837153</v>
      </c>
      <c r="C129" s="568">
        <v>592.69399999999996</v>
      </c>
      <c r="D129" s="569">
        <v>-0.29867683715299997</v>
      </c>
      <c r="E129" s="570">
        <v>0.99949632289000001</v>
      </c>
      <c r="F129" s="568">
        <v>593.00136939097501</v>
      </c>
      <c r="G129" s="569">
        <v>345.917465478069</v>
      </c>
      <c r="H129" s="571">
        <v>49.393000000000001</v>
      </c>
      <c r="I129" s="568">
        <v>345.75099999999998</v>
      </c>
      <c r="J129" s="569">
        <v>-0.16646547806799999</v>
      </c>
      <c r="K129" s="572">
        <v>0.58305261647999995</v>
      </c>
    </row>
    <row r="130" spans="1:11" ht="14.4" customHeight="1" thickBot="1" x14ac:dyDescent="0.35">
      <c r="A130" s="590" t="s">
        <v>403</v>
      </c>
      <c r="B130" s="568">
        <v>155.99999508637501</v>
      </c>
      <c r="C130" s="568">
        <v>155.74</v>
      </c>
      <c r="D130" s="569">
        <v>-0.25999508637500002</v>
      </c>
      <c r="E130" s="570">
        <v>0.99833336477800005</v>
      </c>
      <c r="F130" s="568">
        <v>103.000237853744</v>
      </c>
      <c r="G130" s="569">
        <v>60.083472081350003</v>
      </c>
      <c r="H130" s="571">
        <v>7.36</v>
      </c>
      <c r="I130" s="568">
        <v>60.847000000000001</v>
      </c>
      <c r="J130" s="569">
        <v>0.76352791864900005</v>
      </c>
      <c r="K130" s="572">
        <v>0.59074620862899996</v>
      </c>
    </row>
    <row r="131" spans="1:11" ht="14.4" customHeight="1" thickBot="1" x14ac:dyDescent="0.35">
      <c r="A131" s="589" t="s">
        <v>404</v>
      </c>
      <c r="B131" s="573">
        <v>0</v>
      </c>
      <c r="C131" s="573">
        <v>36.061</v>
      </c>
      <c r="D131" s="574">
        <v>36.061</v>
      </c>
      <c r="E131" s="575" t="s">
        <v>281</v>
      </c>
      <c r="F131" s="573">
        <v>0</v>
      </c>
      <c r="G131" s="574">
        <v>0</v>
      </c>
      <c r="H131" s="576">
        <v>0</v>
      </c>
      <c r="I131" s="573">
        <v>0</v>
      </c>
      <c r="J131" s="574">
        <v>0</v>
      </c>
      <c r="K131" s="577" t="s">
        <v>281</v>
      </c>
    </row>
    <row r="132" spans="1:11" ht="14.4" customHeight="1" thickBot="1" x14ac:dyDescent="0.35">
      <c r="A132" s="590" t="s">
        <v>405</v>
      </c>
      <c r="B132" s="568">
        <v>0</v>
      </c>
      <c r="C132" s="568">
        <v>36.061</v>
      </c>
      <c r="D132" s="569">
        <v>36.061</v>
      </c>
      <c r="E132" s="578" t="s">
        <v>293</v>
      </c>
      <c r="F132" s="568">
        <v>0</v>
      </c>
      <c r="G132" s="569">
        <v>0</v>
      </c>
      <c r="H132" s="571">
        <v>0</v>
      </c>
      <c r="I132" s="568">
        <v>0</v>
      </c>
      <c r="J132" s="569">
        <v>0</v>
      </c>
      <c r="K132" s="579" t="s">
        <v>281</v>
      </c>
    </row>
    <row r="133" spans="1:11" ht="14.4" customHeight="1" thickBot="1" x14ac:dyDescent="0.35">
      <c r="A133" s="588" t="s">
        <v>406</v>
      </c>
      <c r="B133" s="568">
        <v>150</v>
      </c>
      <c r="C133" s="568">
        <v>156.4632</v>
      </c>
      <c r="D133" s="569">
        <v>6.4631999999999996</v>
      </c>
      <c r="E133" s="570">
        <v>1.043088</v>
      </c>
      <c r="F133" s="568">
        <v>0</v>
      </c>
      <c r="G133" s="569">
        <v>0</v>
      </c>
      <c r="H133" s="571">
        <v>0</v>
      </c>
      <c r="I133" s="568">
        <v>53.35792</v>
      </c>
      <c r="J133" s="569">
        <v>53.35792</v>
      </c>
      <c r="K133" s="579" t="s">
        <v>281</v>
      </c>
    </row>
    <row r="134" spans="1:11" ht="14.4" customHeight="1" thickBot="1" x14ac:dyDescent="0.35">
      <c r="A134" s="589" t="s">
        <v>407</v>
      </c>
      <c r="B134" s="573">
        <v>150</v>
      </c>
      <c r="C134" s="573">
        <v>122.91679999999999</v>
      </c>
      <c r="D134" s="574">
        <v>-27.083200000000001</v>
      </c>
      <c r="E134" s="580">
        <v>0.81944533333299996</v>
      </c>
      <c r="F134" s="573">
        <v>0</v>
      </c>
      <c r="G134" s="574">
        <v>0</v>
      </c>
      <c r="H134" s="576">
        <v>0</v>
      </c>
      <c r="I134" s="573">
        <v>48.789920000000002</v>
      </c>
      <c r="J134" s="574">
        <v>48.789920000000002</v>
      </c>
      <c r="K134" s="577" t="s">
        <v>281</v>
      </c>
    </row>
    <row r="135" spans="1:11" ht="14.4" customHeight="1" thickBot="1" x14ac:dyDescent="0.35">
      <c r="A135" s="590" t="s">
        <v>408</v>
      </c>
      <c r="B135" s="568">
        <v>150</v>
      </c>
      <c r="C135" s="568">
        <v>122.91679999999999</v>
      </c>
      <c r="D135" s="569">
        <v>-27.083200000000001</v>
      </c>
      <c r="E135" s="570">
        <v>0.81944533333299996</v>
      </c>
      <c r="F135" s="568">
        <v>0</v>
      </c>
      <c r="G135" s="569">
        <v>0</v>
      </c>
      <c r="H135" s="571">
        <v>0</v>
      </c>
      <c r="I135" s="568">
        <v>48.789920000000002</v>
      </c>
      <c r="J135" s="569">
        <v>48.789920000000002</v>
      </c>
      <c r="K135" s="579" t="s">
        <v>281</v>
      </c>
    </row>
    <row r="136" spans="1:11" ht="14.4" customHeight="1" thickBot="1" x14ac:dyDescent="0.35">
      <c r="A136" s="589" t="s">
        <v>409</v>
      </c>
      <c r="B136" s="573">
        <v>0</v>
      </c>
      <c r="C136" s="573">
        <v>3.49</v>
      </c>
      <c r="D136" s="574">
        <v>3.49</v>
      </c>
      <c r="E136" s="575" t="s">
        <v>293</v>
      </c>
      <c r="F136" s="573">
        <v>0</v>
      </c>
      <c r="G136" s="574">
        <v>0</v>
      </c>
      <c r="H136" s="576">
        <v>0</v>
      </c>
      <c r="I136" s="573">
        <v>4.5679999999999996</v>
      </c>
      <c r="J136" s="574">
        <v>4.5679999999999996</v>
      </c>
      <c r="K136" s="577" t="s">
        <v>281</v>
      </c>
    </row>
    <row r="137" spans="1:11" ht="14.4" customHeight="1" thickBot="1" x14ac:dyDescent="0.35">
      <c r="A137" s="590" t="s">
        <v>410</v>
      </c>
      <c r="B137" s="568">
        <v>0</v>
      </c>
      <c r="C137" s="568">
        <v>0</v>
      </c>
      <c r="D137" s="569">
        <v>0</v>
      </c>
      <c r="E137" s="570">
        <v>1</v>
      </c>
      <c r="F137" s="568">
        <v>0</v>
      </c>
      <c r="G137" s="569">
        <v>0</v>
      </c>
      <c r="H137" s="571">
        <v>0</v>
      </c>
      <c r="I137" s="568">
        <v>4.5679999999999996</v>
      </c>
      <c r="J137" s="569">
        <v>4.5679999999999996</v>
      </c>
      <c r="K137" s="579" t="s">
        <v>293</v>
      </c>
    </row>
    <row r="138" spans="1:11" ht="14.4" customHeight="1" thickBot="1" x14ac:dyDescent="0.35">
      <c r="A138" s="590" t="s">
        <v>411</v>
      </c>
      <c r="B138" s="568">
        <v>0</v>
      </c>
      <c r="C138" s="568">
        <v>3.49</v>
      </c>
      <c r="D138" s="569">
        <v>3.49</v>
      </c>
      <c r="E138" s="578" t="s">
        <v>293</v>
      </c>
      <c r="F138" s="568">
        <v>0</v>
      </c>
      <c r="G138" s="569">
        <v>0</v>
      </c>
      <c r="H138" s="571">
        <v>0</v>
      </c>
      <c r="I138" s="568">
        <v>0</v>
      </c>
      <c r="J138" s="569">
        <v>0</v>
      </c>
      <c r="K138" s="579" t="s">
        <v>281</v>
      </c>
    </row>
    <row r="139" spans="1:11" ht="14.4" customHeight="1" thickBot="1" x14ac:dyDescent="0.35">
      <c r="A139" s="589" t="s">
        <v>412</v>
      </c>
      <c r="B139" s="573">
        <v>0</v>
      </c>
      <c r="C139" s="573">
        <v>30.0564</v>
      </c>
      <c r="D139" s="574">
        <v>30.0564</v>
      </c>
      <c r="E139" s="575" t="s">
        <v>293</v>
      </c>
      <c r="F139" s="573">
        <v>0</v>
      </c>
      <c r="G139" s="574">
        <v>0</v>
      </c>
      <c r="H139" s="576">
        <v>0</v>
      </c>
      <c r="I139" s="573">
        <v>0</v>
      </c>
      <c r="J139" s="574">
        <v>0</v>
      </c>
      <c r="K139" s="577" t="s">
        <v>281</v>
      </c>
    </row>
    <row r="140" spans="1:11" ht="14.4" customHeight="1" thickBot="1" x14ac:dyDescent="0.35">
      <c r="A140" s="590" t="s">
        <v>413</v>
      </c>
      <c r="B140" s="568">
        <v>0</v>
      </c>
      <c r="C140" s="568">
        <v>30.0564</v>
      </c>
      <c r="D140" s="569">
        <v>30.0564</v>
      </c>
      <c r="E140" s="578" t="s">
        <v>293</v>
      </c>
      <c r="F140" s="568">
        <v>0</v>
      </c>
      <c r="G140" s="569">
        <v>0</v>
      </c>
      <c r="H140" s="571">
        <v>0</v>
      </c>
      <c r="I140" s="568">
        <v>0</v>
      </c>
      <c r="J140" s="569">
        <v>0</v>
      </c>
      <c r="K140" s="579" t="s">
        <v>281</v>
      </c>
    </row>
    <row r="141" spans="1:11" ht="14.4" customHeight="1" thickBot="1" x14ac:dyDescent="0.35">
      <c r="A141" s="587" t="s">
        <v>414</v>
      </c>
      <c r="B141" s="568">
        <v>0</v>
      </c>
      <c r="C141" s="568">
        <v>0.93572</v>
      </c>
      <c r="D141" s="569">
        <v>0.93572</v>
      </c>
      <c r="E141" s="578" t="s">
        <v>281</v>
      </c>
      <c r="F141" s="568">
        <v>0</v>
      </c>
      <c r="G141" s="569">
        <v>0</v>
      </c>
      <c r="H141" s="571">
        <v>0</v>
      </c>
      <c r="I141" s="568">
        <v>0</v>
      </c>
      <c r="J141" s="569">
        <v>0</v>
      </c>
      <c r="K141" s="579" t="s">
        <v>281</v>
      </c>
    </row>
    <row r="142" spans="1:11" ht="14.4" customHeight="1" thickBot="1" x14ac:dyDescent="0.35">
      <c r="A142" s="588" t="s">
        <v>415</v>
      </c>
      <c r="B142" s="568">
        <v>0</v>
      </c>
      <c r="C142" s="568">
        <v>0.93572</v>
      </c>
      <c r="D142" s="569">
        <v>0.93572</v>
      </c>
      <c r="E142" s="578" t="s">
        <v>281</v>
      </c>
      <c r="F142" s="568">
        <v>0</v>
      </c>
      <c r="G142" s="569">
        <v>0</v>
      </c>
      <c r="H142" s="571">
        <v>0</v>
      </c>
      <c r="I142" s="568">
        <v>0</v>
      </c>
      <c r="J142" s="569">
        <v>0</v>
      </c>
      <c r="K142" s="579" t="s">
        <v>281</v>
      </c>
    </row>
    <row r="143" spans="1:11" ht="14.4" customHeight="1" thickBot="1" x14ac:dyDescent="0.35">
      <c r="A143" s="589" t="s">
        <v>416</v>
      </c>
      <c r="B143" s="573">
        <v>0</v>
      </c>
      <c r="C143" s="573">
        <v>0.93572</v>
      </c>
      <c r="D143" s="574">
        <v>0.93572</v>
      </c>
      <c r="E143" s="575" t="s">
        <v>281</v>
      </c>
      <c r="F143" s="573">
        <v>0</v>
      </c>
      <c r="G143" s="574">
        <v>0</v>
      </c>
      <c r="H143" s="576">
        <v>0</v>
      </c>
      <c r="I143" s="573">
        <v>0</v>
      </c>
      <c r="J143" s="574">
        <v>0</v>
      </c>
      <c r="K143" s="577" t="s">
        <v>281</v>
      </c>
    </row>
    <row r="144" spans="1:11" ht="14.4" customHeight="1" thickBot="1" x14ac:dyDescent="0.35">
      <c r="A144" s="590" t="s">
        <v>417</v>
      </c>
      <c r="B144" s="568">
        <v>0</v>
      </c>
      <c r="C144" s="568">
        <v>0.93572</v>
      </c>
      <c r="D144" s="569">
        <v>0.93572</v>
      </c>
      <c r="E144" s="578" t="s">
        <v>281</v>
      </c>
      <c r="F144" s="568">
        <v>0</v>
      </c>
      <c r="G144" s="569">
        <v>0</v>
      </c>
      <c r="H144" s="571">
        <v>0</v>
      </c>
      <c r="I144" s="568">
        <v>0</v>
      </c>
      <c r="J144" s="569">
        <v>0</v>
      </c>
      <c r="K144" s="579" t="s">
        <v>281</v>
      </c>
    </row>
    <row r="145" spans="1:11" ht="14.4" customHeight="1" thickBot="1" x14ac:dyDescent="0.35">
      <c r="A145" s="586" t="s">
        <v>418</v>
      </c>
      <c r="B145" s="568">
        <v>49986.791658001202</v>
      </c>
      <c r="C145" s="568">
        <v>58316.267789999998</v>
      </c>
      <c r="D145" s="569">
        <v>8329.4761319987992</v>
      </c>
      <c r="E145" s="570">
        <v>1.1666335416960001</v>
      </c>
      <c r="F145" s="568">
        <v>55975.388680743898</v>
      </c>
      <c r="G145" s="569">
        <v>32652.310063767301</v>
      </c>
      <c r="H145" s="571">
        <v>4776.7181300000002</v>
      </c>
      <c r="I145" s="568">
        <v>34143.792350000003</v>
      </c>
      <c r="J145" s="569">
        <v>1491.4822862327201</v>
      </c>
      <c r="K145" s="572">
        <v>0.60997865588199995</v>
      </c>
    </row>
    <row r="146" spans="1:11" ht="14.4" customHeight="1" thickBot="1" x14ac:dyDescent="0.35">
      <c r="A146" s="587" t="s">
        <v>419</v>
      </c>
      <c r="B146" s="568">
        <v>49986.791658001202</v>
      </c>
      <c r="C146" s="568">
        <v>58312.77792</v>
      </c>
      <c r="D146" s="569">
        <v>8325.9862619988107</v>
      </c>
      <c r="E146" s="570">
        <v>1.1665637258529999</v>
      </c>
      <c r="F146" s="568">
        <v>55975.388680743898</v>
      </c>
      <c r="G146" s="569">
        <v>32652.310063767301</v>
      </c>
      <c r="H146" s="571">
        <v>4776.7181300000002</v>
      </c>
      <c r="I146" s="568">
        <v>34096.892350000002</v>
      </c>
      <c r="J146" s="569">
        <v>1444.58228623272</v>
      </c>
      <c r="K146" s="572">
        <v>0.60914078764900004</v>
      </c>
    </row>
    <row r="147" spans="1:11" ht="14.4" customHeight="1" thickBot="1" x14ac:dyDescent="0.35">
      <c r="A147" s="588" t="s">
        <v>420</v>
      </c>
      <c r="B147" s="568">
        <v>49986.791658001202</v>
      </c>
      <c r="C147" s="568">
        <v>58312.77792</v>
      </c>
      <c r="D147" s="569">
        <v>8325.9862619988107</v>
      </c>
      <c r="E147" s="570">
        <v>1.1665637258529999</v>
      </c>
      <c r="F147" s="568">
        <v>55975.388680743898</v>
      </c>
      <c r="G147" s="569">
        <v>32652.310063767301</v>
      </c>
      <c r="H147" s="571">
        <v>4776.7181300000002</v>
      </c>
      <c r="I147" s="568">
        <v>34096.892350000002</v>
      </c>
      <c r="J147" s="569">
        <v>1444.58228623272</v>
      </c>
      <c r="K147" s="572">
        <v>0.60914078764900004</v>
      </c>
    </row>
    <row r="148" spans="1:11" ht="14.4" customHeight="1" thickBot="1" x14ac:dyDescent="0.35">
      <c r="A148" s="589" t="s">
        <v>421</v>
      </c>
      <c r="B148" s="573">
        <v>0.79165798813300003</v>
      </c>
      <c r="C148" s="573">
        <v>70.479020000000006</v>
      </c>
      <c r="D148" s="574">
        <v>69.687362011866</v>
      </c>
      <c r="E148" s="580">
        <v>89.027106473307001</v>
      </c>
      <c r="F148" s="573">
        <v>76.383075826246994</v>
      </c>
      <c r="G148" s="574">
        <v>44.556794231977001</v>
      </c>
      <c r="H148" s="576">
        <v>0</v>
      </c>
      <c r="I148" s="573">
        <v>0.48287999999999998</v>
      </c>
      <c r="J148" s="574">
        <v>-44.073914231977</v>
      </c>
      <c r="K148" s="581">
        <v>6.3218192609999996E-3</v>
      </c>
    </row>
    <row r="149" spans="1:11" ht="14.4" customHeight="1" thickBot="1" x14ac:dyDescent="0.35">
      <c r="A149" s="590" t="s">
        <v>422</v>
      </c>
      <c r="B149" s="568">
        <v>0.65108494530700001</v>
      </c>
      <c r="C149" s="568">
        <v>0.63222</v>
      </c>
      <c r="D149" s="569">
        <v>-1.8864945306999999E-2</v>
      </c>
      <c r="E149" s="570">
        <v>0.97102537012400003</v>
      </c>
      <c r="F149" s="568">
        <v>0.649188720464</v>
      </c>
      <c r="G149" s="569">
        <v>0.37869342027000003</v>
      </c>
      <c r="H149" s="571">
        <v>0</v>
      </c>
      <c r="I149" s="568">
        <v>0</v>
      </c>
      <c r="J149" s="569">
        <v>-0.37869342027000003</v>
      </c>
      <c r="K149" s="572">
        <v>0</v>
      </c>
    </row>
    <row r="150" spans="1:11" ht="14.4" customHeight="1" thickBot="1" x14ac:dyDescent="0.35">
      <c r="A150" s="590" t="s">
        <v>423</v>
      </c>
      <c r="B150" s="568">
        <v>0</v>
      </c>
      <c r="C150" s="568">
        <v>0</v>
      </c>
      <c r="D150" s="569">
        <v>0</v>
      </c>
      <c r="E150" s="570">
        <v>1</v>
      </c>
      <c r="F150" s="568">
        <v>0</v>
      </c>
      <c r="G150" s="569">
        <v>0</v>
      </c>
      <c r="H150" s="571">
        <v>0</v>
      </c>
      <c r="I150" s="568">
        <v>0.41427999999999998</v>
      </c>
      <c r="J150" s="569">
        <v>0.41427999999999998</v>
      </c>
      <c r="K150" s="579" t="s">
        <v>293</v>
      </c>
    </row>
    <row r="151" spans="1:11" ht="14.4" customHeight="1" thickBot="1" x14ac:dyDescent="0.35">
      <c r="A151" s="590" t="s">
        <v>424</v>
      </c>
      <c r="B151" s="568">
        <v>0</v>
      </c>
      <c r="C151" s="568">
        <v>69.569940000000003</v>
      </c>
      <c r="D151" s="569">
        <v>69.569940000000003</v>
      </c>
      <c r="E151" s="578" t="s">
        <v>293</v>
      </c>
      <c r="F151" s="568">
        <v>75.516133172428994</v>
      </c>
      <c r="G151" s="569">
        <v>44.051077683917001</v>
      </c>
      <c r="H151" s="571">
        <v>0</v>
      </c>
      <c r="I151" s="568">
        <v>0</v>
      </c>
      <c r="J151" s="569">
        <v>-44.051077683917001</v>
      </c>
      <c r="K151" s="572">
        <v>0</v>
      </c>
    </row>
    <row r="152" spans="1:11" ht="14.4" customHeight="1" thickBot="1" x14ac:dyDescent="0.35">
      <c r="A152" s="590" t="s">
        <v>425</v>
      </c>
      <c r="B152" s="568">
        <v>0.14057304282499999</v>
      </c>
      <c r="C152" s="568">
        <v>0.27685999999999999</v>
      </c>
      <c r="D152" s="569">
        <v>0.136286957174</v>
      </c>
      <c r="E152" s="570">
        <v>1.9695099034250001</v>
      </c>
      <c r="F152" s="568">
        <v>0.217753933353</v>
      </c>
      <c r="G152" s="569">
        <v>0.12702312778899999</v>
      </c>
      <c r="H152" s="571">
        <v>0</v>
      </c>
      <c r="I152" s="568">
        <v>6.8599999999999994E-2</v>
      </c>
      <c r="J152" s="569">
        <v>-5.8423127789000003E-2</v>
      </c>
      <c r="K152" s="572">
        <v>0.31503449303300002</v>
      </c>
    </row>
    <row r="153" spans="1:11" ht="14.4" customHeight="1" thickBot="1" x14ac:dyDescent="0.35">
      <c r="A153" s="589" t="s">
        <v>426</v>
      </c>
      <c r="B153" s="573">
        <v>18.000000000004</v>
      </c>
      <c r="C153" s="573">
        <v>96.065539999999999</v>
      </c>
      <c r="D153" s="574">
        <v>78.065539999994996</v>
      </c>
      <c r="E153" s="580">
        <v>5.3369744444430003</v>
      </c>
      <c r="F153" s="573">
        <v>100.00001002686599</v>
      </c>
      <c r="G153" s="574">
        <v>58.333339182338001</v>
      </c>
      <c r="H153" s="576">
        <v>0</v>
      </c>
      <c r="I153" s="573">
        <v>121.66717</v>
      </c>
      <c r="J153" s="574">
        <v>63.333830817661003</v>
      </c>
      <c r="K153" s="581">
        <v>1.2166715780049999</v>
      </c>
    </row>
    <row r="154" spans="1:11" ht="14.4" customHeight="1" thickBot="1" x14ac:dyDescent="0.35">
      <c r="A154" s="590" t="s">
        <v>427</v>
      </c>
      <c r="B154" s="568">
        <v>18.000000000004</v>
      </c>
      <c r="C154" s="568">
        <v>96.065539999999999</v>
      </c>
      <c r="D154" s="569">
        <v>78.065539999994996</v>
      </c>
      <c r="E154" s="570">
        <v>5.3369744444430003</v>
      </c>
      <c r="F154" s="568">
        <v>100.00001002686599</v>
      </c>
      <c r="G154" s="569">
        <v>58.333339182338001</v>
      </c>
      <c r="H154" s="571">
        <v>0</v>
      </c>
      <c r="I154" s="568">
        <v>121.66717</v>
      </c>
      <c r="J154" s="569">
        <v>63.333830817661003</v>
      </c>
      <c r="K154" s="572">
        <v>1.2166715780049999</v>
      </c>
    </row>
    <row r="155" spans="1:11" ht="14.4" customHeight="1" thickBot="1" x14ac:dyDescent="0.35">
      <c r="A155" s="589" t="s">
        <v>428</v>
      </c>
      <c r="B155" s="573">
        <v>581.000000000152</v>
      </c>
      <c r="C155" s="573">
        <v>0</v>
      </c>
      <c r="D155" s="574">
        <v>-581.000000000152</v>
      </c>
      <c r="E155" s="580">
        <v>0</v>
      </c>
      <c r="F155" s="573">
        <v>0</v>
      </c>
      <c r="G155" s="574">
        <v>0</v>
      </c>
      <c r="H155" s="576">
        <v>0</v>
      </c>
      <c r="I155" s="573">
        <v>45.041820000000001</v>
      </c>
      <c r="J155" s="574">
        <v>45.041820000000001</v>
      </c>
      <c r="K155" s="577" t="s">
        <v>281</v>
      </c>
    </row>
    <row r="156" spans="1:11" ht="14.4" customHeight="1" thickBot="1" x14ac:dyDescent="0.35">
      <c r="A156" s="590" t="s">
        <v>429</v>
      </c>
      <c r="B156" s="568">
        <v>581.000000000152</v>
      </c>
      <c r="C156" s="568">
        <v>0</v>
      </c>
      <c r="D156" s="569">
        <v>-581.000000000152</v>
      </c>
      <c r="E156" s="570">
        <v>0</v>
      </c>
      <c r="F156" s="568">
        <v>0</v>
      </c>
      <c r="G156" s="569">
        <v>0</v>
      </c>
      <c r="H156" s="571">
        <v>0</v>
      </c>
      <c r="I156" s="568">
        <v>45.041820000000001</v>
      </c>
      <c r="J156" s="569">
        <v>45.041820000000001</v>
      </c>
      <c r="K156" s="579" t="s">
        <v>281</v>
      </c>
    </row>
    <row r="157" spans="1:11" ht="14.4" customHeight="1" thickBot="1" x14ac:dyDescent="0.35">
      <c r="A157" s="589" t="s">
        <v>430</v>
      </c>
      <c r="B157" s="573">
        <v>0</v>
      </c>
      <c r="C157" s="573">
        <v>-5.5191400000000002</v>
      </c>
      <c r="D157" s="574">
        <v>-5.5191400000000002</v>
      </c>
      <c r="E157" s="575" t="s">
        <v>293</v>
      </c>
      <c r="F157" s="573">
        <v>0</v>
      </c>
      <c r="G157" s="574">
        <v>0</v>
      </c>
      <c r="H157" s="576">
        <v>0</v>
      </c>
      <c r="I157" s="573">
        <v>0</v>
      </c>
      <c r="J157" s="574">
        <v>0</v>
      </c>
      <c r="K157" s="577" t="s">
        <v>281</v>
      </c>
    </row>
    <row r="158" spans="1:11" ht="14.4" customHeight="1" thickBot="1" x14ac:dyDescent="0.35">
      <c r="A158" s="590" t="s">
        <v>431</v>
      </c>
      <c r="B158" s="568">
        <v>0</v>
      </c>
      <c r="C158" s="568">
        <v>-5.5191400000000002</v>
      </c>
      <c r="D158" s="569">
        <v>-5.5191400000000002</v>
      </c>
      <c r="E158" s="578" t="s">
        <v>293</v>
      </c>
      <c r="F158" s="568">
        <v>0</v>
      </c>
      <c r="G158" s="569">
        <v>0</v>
      </c>
      <c r="H158" s="571">
        <v>0</v>
      </c>
      <c r="I158" s="568">
        <v>0</v>
      </c>
      <c r="J158" s="569">
        <v>0</v>
      </c>
      <c r="K158" s="579" t="s">
        <v>281</v>
      </c>
    </row>
    <row r="159" spans="1:11" ht="14.4" customHeight="1" thickBot="1" x14ac:dyDescent="0.35">
      <c r="A159" s="589" t="s">
        <v>432</v>
      </c>
      <c r="B159" s="573">
        <v>49387.0000000129</v>
      </c>
      <c r="C159" s="573">
        <v>55746.343180000003</v>
      </c>
      <c r="D159" s="574">
        <v>6359.3431799870996</v>
      </c>
      <c r="E159" s="580">
        <v>1.128765528985</v>
      </c>
      <c r="F159" s="573">
        <v>55799.005594890798</v>
      </c>
      <c r="G159" s="574">
        <v>32549.419930353</v>
      </c>
      <c r="H159" s="576">
        <v>4776.7181300000002</v>
      </c>
      <c r="I159" s="573">
        <v>31702.53656</v>
      </c>
      <c r="J159" s="574">
        <v>-846.88337035296001</v>
      </c>
      <c r="K159" s="581">
        <v>0.56815594152600002</v>
      </c>
    </row>
    <row r="160" spans="1:11" ht="14.4" customHeight="1" thickBot="1" x14ac:dyDescent="0.35">
      <c r="A160" s="590" t="s">
        <v>433</v>
      </c>
      <c r="B160" s="568">
        <v>24100.000000006301</v>
      </c>
      <c r="C160" s="568">
        <v>25003.89401</v>
      </c>
      <c r="D160" s="569">
        <v>903.89400999370605</v>
      </c>
      <c r="E160" s="570">
        <v>1.0375059755180001</v>
      </c>
      <c r="F160" s="568">
        <v>26725.002679679899</v>
      </c>
      <c r="G160" s="569">
        <v>15589.584896479901</v>
      </c>
      <c r="H160" s="571">
        <v>2480.5411899999999</v>
      </c>
      <c r="I160" s="568">
        <v>15558.8997</v>
      </c>
      <c r="J160" s="569">
        <v>-30.685196479918002</v>
      </c>
      <c r="K160" s="572">
        <v>0.58218515023100004</v>
      </c>
    </row>
    <row r="161" spans="1:11" ht="14.4" customHeight="1" thickBot="1" x14ac:dyDescent="0.35">
      <c r="A161" s="590" t="s">
        <v>434</v>
      </c>
      <c r="B161" s="568">
        <v>25287.000000006599</v>
      </c>
      <c r="C161" s="568">
        <v>30742.44917</v>
      </c>
      <c r="D161" s="569">
        <v>5455.4491699933897</v>
      </c>
      <c r="E161" s="570">
        <v>1.2157412571670001</v>
      </c>
      <c r="F161" s="568">
        <v>29074.002915210898</v>
      </c>
      <c r="G161" s="569">
        <v>16959.835033873002</v>
      </c>
      <c r="H161" s="571">
        <v>2296.1769399999998</v>
      </c>
      <c r="I161" s="568">
        <v>16143.636860000001</v>
      </c>
      <c r="J161" s="569">
        <v>-816.19817387304602</v>
      </c>
      <c r="K161" s="572">
        <v>0.55526020641399998</v>
      </c>
    </row>
    <row r="162" spans="1:11" ht="14.4" customHeight="1" thickBot="1" x14ac:dyDescent="0.35">
      <c r="A162" s="589" t="s">
        <v>435</v>
      </c>
      <c r="B162" s="573">
        <v>0</v>
      </c>
      <c r="C162" s="573">
        <v>2405.4093200000002</v>
      </c>
      <c r="D162" s="574">
        <v>2405.4093200000002</v>
      </c>
      <c r="E162" s="575" t="s">
        <v>281</v>
      </c>
      <c r="F162" s="573">
        <v>0</v>
      </c>
      <c r="G162" s="574">
        <v>0</v>
      </c>
      <c r="H162" s="576">
        <v>0</v>
      </c>
      <c r="I162" s="573">
        <v>2227.16392</v>
      </c>
      <c r="J162" s="574">
        <v>2227.16392</v>
      </c>
      <c r="K162" s="577" t="s">
        <v>281</v>
      </c>
    </row>
    <row r="163" spans="1:11" ht="14.4" customHeight="1" thickBot="1" x14ac:dyDescent="0.35">
      <c r="A163" s="590" t="s">
        <v>436</v>
      </c>
      <c r="B163" s="568">
        <v>0</v>
      </c>
      <c r="C163" s="568">
        <v>545.13715999999999</v>
      </c>
      <c r="D163" s="569">
        <v>545.13715999999999</v>
      </c>
      <c r="E163" s="578" t="s">
        <v>281</v>
      </c>
      <c r="F163" s="568">
        <v>0</v>
      </c>
      <c r="G163" s="569">
        <v>0</v>
      </c>
      <c r="H163" s="571">
        <v>0</v>
      </c>
      <c r="I163" s="568">
        <v>390.40561000000002</v>
      </c>
      <c r="J163" s="569">
        <v>390.40561000000002</v>
      </c>
      <c r="K163" s="579" t="s">
        <v>281</v>
      </c>
    </row>
    <row r="164" spans="1:11" ht="14.4" customHeight="1" thickBot="1" x14ac:dyDescent="0.35">
      <c r="A164" s="590" t="s">
        <v>437</v>
      </c>
      <c r="B164" s="568">
        <v>0</v>
      </c>
      <c r="C164" s="568">
        <v>1860.27216</v>
      </c>
      <c r="D164" s="569">
        <v>1860.27216</v>
      </c>
      <c r="E164" s="578" t="s">
        <v>281</v>
      </c>
      <c r="F164" s="568">
        <v>0</v>
      </c>
      <c r="G164" s="569">
        <v>0</v>
      </c>
      <c r="H164" s="571">
        <v>0</v>
      </c>
      <c r="I164" s="568">
        <v>1836.7583099999999</v>
      </c>
      <c r="J164" s="569">
        <v>1836.7583099999999</v>
      </c>
      <c r="K164" s="579" t="s">
        <v>281</v>
      </c>
    </row>
    <row r="165" spans="1:11" ht="14.4" customHeight="1" thickBot="1" x14ac:dyDescent="0.35">
      <c r="A165" s="587" t="s">
        <v>438</v>
      </c>
      <c r="B165" s="568">
        <v>0</v>
      </c>
      <c r="C165" s="568">
        <v>3.4898699999999998</v>
      </c>
      <c r="D165" s="569">
        <v>3.4898699999999998</v>
      </c>
      <c r="E165" s="578" t="s">
        <v>281</v>
      </c>
      <c r="F165" s="568">
        <v>0</v>
      </c>
      <c r="G165" s="569">
        <v>0</v>
      </c>
      <c r="H165" s="571">
        <v>0</v>
      </c>
      <c r="I165" s="568">
        <v>0</v>
      </c>
      <c r="J165" s="569">
        <v>0</v>
      </c>
      <c r="K165" s="579" t="s">
        <v>281</v>
      </c>
    </row>
    <row r="166" spans="1:11" ht="14.4" customHeight="1" thickBot="1" x14ac:dyDescent="0.35">
      <c r="A166" s="593" t="s">
        <v>439</v>
      </c>
      <c r="B166" s="573">
        <v>0</v>
      </c>
      <c r="C166" s="573">
        <v>3.4898699999999998</v>
      </c>
      <c r="D166" s="574">
        <v>3.4898699999999998</v>
      </c>
      <c r="E166" s="575" t="s">
        <v>281</v>
      </c>
      <c r="F166" s="573">
        <v>0</v>
      </c>
      <c r="G166" s="574">
        <v>0</v>
      </c>
      <c r="H166" s="576">
        <v>0</v>
      </c>
      <c r="I166" s="573">
        <v>0</v>
      </c>
      <c r="J166" s="574">
        <v>0</v>
      </c>
      <c r="K166" s="577" t="s">
        <v>281</v>
      </c>
    </row>
    <row r="167" spans="1:11" ht="14.4" customHeight="1" thickBot="1" x14ac:dyDescent="0.35">
      <c r="A167" s="589" t="s">
        <v>440</v>
      </c>
      <c r="B167" s="573">
        <v>0</v>
      </c>
      <c r="C167" s="573">
        <v>-1.2999999999999999E-4</v>
      </c>
      <c r="D167" s="574">
        <v>-1.2999999999999999E-4</v>
      </c>
      <c r="E167" s="575" t="s">
        <v>281</v>
      </c>
      <c r="F167" s="573">
        <v>0</v>
      </c>
      <c r="G167" s="574">
        <v>0</v>
      </c>
      <c r="H167" s="576">
        <v>0</v>
      </c>
      <c r="I167" s="573">
        <v>0</v>
      </c>
      <c r="J167" s="574">
        <v>0</v>
      </c>
      <c r="K167" s="577" t="s">
        <v>281</v>
      </c>
    </row>
    <row r="168" spans="1:11" ht="14.4" customHeight="1" thickBot="1" x14ac:dyDescent="0.35">
      <c r="A168" s="590" t="s">
        <v>441</v>
      </c>
      <c r="B168" s="568">
        <v>0</v>
      </c>
      <c r="C168" s="568">
        <v>-1.2999999999999999E-4</v>
      </c>
      <c r="D168" s="569">
        <v>-1.2999999999999999E-4</v>
      </c>
      <c r="E168" s="578" t="s">
        <v>293</v>
      </c>
      <c r="F168" s="568">
        <v>0</v>
      </c>
      <c r="G168" s="569">
        <v>0</v>
      </c>
      <c r="H168" s="571">
        <v>0</v>
      </c>
      <c r="I168" s="568">
        <v>0</v>
      </c>
      <c r="J168" s="569">
        <v>0</v>
      </c>
      <c r="K168" s="579" t="s">
        <v>281</v>
      </c>
    </row>
    <row r="169" spans="1:11" ht="14.4" customHeight="1" thickBot="1" x14ac:dyDescent="0.35">
      <c r="A169" s="589" t="s">
        <v>442</v>
      </c>
      <c r="B169" s="573">
        <v>0</v>
      </c>
      <c r="C169" s="573">
        <v>3.49</v>
      </c>
      <c r="D169" s="574">
        <v>3.49</v>
      </c>
      <c r="E169" s="575" t="s">
        <v>293</v>
      </c>
      <c r="F169" s="573">
        <v>0</v>
      </c>
      <c r="G169" s="574">
        <v>0</v>
      </c>
      <c r="H169" s="576">
        <v>0</v>
      </c>
      <c r="I169" s="573">
        <v>0</v>
      </c>
      <c r="J169" s="574">
        <v>0</v>
      </c>
      <c r="K169" s="577" t="s">
        <v>281</v>
      </c>
    </row>
    <row r="170" spans="1:11" ht="14.4" customHeight="1" thickBot="1" x14ac:dyDescent="0.35">
      <c r="A170" s="590" t="s">
        <v>443</v>
      </c>
      <c r="B170" s="568">
        <v>0</v>
      </c>
      <c r="C170" s="568">
        <v>3.49</v>
      </c>
      <c r="D170" s="569">
        <v>3.49</v>
      </c>
      <c r="E170" s="578" t="s">
        <v>293</v>
      </c>
      <c r="F170" s="568">
        <v>0</v>
      </c>
      <c r="G170" s="569">
        <v>0</v>
      </c>
      <c r="H170" s="571">
        <v>0</v>
      </c>
      <c r="I170" s="568">
        <v>0</v>
      </c>
      <c r="J170" s="569">
        <v>0</v>
      </c>
      <c r="K170" s="579" t="s">
        <v>281</v>
      </c>
    </row>
    <row r="171" spans="1:11" ht="14.4" customHeight="1" thickBot="1" x14ac:dyDescent="0.35">
      <c r="A171" s="587" t="s">
        <v>444</v>
      </c>
      <c r="B171" s="568">
        <v>0</v>
      </c>
      <c r="C171" s="568">
        <v>0</v>
      </c>
      <c r="D171" s="569">
        <v>0</v>
      </c>
      <c r="E171" s="570">
        <v>1</v>
      </c>
      <c r="F171" s="568">
        <v>0</v>
      </c>
      <c r="G171" s="569">
        <v>0</v>
      </c>
      <c r="H171" s="571">
        <v>0</v>
      </c>
      <c r="I171" s="568">
        <v>46.9</v>
      </c>
      <c r="J171" s="569">
        <v>46.9</v>
      </c>
      <c r="K171" s="579" t="s">
        <v>293</v>
      </c>
    </row>
    <row r="172" spans="1:11" ht="14.4" customHeight="1" thickBot="1" x14ac:dyDescent="0.35">
      <c r="A172" s="593" t="s">
        <v>445</v>
      </c>
      <c r="B172" s="573">
        <v>0</v>
      </c>
      <c r="C172" s="573">
        <v>0</v>
      </c>
      <c r="D172" s="574">
        <v>0</v>
      </c>
      <c r="E172" s="580">
        <v>1</v>
      </c>
      <c r="F172" s="573">
        <v>0</v>
      </c>
      <c r="G172" s="574">
        <v>0</v>
      </c>
      <c r="H172" s="576">
        <v>0</v>
      </c>
      <c r="I172" s="573">
        <v>46.9</v>
      </c>
      <c r="J172" s="574">
        <v>46.9</v>
      </c>
      <c r="K172" s="577" t="s">
        <v>293</v>
      </c>
    </row>
    <row r="173" spans="1:11" ht="14.4" customHeight="1" thickBot="1" x14ac:dyDescent="0.35">
      <c r="A173" s="589" t="s">
        <v>446</v>
      </c>
      <c r="B173" s="573">
        <v>0</v>
      </c>
      <c r="C173" s="573">
        <v>0</v>
      </c>
      <c r="D173" s="574">
        <v>0</v>
      </c>
      <c r="E173" s="580">
        <v>1</v>
      </c>
      <c r="F173" s="573">
        <v>0</v>
      </c>
      <c r="G173" s="574">
        <v>0</v>
      </c>
      <c r="H173" s="576">
        <v>0</v>
      </c>
      <c r="I173" s="573">
        <v>46.9</v>
      </c>
      <c r="J173" s="574">
        <v>46.9</v>
      </c>
      <c r="K173" s="577" t="s">
        <v>293</v>
      </c>
    </row>
    <row r="174" spans="1:11" ht="14.4" customHeight="1" thickBot="1" x14ac:dyDescent="0.35">
      <c r="A174" s="590" t="s">
        <v>447</v>
      </c>
      <c r="B174" s="568">
        <v>0</v>
      </c>
      <c r="C174" s="568">
        <v>0</v>
      </c>
      <c r="D174" s="569">
        <v>0</v>
      </c>
      <c r="E174" s="570">
        <v>1</v>
      </c>
      <c r="F174" s="568">
        <v>0</v>
      </c>
      <c r="G174" s="569">
        <v>0</v>
      </c>
      <c r="H174" s="571">
        <v>0</v>
      </c>
      <c r="I174" s="568">
        <v>46.9</v>
      </c>
      <c r="J174" s="569">
        <v>46.9</v>
      </c>
      <c r="K174" s="579" t="s">
        <v>293</v>
      </c>
    </row>
    <row r="175" spans="1:11" ht="14.4" customHeight="1" thickBot="1" x14ac:dyDescent="0.35">
      <c r="A175" s="586" t="s">
        <v>448</v>
      </c>
      <c r="B175" s="568">
        <v>4961.9649527312404</v>
      </c>
      <c r="C175" s="568">
        <v>6588.7310000000098</v>
      </c>
      <c r="D175" s="569">
        <v>1626.7660472687601</v>
      </c>
      <c r="E175" s="570">
        <v>1.3278471457909999</v>
      </c>
      <c r="F175" s="568">
        <v>5710.2391833633901</v>
      </c>
      <c r="G175" s="569">
        <v>3330.9728569619801</v>
      </c>
      <c r="H175" s="571">
        <v>763.93870000000004</v>
      </c>
      <c r="I175" s="568">
        <v>4175.3035799999998</v>
      </c>
      <c r="J175" s="569">
        <v>844.33072303801998</v>
      </c>
      <c r="K175" s="572">
        <v>0.73119591770500003</v>
      </c>
    </row>
    <row r="176" spans="1:11" ht="14.4" customHeight="1" thickBot="1" x14ac:dyDescent="0.35">
      <c r="A176" s="591" t="s">
        <v>449</v>
      </c>
      <c r="B176" s="573">
        <v>4961.9649527312404</v>
      </c>
      <c r="C176" s="573">
        <v>6588.7310000000098</v>
      </c>
      <c r="D176" s="574">
        <v>1626.7660472687601</v>
      </c>
      <c r="E176" s="580">
        <v>1.3278471457909999</v>
      </c>
      <c r="F176" s="573">
        <v>5710.2391833633901</v>
      </c>
      <c r="G176" s="574">
        <v>3330.9728569619801</v>
      </c>
      <c r="H176" s="576">
        <v>763.93870000000004</v>
      </c>
      <c r="I176" s="573">
        <v>4175.3035799999998</v>
      </c>
      <c r="J176" s="574">
        <v>844.33072303801998</v>
      </c>
      <c r="K176" s="581">
        <v>0.73119591770500003</v>
      </c>
    </row>
    <row r="177" spans="1:11" ht="14.4" customHeight="1" thickBot="1" x14ac:dyDescent="0.35">
      <c r="A177" s="593" t="s">
        <v>41</v>
      </c>
      <c r="B177" s="573">
        <v>4961.9649527312404</v>
      </c>
      <c r="C177" s="573">
        <v>6588.7310000000098</v>
      </c>
      <c r="D177" s="574">
        <v>1626.7660472687601</v>
      </c>
      <c r="E177" s="580">
        <v>1.3278471457909999</v>
      </c>
      <c r="F177" s="573">
        <v>5710.2391833633901</v>
      </c>
      <c r="G177" s="574">
        <v>3330.9728569619801</v>
      </c>
      <c r="H177" s="576">
        <v>763.93870000000004</v>
      </c>
      <c r="I177" s="573">
        <v>4175.3035799999998</v>
      </c>
      <c r="J177" s="574">
        <v>844.33072303801998</v>
      </c>
      <c r="K177" s="581">
        <v>0.73119591770500003</v>
      </c>
    </row>
    <row r="178" spans="1:11" ht="14.4" customHeight="1" thickBot="1" x14ac:dyDescent="0.35">
      <c r="A178" s="589" t="s">
        <v>450</v>
      </c>
      <c r="B178" s="573">
        <v>52.810639490086999</v>
      </c>
      <c r="C178" s="573">
        <v>58.076999999999998</v>
      </c>
      <c r="D178" s="574">
        <v>5.2663605099120003</v>
      </c>
      <c r="E178" s="580">
        <v>1.0997215818770001</v>
      </c>
      <c r="F178" s="573">
        <v>65.082376034798003</v>
      </c>
      <c r="G178" s="574">
        <v>37.964719353631999</v>
      </c>
      <c r="H178" s="576">
        <v>4.8499999999999996</v>
      </c>
      <c r="I178" s="573">
        <v>34.78</v>
      </c>
      <c r="J178" s="574">
        <v>-3.184719353632</v>
      </c>
      <c r="K178" s="581">
        <v>0.53439966576200004</v>
      </c>
    </row>
    <row r="179" spans="1:11" ht="14.4" customHeight="1" thickBot="1" x14ac:dyDescent="0.35">
      <c r="A179" s="590" t="s">
        <v>451</v>
      </c>
      <c r="B179" s="568">
        <v>52.810639490086999</v>
      </c>
      <c r="C179" s="568">
        <v>58.076999999999998</v>
      </c>
      <c r="D179" s="569">
        <v>5.2663605099120003</v>
      </c>
      <c r="E179" s="570">
        <v>1.0997215818770001</v>
      </c>
      <c r="F179" s="568">
        <v>65.082376034798003</v>
      </c>
      <c r="G179" s="569">
        <v>37.964719353631999</v>
      </c>
      <c r="H179" s="571">
        <v>4.8499999999999996</v>
      </c>
      <c r="I179" s="568">
        <v>34.78</v>
      </c>
      <c r="J179" s="569">
        <v>-3.184719353632</v>
      </c>
      <c r="K179" s="572">
        <v>0.53439966576200004</v>
      </c>
    </row>
    <row r="180" spans="1:11" ht="14.4" customHeight="1" thickBot="1" x14ac:dyDescent="0.35">
      <c r="A180" s="589" t="s">
        <v>452</v>
      </c>
      <c r="B180" s="573">
        <v>127.878461897069</v>
      </c>
      <c r="C180" s="573">
        <v>139.48228</v>
      </c>
      <c r="D180" s="574">
        <v>11.603818102930999</v>
      </c>
      <c r="E180" s="580">
        <v>1.090740988988</v>
      </c>
      <c r="F180" s="573">
        <v>165.015191100767</v>
      </c>
      <c r="G180" s="574">
        <v>96.258861475447006</v>
      </c>
      <c r="H180" s="576">
        <v>11.91526</v>
      </c>
      <c r="I180" s="573">
        <v>81.483260000000001</v>
      </c>
      <c r="J180" s="574">
        <v>-14.775601475447001</v>
      </c>
      <c r="K180" s="581">
        <v>0.493792477264</v>
      </c>
    </row>
    <row r="181" spans="1:11" ht="14.4" customHeight="1" thickBot="1" x14ac:dyDescent="0.35">
      <c r="A181" s="590" t="s">
        <v>453</v>
      </c>
      <c r="B181" s="568">
        <v>94.478955572876004</v>
      </c>
      <c r="C181" s="568">
        <v>119.88</v>
      </c>
      <c r="D181" s="569">
        <v>25.401044427123001</v>
      </c>
      <c r="E181" s="570">
        <v>1.2688539926489999</v>
      </c>
      <c r="F181" s="568">
        <v>124.677433413537</v>
      </c>
      <c r="G181" s="569">
        <v>72.728502824562995</v>
      </c>
      <c r="H181" s="571">
        <v>10.36</v>
      </c>
      <c r="I181" s="568">
        <v>66.23</v>
      </c>
      <c r="J181" s="569">
        <v>-6.4985028245630003</v>
      </c>
      <c r="K181" s="572">
        <v>0.53121080685300004</v>
      </c>
    </row>
    <row r="182" spans="1:11" ht="14.4" customHeight="1" thickBot="1" x14ac:dyDescent="0.35">
      <c r="A182" s="590" t="s">
        <v>454</v>
      </c>
      <c r="B182" s="568">
        <v>12.181883537022999</v>
      </c>
      <c r="C182" s="568">
        <v>8.9499999999999996E-2</v>
      </c>
      <c r="D182" s="569">
        <v>-12.092383537023</v>
      </c>
      <c r="E182" s="570">
        <v>7.3469755080000001E-3</v>
      </c>
      <c r="F182" s="568">
        <v>19.560651888146001</v>
      </c>
      <c r="G182" s="569">
        <v>11.410380268084999</v>
      </c>
      <c r="H182" s="571">
        <v>0</v>
      </c>
      <c r="I182" s="568">
        <v>4.3929</v>
      </c>
      <c r="J182" s="569">
        <v>-7.0174802680850004</v>
      </c>
      <c r="K182" s="572">
        <v>0.22457840490700001</v>
      </c>
    </row>
    <row r="183" spans="1:11" ht="14.4" customHeight="1" thickBot="1" x14ac:dyDescent="0.35">
      <c r="A183" s="590" t="s">
        <v>455</v>
      </c>
      <c r="B183" s="568">
        <v>21.217622787168001</v>
      </c>
      <c r="C183" s="568">
        <v>19.512779999999999</v>
      </c>
      <c r="D183" s="569">
        <v>-1.7048427871680001</v>
      </c>
      <c r="E183" s="570">
        <v>0.91964967968900002</v>
      </c>
      <c r="F183" s="568">
        <v>20.777105799084001</v>
      </c>
      <c r="G183" s="569">
        <v>12.119978382798999</v>
      </c>
      <c r="H183" s="571">
        <v>1.5552600000000001</v>
      </c>
      <c r="I183" s="568">
        <v>10.86036</v>
      </c>
      <c r="J183" s="569">
        <v>-1.259618382799</v>
      </c>
      <c r="K183" s="572">
        <v>0.52270802801000005</v>
      </c>
    </row>
    <row r="184" spans="1:11" ht="14.4" customHeight="1" thickBot="1" x14ac:dyDescent="0.35">
      <c r="A184" s="589" t="s">
        <v>456</v>
      </c>
      <c r="B184" s="573">
        <v>771.42964844331095</v>
      </c>
      <c r="C184" s="573">
        <v>774.254330000001</v>
      </c>
      <c r="D184" s="574">
        <v>2.8246815566899999</v>
      </c>
      <c r="E184" s="580">
        <v>1.0036616191279999</v>
      </c>
      <c r="F184" s="573">
        <v>745.22421780198897</v>
      </c>
      <c r="G184" s="574">
        <v>434.71412705116001</v>
      </c>
      <c r="H184" s="576">
        <v>58.948500000000003</v>
      </c>
      <c r="I184" s="573">
        <v>451.36167999999998</v>
      </c>
      <c r="J184" s="574">
        <v>16.647552948838999</v>
      </c>
      <c r="K184" s="581">
        <v>0.60567231877000005</v>
      </c>
    </row>
    <row r="185" spans="1:11" ht="14.4" customHeight="1" thickBot="1" x14ac:dyDescent="0.35">
      <c r="A185" s="590" t="s">
        <v>457</v>
      </c>
      <c r="B185" s="568">
        <v>771.42964844331095</v>
      </c>
      <c r="C185" s="568">
        <v>774.254330000001</v>
      </c>
      <c r="D185" s="569">
        <v>2.8246815566899999</v>
      </c>
      <c r="E185" s="570">
        <v>1.0036616191279999</v>
      </c>
      <c r="F185" s="568">
        <v>745.22421780198897</v>
      </c>
      <c r="G185" s="569">
        <v>434.71412705116001</v>
      </c>
      <c r="H185" s="571">
        <v>58.948500000000003</v>
      </c>
      <c r="I185" s="568">
        <v>451.36167999999998</v>
      </c>
      <c r="J185" s="569">
        <v>16.647552948838999</v>
      </c>
      <c r="K185" s="572">
        <v>0.60567231877000005</v>
      </c>
    </row>
    <row r="186" spans="1:11" ht="14.4" customHeight="1" thickBot="1" x14ac:dyDescent="0.35">
      <c r="A186" s="589" t="s">
        <v>458</v>
      </c>
      <c r="B186" s="573">
        <v>0</v>
      </c>
      <c r="C186" s="573">
        <v>2.5579999999999998</v>
      </c>
      <c r="D186" s="574">
        <v>2.5579999999999998</v>
      </c>
      <c r="E186" s="575" t="s">
        <v>281</v>
      </c>
      <c r="F186" s="573">
        <v>0</v>
      </c>
      <c r="G186" s="574">
        <v>0</v>
      </c>
      <c r="H186" s="576">
        <v>3.9E-2</v>
      </c>
      <c r="I186" s="573">
        <v>0.59699999999999998</v>
      </c>
      <c r="J186" s="574">
        <v>0.59699999999999998</v>
      </c>
      <c r="K186" s="577" t="s">
        <v>293</v>
      </c>
    </row>
    <row r="187" spans="1:11" ht="14.4" customHeight="1" thickBot="1" x14ac:dyDescent="0.35">
      <c r="A187" s="590" t="s">
        <v>459</v>
      </c>
      <c r="B187" s="568">
        <v>0</v>
      </c>
      <c r="C187" s="568">
        <v>2.5579999999999998</v>
      </c>
      <c r="D187" s="569">
        <v>2.5579999999999998</v>
      </c>
      <c r="E187" s="578" t="s">
        <v>281</v>
      </c>
      <c r="F187" s="568">
        <v>0</v>
      </c>
      <c r="G187" s="569">
        <v>0</v>
      </c>
      <c r="H187" s="571">
        <v>3.9E-2</v>
      </c>
      <c r="I187" s="568">
        <v>0.59699999999999998</v>
      </c>
      <c r="J187" s="569">
        <v>0.59699999999999998</v>
      </c>
      <c r="K187" s="579" t="s">
        <v>293</v>
      </c>
    </row>
    <row r="188" spans="1:11" ht="14.4" customHeight="1" thickBot="1" x14ac:dyDescent="0.35">
      <c r="A188" s="589" t="s">
        <v>460</v>
      </c>
      <c r="B188" s="573">
        <v>375</v>
      </c>
      <c r="C188" s="573">
        <v>342.89377000000002</v>
      </c>
      <c r="D188" s="574">
        <v>-32.106229999999002</v>
      </c>
      <c r="E188" s="580">
        <v>0.91438338666600005</v>
      </c>
      <c r="F188" s="573">
        <v>318.44877067894498</v>
      </c>
      <c r="G188" s="574">
        <v>185.76178289605099</v>
      </c>
      <c r="H188" s="576">
        <v>19.274319999999999</v>
      </c>
      <c r="I188" s="573">
        <v>165.66023000000001</v>
      </c>
      <c r="J188" s="574">
        <v>-20.101552896051</v>
      </c>
      <c r="K188" s="581">
        <v>0.52020998431400001</v>
      </c>
    </row>
    <row r="189" spans="1:11" ht="14.4" customHeight="1" thickBot="1" x14ac:dyDescent="0.35">
      <c r="A189" s="590" t="s">
        <v>461</v>
      </c>
      <c r="B189" s="568">
        <v>375</v>
      </c>
      <c r="C189" s="568">
        <v>342.89377000000002</v>
      </c>
      <c r="D189" s="569">
        <v>-32.106229999999002</v>
      </c>
      <c r="E189" s="570">
        <v>0.91438338666600005</v>
      </c>
      <c r="F189" s="568">
        <v>318.44877067894498</v>
      </c>
      <c r="G189" s="569">
        <v>185.76178289605099</v>
      </c>
      <c r="H189" s="571">
        <v>19.274319999999999</v>
      </c>
      <c r="I189" s="568">
        <v>165.66023000000001</v>
      </c>
      <c r="J189" s="569">
        <v>-20.101552896051</v>
      </c>
      <c r="K189" s="572">
        <v>0.52020998431400001</v>
      </c>
    </row>
    <row r="190" spans="1:11" ht="14.4" customHeight="1" thickBot="1" x14ac:dyDescent="0.35">
      <c r="A190" s="589" t="s">
        <v>462</v>
      </c>
      <c r="B190" s="573">
        <v>0</v>
      </c>
      <c r="C190" s="573">
        <v>1453.2966799999999</v>
      </c>
      <c r="D190" s="574">
        <v>1453.2966799999999</v>
      </c>
      <c r="E190" s="575" t="s">
        <v>281</v>
      </c>
      <c r="F190" s="573">
        <v>0</v>
      </c>
      <c r="G190" s="574">
        <v>0</v>
      </c>
      <c r="H190" s="576">
        <v>277.34019999999998</v>
      </c>
      <c r="I190" s="573">
        <v>982.98162000000002</v>
      </c>
      <c r="J190" s="574">
        <v>982.98162000000002</v>
      </c>
      <c r="K190" s="577" t="s">
        <v>293</v>
      </c>
    </row>
    <row r="191" spans="1:11" ht="14.4" customHeight="1" thickBot="1" x14ac:dyDescent="0.35">
      <c r="A191" s="590" t="s">
        <v>463</v>
      </c>
      <c r="B191" s="568">
        <v>0</v>
      </c>
      <c r="C191" s="568">
        <v>1453.2966799999999</v>
      </c>
      <c r="D191" s="569">
        <v>1453.2966799999999</v>
      </c>
      <c r="E191" s="578" t="s">
        <v>281</v>
      </c>
      <c r="F191" s="568">
        <v>0</v>
      </c>
      <c r="G191" s="569">
        <v>0</v>
      </c>
      <c r="H191" s="571">
        <v>277.34019999999998</v>
      </c>
      <c r="I191" s="568">
        <v>982.98162000000002</v>
      </c>
      <c r="J191" s="569">
        <v>982.98162000000002</v>
      </c>
      <c r="K191" s="579" t="s">
        <v>293</v>
      </c>
    </row>
    <row r="192" spans="1:11" ht="14.4" customHeight="1" thickBot="1" x14ac:dyDescent="0.35">
      <c r="A192" s="589" t="s">
        <v>464</v>
      </c>
      <c r="B192" s="573">
        <v>3634.8462029007801</v>
      </c>
      <c r="C192" s="573">
        <v>3818.16894</v>
      </c>
      <c r="D192" s="574">
        <v>183.32273709922799</v>
      </c>
      <c r="E192" s="580">
        <v>1.0504347988510001</v>
      </c>
      <c r="F192" s="573">
        <v>4416.4686277469</v>
      </c>
      <c r="G192" s="574">
        <v>2576.2733661856901</v>
      </c>
      <c r="H192" s="576">
        <v>391.57141999999999</v>
      </c>
      <c r="I192" s="573">
        <v>2458.4397899999999</v>
      </c>
      <c r="J192" s="574">
        <v>-117.833576185688</v>
      </c>
      <c r="K192" s="581">
        <v>0.55665283673800003</v>
      </c>
    </row>
    <row r="193" spans="1:11" ht="14.4" customHeight="1" thickBot="1" x14ac:dyDescent="0.35">
      <c r="A193" s="590" t="s">
        <v>465</v>
      </c>
      <c r="B193" s="568">
        <v>3634.8462029007801</v>
      </c>
      <c r="C193" s="568">
        <v>3818.16894</v>
      </c>
      <c r="D193" s="569">
        <v>183.32273709922799</v>
      </c>
      <c r="E193" s="570">
        <v>1.0504347988510001</v>
      </c>
      <c r="F193" s="568">
        <v>4416.4686277469</v>
      </c>
      <c r="G193" s="569">
        <v>2576.2733661856901</v>
      </c>
      <c r="H193" s="571">
        <v>391.57141999999999</v>
      </c>
      <c r="I193" s="568">
        <v>2458.4397899999999</v>
      </c>
      <c r="J193" s="569">
        <v>-117.833576185688</v>
      </c>
      <c r="K193" s="572">
        <v>0.55665283673800003</v>
      </c>
    </row>
    <row r="194" spans="1:11" ht="14.4" customHeight="1" thickBot="1" x14ac:dyDescent="0.35">
      <c r="A194" s="594" t="s">
        <v>466</v>
      </c>
      <c r="B194" s="573">
        <v>0</v>
      </c>
      <c r="C194" s="573">
        <v>0</v>
      </c>
      <c r="D194" s="574">
        <v>0</v>
      </c>
      <c r="E194" s="575" t="s">
        <v>281</v>
      </c>
      <c r="F194" s="573">
        <v>0</v>
      </c>
      <c r="G194" s="574">
        <v>0</v>
      </c>
      <c r="H194" s="576">
        <v>0</v>
      </c>
      <c r="I194" s="573">
        <v>3.3210000000000003E-2</v>
      </c>
      <c r="J194" s="574">
        <v>3.3210000000000003E-2</v>
      </c>
      <c r="K194" s="577" t="s">
        <v>293</v>
      </c>
    </row>
    <row r="195" spans="1:11" ht="14.4" customHeight="1" thickBot="1" x14ac:dyDescent="0.35">
      <c r="A195" s="591" t="s">
        <v>467</v>
      </c>
      <c r="B195" s="573">
        <v>0</v>
      </c>
      <c r="C195" s="573">
        <v>0</v>
      </c>
      <c r="D195" s="574">
        <v>0</v>
      </c>
      <c r="E195" s="575" t="s">
        <v>281</v>
      </c>
      <c r="F195" s="573">
        <v>0</v>
      </c>
      <c r="G195" s="574">
        <v>0</v>
      </c>
      <c r="H195" s="576">
        <v>0</v>
      </c>
      <c r="I195" s="573">
        <v>3.3210000000000003E-2</v>
      </c>
      <c r="J195" s="574">
        <v>3.3210000000000003E-2</v>
      </c>
      <c r="K195" s="577" t="s">
        <v>293</v>
      </c>
    </row>
    <row r="196" spans="1:11" ht="14.4" customHeight="1" thickBot="1" x14ac:dyDescent="0.35">
      <c r="A196" s="593" t="s">
        <v>468</v>
      </c>
      <c r="B196" s="573">
        <v>0</v>
      </c>
      <c r="C196" s="573">
        <v>0</v>
      </c>
      <c r="D196" s="574">
        <v>0</v>
      </c>
      <c r="E196" s="575" t="s">
        <v>281</v>
      </c>
      <c r="F196" s="573">
        <v>0</v>
      </c>
      <c r="G196" s="574">
        <v>0</v>
      </c>
      <c r="H196" s="576">
        <v>0</v>
      </c>
      <c r="I196" s="573">
        <v>3.3210000000000003E-2</v>
      </c>
      <c r="J196" s="574">
        <v>3.3210000000000003E-2</v>
      </c>
      <c r="K196" s="577" t="s">
        <v>293</v>
      </c>
    </row>
    <row r="197" spans="1:11" ht="14.4" customHeight="1" thickBot="1" x14ac:dyDescent="0.35">
      <c r="A197" s="589" t="s">
        <v>469</v>
      </c>
      <c r="B197" s="573">
        <v>0</v>
      </c>
      <c r="C197" s="573">
        <v>0</v>
      </c>
      <c r="D197" s="574">
        <v>0</v>
      </c>
      <c r="E197" s="575" t="s">
        <v>281</v>
      </c>
      <c r="F197" s="573">
        <v>0</v>
      </c>
      <c r="G197" s="574">
        <v>0</v>
      </c>
      <c r="H197" s="576">
        <v>0</v>
      </c>
      <c r="I197" s="573">
        <v>3.3210000000000003E-2</v>
      </c>
      <c r="J197" s="574">
        <v>3.3210000000000003E-2</v>
      </c>
      <c r="K197" s="577" t="s">
        <v>293</v>
      </c>
    </row>
    <row r="198" spans="1:11" ht="14.4" customHeight="1" thickBot="1" x14ac:dyDescent="0.35">
      <c r="A198" s="590" t="s">
        <v>470</v>
      </c>
      <c r="B198" s="568">
        <v>0</v>
      </c>
      <c r="C198" s="568">
        <v>0</v>
      </c>
      <c r="D198" s="569">
        <v>0</v>
      </c>
      <c r="E198" s="570">
        <v>1</v>
      </c>
      <c r="F198" s="568">
        <v>0</v>
      </c>
      <c r="G198" s="569">
        <v>0</v>
      </c>
      <c r="H198" s="571">
        <v>0</v>
      </c>
      <c r="I198" s="568">
        <v>3.3210000000000003E-2</v>
      </c>
      <c r="J198" s="569">
        <v>3.3210000000000003E-2</v>
      </c>
      <c r="K198" s="579" t="s">
        <v>293</v>
      </c>
    </row>
    <row r="199" spans="1:11" ht="14.4" customHeight="1" thickBot="1" x14ac:dyDescent="0.35">
      <c r="A199" s="595"/>
      <c r="B199" s="568">
        <v>-8300.0963445263696</v>
      </c>
      <c r="C199" s="568">
        <v>-6356.4229400000304</v>
      </c>
      <c r="D199" s="569">
        <v>1943.6734045263399</v>
      </c>
      <c r="E199" s="570">
        <v>0.76582519962999995</v>
      </c>
      <c r="F199" s="568">
        <v>-11084.8225731574</v>
      </c>
      <c r="G199" s="569">
        <v>-6466.1465010084903</v>
      </c>
      <c r="H199" s="571">
        <v>-2388.9568899999999</v>
      </c>
      <c r="I199" s="568">
        <v>-7277.8540500000099</v>
      </c>
      <c r="J199" s="569">
        <v>-811.70754899152098</v>
      </c>
      <c r="K199" s="572">
        <v>0.65656026535000001</v>
      </c>
    </row>
    <row r="200" spans="1:11" ht="14.4" customHeight="1" thickBot="1" x14ac:dyDescent="0.35">
      <c r="A200" s="596" t="s">
        <v>53</v>
      </c>
      <c r="B200" s="582">
        <v>-8300.0963445263696</v>
      </c>
      <c r="C200" s="582">
        <v>-6356.4229400000304</v>
      </c>
      <c r="D200" s="583">
        <v>1943.6734045263399</v>
      </c>
      <c r="E200" s="584" t="s">
        <v>281</v>
      </c>
      <c r="F200" s="582">
        <v>-11084.8225731574</v>
      </c>
      <c r="G200" s="583">
        <v>-6466.1465010084903</v>
      </c>
      <c r="H200" s="582">
        <v>-2388.9568899999999</v>
      </c>
      <c r="I200" s="582">
        <v>-7277.8540499999999</v>
      </c>
      <c r="J200" s="583">
        <v>-811.70754899151996</v>
      </c>
      <c r="K200" s="585">
        <v>0.65656026535000001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30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319" customWidth="1"/>
    <col min="2" max="2" width="61.109375" style="319" customWidth="1"/>
    <col min="3" max="3" width="9.5546875" style="238" customWidth="1"/>
    <col min="4" max="4" width="9.5546875" style="320" customWidth="1"/>
    <col min="5" max="5" width="2.21875" style="320" customWidth="1"/>
    <col min="6" max="6" width="9.5546875" style="321" customWidth="1"/>
    <col min="7" max="7" width="9.5546875" style="318" customWidth="1"/>
    <col min="8" max="9" width="9.5546875" style="238" customWidth="1"/>
    <col min="10" max="10" width="0" style="238" hidden="1" customWidth="1"/>
    <col min="11" max="16384" width="8.88671875" style="238"/>
  </cols>
  <sheetData>
    <row r="1" spans="1:10" ht="18.600000000000001" customHeight="1" thickBot="1" x14ac:dyDescent="0.4">
      <c r="A1" s="483" t="s">
        <v>158</v>
      </c>
      <c r="B1" s="484"/>
      <c r="C1" s="484"/>
      <c r="D1" s="484"/>
      <c r="E1" s="484"/>
      <c r="F1" s="484"/>
      <c r="G1" s="455"/>
      <c r="H1" s="485"/>
      <c r="I1" s="485"/>
    </row>
    <row r="2" spans="1:10" ht="14.4" customHeight="1" thickBot="1" x14ac:dyDescent="0.35">
      <c r="A2" s="360" t="s">
        <v>280</v>
      </c>
      <c r="B2" s="317"/>
      <c r="C2" s="317"/>
      <c r="D2" s="317"/>
      <c r="E2" s="317"/>
      <c r="F2" s="317"/>
    </row>
    <row r="3" spans="1:10" ht="14.4" customHeight="1" thickBot="1" x14ac:dyDescent="0.35">
      <c r="A3" s="360"/>
      <c r="B3" s="317"/>
      <c r="C3" s="420">
        <v>2014</v>
      </c>
      <c r="D3" s="421">
        <v>2015</v>
      </c>
      <c r="E3" s="11"/>
      <c r="F3" s="478">
        <v>2016</v>
      </c>
      <c r="G3" s="479"/>
      <c r="H3" s="479"/>
      <c r="I3" s="480"/>
    </row>
    <row r="4" spans="1:10" ht="14.4" customHeight="1" thickBot="1" x14ac:dyDescent="0.35">
      <c r="A4" s="425" t="s">
        <v>0</v>
      </c>
      <c r="B4" s="426" t="s">
        <v>229</v>
      </c>
      <c r="C4" s="481" t="s">
        <v>81</v>
      </c>
      <c r="D4" s="482"/>
      <c r="E4" s="427"/>
      <c r="F4" s="422" t="s">
        <v>81</v>
      </c>
      <c r="G4" s="423" t="s">
        <v>82</v>
      </c>
      <c r="H4" s="423" t="s">
        <v>56</v>
      </c>
      <c r="I4" s="424" t="s">
        <v>83</v>
      </c>
    </row>
    <row r="5" spans="1:10" ht="14.4" customHeight="1" x14ac:dyDescent="0.3">
      <c r="A5" s="597" t="s">
        <v>471</v>
      </c>
      <c r="B5" s="598" t="s">
        <v>472</v>
      </c>
      <c r="C5" s="599" t="s">
        <v>473</v>
      </c>
      <c r="D5" s="599" t="s">
        <v>473</v>
      </c>
      <c r="E5" s="599"/>
      <c r="F5" s="599" t="s">
        <v>473</v>
      </c>
      <c r="G5" s="599" t="s">
        <v>473</v>
      </c>
      <c r="H5" s="599" t="s">
        <v>473</v>
      </c>
      <c r="I5" s="600" t="s">
        <v>473</v>
      </c>
      <c r="J5" s="601" t="s">
        <v>61</v>
      </c>
    </row>
    <row r="6" spans="1:10" ht="14.4" customHeight="1" x14ac:dyDescent="0.3">
      <c r="A6" s="597" t="s">
        <v>471</v>
      </c>
      <c r="B6" s="598" t="s">
        <v>289</v>
      </c>
      <c r="C6" s="599">
        <v>1861.6186000000009</v>
      </c>
      <c r="D6" s="599">
        <v>1993.0896200000011</v>
      </c>
      <c r="E6" s="599"/>
      <c r="F6" s="599">
        <v>2153.2033400000009</v>
      </c>
      <c r="G6" s="599">
        <v>2333.2715931672815</v>
      </c>
      <c r="H6" s="599">
        <v>-180.06825316728055</v>
      </c>
      <c r="I6" s="600">
        <v>0.9228258494662217</v>
      </c>
      <c r="J6" s="601" t="s">
        <v>1</v>
      </c>
    </row>
    <row r="7" spans="1:10" ht="14.4" customHeight="1" x14ac:dyDescent="0.3">
      <c r="A7" s="597" t="s">
        <v>471</v>
      </c>
      <c r="B7" s="598" t="s">
        <v>290</v>
      </c>
      <c r="C7" s="599" t="s">
        <v>473</v>
      </c>
      <c r="D7" s="599">
        <v>0</v>
      </c>
      <c r="E7" s="599"/>
      <c r="F7" s="599">
        <v>891.14224000000002</v>
      </c>
      <c r="G7" s="599">
        <v>940.91674357218415</v>
      </c>
      <c r="H7" s="599">
        <v>-49.77450357218413</v>
      </c>
      <c r="I7" s="600">
        <v>0.94709999167065984</v>
      </c>
      <c r="J7" s="601" t="s">
        <v>1</v>
      </c>
    </row>
    <row r="8" spans="1:10" ht="14.4" customHeight="1" x14ac:dyDescent="0.3">
      <c r="A8" s="597" t="s">
        <v>471</v>
      </c>
      <c r="B8" s="598" t="s">
        <v>291</v>
      </c>
      <c r="C8" s="599">
        <v>904.26690000000008</v>
      </c>
      <c r="D8" s="599">
        <v>1112.3420599999999</v>
      </c>
      <c r="E8" s="599"/>
      <c r="F8" s="599">
        <v>116.52669</v>
      </c>
      <c r="G8" s="599">
        <v>200.66662946785584</v>
      </c>
      <c r="H8" s="599">
        <v>-84.139939467855839</v>
      </c>
      <c r="I8" s="600">
        <v>0.58069789834520569</v>
      </c>
      <c r="J8" s="601" t="s">
        <v>1</v>
      </c>
    </row>
    <row r="9" spans="1:10" ht="14.4" customHeight="1" x14ac:dyDescent="0.3">
      <c r="A9" s="597" t="s">
        <v>471</v>
      </c>
      <c r="B9" s="598" t="s">
        <v>292</v>
      </c>
      <c r="C9" s="599">
        <v>0</v>
      </c>
      <c r="D9" s="599" t="s">
        <v>473</v>
      </c>
      <c r="E9" s="599"/>
      <c r="F9" s="599">
        <v>8.8119999999999994</v>
      </c>
      <c r="G9" s="599">
        <v>0</v>
      </c>
      <c r="H9" s="599">
        <v>8.8119999999999994</v>
      </c>
      <c r="I9" s="600" t="s">
        <v>473</v>
      </c>
      <c r="J9" s="601" t="s">
        <v>1</v>
      </c>
    </row>
    <row r="10" spans="1:10" ht="14.4" customHeight="1" x14ac:dyDescent="0.3">
      <c r="A10" s="597" t="s">
        <v>471</v>
      </c>
      <c r="B10" s="598" t="s">
        <v>294</v>
      </c>
      <c r="C10" s="599">
        <v>218.78209999999999</v>
      </c>
      <c r="D10" s="599">
        <v>530.93650000000002</v>
      </c>
      <c r="E10" s="599"/>
      <c r="F10" s="599">
        <v>1332.6685</v>
      </c>
      <c r="G10" s="599">
        <v>434.00003918129659</v>
      </c>
      <c r="H10" s="599">
        <v>898.66846081870335</v>
      </c>
      <c r="I10" s="600">
        <v>3.0706644693257714</v>
      </c>
      <c r="J10" s="601" t="s">
        <v>1</v>
      </c>
    </row>
    <row r="11" spans="1:10" ht="14.4" customHeight="1" x14ac:dyDescent="0.3">
      <c r="A11" s="597" t="s">
        <v>471</v>
      </c>
      <c r="B11" s="598" t="s">
        <v>295</v>
      </c>
      <c r="C11" s="599">
        <v>0</v>
      </c>
      <c r="D11" s="599">
        <v>383.87332000000004</v>
      </c>
      <c r="E11" s="599"/>
      <c r="F11" s="599">
        <v>21.263470000000002</v>
      </c>
      <c r="G11" s="599">
        <v>204.16668509872835</v>
      </c>
      <c r="H11" s="599">
        <v>-182.90321509872834</v>
      </c>
      <c r="I11" s="600">
        <v>0.10414759876087365</v>
      </c>
      <c r="J11" s="601" t="s">
        <v>1</v>
      </c>
    </row>
    <row r="12" spans="1:10" ht="14.4" customHeight="1" x14ac:dyDescent="0.3">
      <c r="A12" s="597" t="s">
        <v>471</v>
      </c>
      <c r="B12" s="598" t="s">
        <v>296</v>
      </c>
      <c r="C12" s="599">
        <v>645.07909000000006</v>
      </c>
      <c r="D12" s="599">
        <v>731.62278999999887</v>
      </c>
      <c r="E12" s="599"/>
      <c r="F12" s="599">
        <v>679.35159999999996</v>
      </c>
      <c r="G12" s="599">
        <v>754.38563664709</v>
      </c>
      <c r="H12" s="599">
        <v>-75.034036647090034</v>
      </c>
      <c r="I12" s="600">
        <v>0.90053623372180958</v>
      </c>
      <c r="J12" s="601" t="s">
        <v>1</v>
      </c>
    </row>
    <row r="13" spans="1:10" ht="14.4" customHeight="1" x14ac:dyDescent="0.3">
      <c r="A13" s="597" t="s">
        <v>471</v>
      </c>
      <c r="B13" s="598" t="s">
        <v>297</v>
      </c>
      <c r="C13" s="599">
        <v>578.66325000000006</v>
      </c>
      <c r="D13" s="599">
        <v>436.172110000001</v>
      </c>
      <c r="E13" s="599"/>
      <c r="F13" s="599">
        <v>652.39700999999991</v>
      </c>
      <c r="G13" s="599">
        <v>530.34467073674045</v>
      </c>
      <c r="H13" s="599">
        <v>122.05233926325946</v>
      </c>
      <c r="I13" s="600">
        <v>1.2301377688847286</v>
      </c>
      <c r="J13" s="601" t="s">
        <v>1</v>
      </c>
    </row>
    <row r="14" spans="1:10" ht="14.4" customHeight="1" x14ac:dyDescent="0.3">
      <c r="A14" s="597" t="s">
        <v>471</v>
      </c>
      <c r="B14" s="598" t="s">
        <v>298</v>
      </c>
      <c r="C14" s="599">
        <v>90.299400000000006</v>
      </c>
      <c r="D14" s="599">
        <v>90.814790000000002</v>
      </c>
      <c r="E14" s="599"/>
      <c r="F14" s="599">
        <v>79.442009999999996</v>
      </c>
      <c r="G14" s="599">
        <v>85.750007741466248</v>
      </c>
      <c r="H14" s="599">
        <v>-6.3079977414662523</v>
      </c>
      <c r="I14" s="600">
        <v>0.92643735076404099</v>
      </c>
      <c r="J14" s="601" t="s">
        <v>1</v>
      </c>
    </row>
    <row r="15" spans="1:10" ht="14.4" customHeight="1" x14ac:dyDescent="0.3">
      <c r="A15" s="597" t="s">
        <v>471</v>
      </c>
      <c r="B15" s="598" t="s">
        <v>474</v>
      </c>
      <c r="C15" s="599">
        <v>4298.7093400000012</v>
      </c>
      <c r="D15" s="599">
        <v>5278.8511900000021</v>
      </c>
      <c r="E15" s="599"/>
      <c r="F15" s="599">
        <v>5934.8068600000006</v>
      </c>
      <c r="G15" s="599">
        <v>5483.5020056126423</v>
      </c>
      <c r="H15" s="599">
        <v>451.30485438735832</v>
      </c>
      <c r="I15" s="600">
        <v>1.0823023049732496</v>
      </c>
      <c r="J15" s="601" t="s">
        <v>475</v>
      </c>
    </row>
    <row r="17" spans="1:10" ht="14.4" customHeight="1" x14ac:dyDescent="0.3">
      <c r="A17" s="597" t="s">
        <v>471</v>
      </c>
      <c r="B17" s="598" t="s">
        <v>472</v>
      </c>
      <c r="C17" s="599" t="s">
        <v>473</v>
      </c>
      <c r="D17" s="599" t="s">
        <v>473</v>
      </c>
      <c r="E17" s="599"/>
      <c r="F17" s="599" t="s">
        <v>473</v>
      </c>
      <c r="G17" s="599" t="s">
        <v>473</v>
      </c>
      <c r="H17" s="599" t="s">
        <v>473</v>
      </c>
      <c r="I17" s="600" t="s">
        <v>473</v>
      </c>
      <c r="J17" s="601" t="s">
        <v>61</v>
      </c>
    </row>
    <row r="18" spans="1:10" ht="14.4" customHeight="1" x14ac:dyDescent="0.3">
      <c r="A18" s="597" t="s">
        <v>476</v>
      </c>
      <c r="B18" s="598" t="s">
        <v>477</v>
      </c>
      <c r="C18" s="599" t="s">
        <v>473</v>
      </c>
      <c r="D18" s="599" t="s">
        <v>473</v>
      </c>
      <c r="E18" s="599"/>
      <c r="F18" s="599" t="s">
        <v>473</v>
      </c>
      <c r="G18" s="599" t="s">
        <v>473</v>
      </c>
      <c r="H18" s="599" t="s">
        <v>473</v>
      </c>
      <c r="I18" s="600" t="s">
        <v>473</v>
      </c>
      <c r="J18" s="601" t="s">
        <v>0</v>
      </c>
    </row>
    <row r="19" spans="1:10" ht="14.4" customHeight="1" x14ac:dyDescent="0.3">
      <c r="A19" s="597" t="s">
        <v>476</v>
      </c>
      <c r="B19" s="598" t="s">
        <v>289</v>
      </c>
      <c r="C19" s="599">
        <v>1861.6186000000009</v>
      </c>
      <c r="D19" s="599">
        <v>1993.0896200000011</v>
      </c>
      <c r="E19" s="599"/>
      <c r="F19" s="599">
        <v>2153.2033400000009</v>
      </c>
      <c r="G19" s="599">
        <v>2333.2715931672815</v>
      </c>
      <c r="H19" s="599">
        <v>-180.06825316728055</v>
      </c>
      <c r="I19" s="600">
        <v>0.9228258494662217</v>
      </c>
      <c r="J19" s="601" t="s">
        <v>1</v>
      </c>
    </row>
    <row r="20" spans="1:10" ht="14.4" customHeight="1" x14ac:dyDescent="0.3">
      <c r="A20" s="597" t="s">
        <v>476</v>
      </c>
      <c r="B20" s="598" t="s">
        <v>290</v>
      </c>
      <c r="C20" s="599" t="s">
        <v>473</v>
      </c>
      <c r="D20" s="599">
        <v>0</v>
      </c>
      <c r="E20" s="599"/>
      <c r="F20" s="599">
        <v>891.14224000000002</v>
      </c>
      <c r="G20" s="599">
        <v>940.91674357218415</v>
      </c>
      <c r="H20" s="599">
        <v>-49.77450357218413</v>
      </c>
      <c r="I20" s="600">
        <v>0.94709999167065984</v>
      </c>
      <c r="J20" s="601" t="s">
        <v>1</v>
      </c>
    </row>
    <row r="21" spans="1:10" ht="14.4" customHeight="1" x14ac:dyDescent="0.3">
      <c r="A21" s="597" t="s">
        <v>476</v>
      </c>
      <c r="B21" s="598" t="s">
        <v>291</v>
      </c>
      <c r="C21" s="599">
        <v>904.26690000000008</v>
      </c>
      <c r="D21" s="599">
        <v>1112.3420599999999</v>
      </c>
      <c r="E21" s="599"/>
      <c r="F21" s="599">
        <v>116.52669</v>
      </c>
      <c r="G21" s="599">
        <v>200.66662946785584</v>
      </c>
      <c r="H21" s="599">
        <v>-84.139939467855839</v>
      </c>
      <c r="I21" s="600">
        <v>0.58069789834520569</v>
      </c>
      <c r="J21" s="601" t="s">
        <v>1</v>
      </c>
    </row>
    <row r="22" spans="1:10" ht="14.4" customHeight="1" x14ac:dyDescent="0.3">
      <c r="A22" s="597" t="s">
        <v>476</v>
      </c>
      <c r="B22" s="598" t="s">
        <v>292</v>
      </c>
      <c r="C22" s="599">
        <v>0</v>
      </c>
      <c r="D22" s="599" t="s">
        <v>473</v>
      </c>
      <c r="E22" s="599"/>
      <c r="F22" s="599">
        <v>8.8119999999999994</v>
      </c>
      <c r="G22" s="599">
        <v>0</v>
      </c>
      <c r="H22" s="599">
        <v>8.8119999999999994</v>
      </c>
      <c r="I22" s="600" t="s">
        <v>473</v>
      </c>
      <c r="J22" s="601" t="s">
        <v>1</v>
      </c>
    </row>
    <row r="23" spans="1:10" ht="14.4" customHeight="1" x14ac:dyDescent="0.3">
      <c r="A23" s="597" t="s">
        <v>476</v>
      </c>
      <c r="B23" s="598" t="s">
        <v>294</v>
      </c>
      <c r="C23" s="599">
        <v>218.78209999999999</v>
      </c>
      <c r="D23" s="599">
        <v>530.93650000000002</v>
      </c>
      <c r="E23" s="599"/>
      <c r="F23" s="599">
        <v>1332.6685</v>
      </c>
      <c r="G23" s="599">
        <v>434.00003918129659</v>
      </c>
      <c r="H23" s="599">
        <v>898.66846081870335</v>
      </c>
      <c r="I23" s="600">
        <v>3.0706644693257714</v>
      </c>
      <c r="J23" s="601" t="s">
        <v>1</v>
      </c>
    </row>
    <row r="24" spans="1:10" ht="14.4" customHeight="1" x14ac:dyDescent="0.3">
      <c r="A24" s="597" t="s">
        <v>476</v>
      </c>
      <c r="B24" s="598" t="s">
        <v>295</v>
      </c>
      <c r="C24" s="599">
        <v>0</v>
      </c>
      <c r="D24" s="599">
        <v>383.87332000000004</v>
      </c>
      <c r="E24" s="599"/>
      <c r="F24" s="599">
        <v>21.263470000000002</v>
      </c>
      <c r="G24" s="599">
        <v>204.16668509872835</v>
      </c>
      <c r="H24" s="599">
        <v>-182.90321509872834</v>
      </c>
      <c r="I24" s="600">
        <v>0.10414759876087365</v>
      </c>
      <c r="J24" s="601" t="s">
        <v>1</v>
      </c>
    </row>
    <row r="25" spans="1:10" ht="14.4" customHeight="1" x14ac:dyDescent="0.3">
      <c r="A25" s="597" t="s">
        <v>476</v>
      </c>
      <c r="B25" s="598" t="s">
        <v>296</v>
      </c>
      <c r="C25" s="599">
        <v>645.07909000000006</v>
      </c>
      <c r="D25" s="599">
        <v>731.62278999999887</v>
      </c>
      <c r="E25" s="599"/>
      <c r="F25" s="599">
        <v>679.35159999999996</v>
      </c>
      <c r="G25" s="599">
        <v>754.38563664709</v>
      </c>
      <c r="H25" s="599">
        <v>-75.034036647090034</v>
      </c>
      <c r="I25" s="600">
        <v>0.90053623372180958</v>
      </c>
      <c r="J25" s="601" t="s">
        <v>1</v>
      </c>
    </row>
    <row r="26" spans="1:10" ht="14.4" customHeight="1" x14ac:dyDescent="0.3">
      <c r="A26" s="597" t="s">
        <v>476</v>
      </c>
      <c r="B26" s="598" t="s">
        <v>297</v>
      </c>
      <c r="C26" s="599">
        <v>578.66325000000006</v>
      </c>
      <c r="D26" s="599">
        <v>436.172110000001</v>
      </c>
      <c r="E26" s="599"/>
      <c r="F26" s="599">
        <v>652.39700999999991</v>
      </c>
      <c r="G26" s="599">
        <v>530.34467073674045</v>
      </c>
      <c r="H26" s="599">
        <v>122.05233926325946</v>
      </c>
      <c r="I26" s="600">
        <v>1.2301377688847286</v>
      </c>
      <c r="J26" s="601" t="s">
        <v>1</v>
      </c>
    </row>
    <row r="27" spans="1:10" ht="14.4" customHeight="1" x14ac:dyDescent="0.3">
      <c r="A27" s="597" t="s">
        <v>476</v>
      </c>
      <c r="B27" s="598" t="s">
        <v>298</v>
      </c>
      <c r="C27" s="599">
        <v>90.299400000000006</v>
      </c>
      <c r="D27" s="599">
        <v>90.814790000000002</v>
      </c>
      <c r="E27" s="599"/>
      <c r="F27" s="599">
        <v>79.442009999999996</v>
      </c>
      <c r="G27" s="599">
        <v>85.750007741466248</v>
      </c>
      <c r="H27" s="599">
        <v>-6.3079977414662523</v>
      </c>
      <c r="I27" s="600">
        <v>0.92643735076404099</v>
      </c>
      <c r="J27" s="601" t="s">
        <v>1</v>
      </c>
    </row>
    <row r="28" spans="1:10" ht="14.4" customHeight="1" x14ac:dyDescent="0.3">
      <c r="A28" s="597" t="s">
        <v>476</v>
      </c>
      <c r="B28" s="598" t="s">
        <v>478</v>
      </c>
      <c r="C28" s="599">
        <v>4298.7093400000012</v>
      </c>
      <c r="D28" s="599">
        <v>5278.8511900000021</v>
      </c>
      <c r="E28" s="599"/>
      <c r="F28" s="599">
        <v>5934.8068600000006</v>
      </c>
      <c r="G28" s="599">
        <v>5483.5020056126423</v>
      </c>
      <c r="H28" s="599">
        <v>451.30485438735832</v>
      </c>
      <c r="I28" s="600">
        <v>1.0823023049732496</v>
      </c>
      <c r="J28" s="601" t="s">
        <v>479</v>
      </c>
    </row>
    <row r="29" spans="1:10" ht="14.4" customHeight="1" x14ac:dyDescent="0.3">
      <c r="A29" s="597" t="s">
        <v>473</v>
      </c>
      <c r="B29" s="598" t="s">
        <v>473</v>
      </c>
      <c r="C29" s="599" t="s">
        <v>473</v>
      </c>
      <c r="D29" s="599" t="s">
        <v>473</v>
      </c>
      <c r="E29" s="599"/>
      <c r="F29" s="599" t="s">
        <v>473</v>
      </c>
      <c r="G29" s="599" t="s">
        <v>473</v>
      </c>
      <c r="H29" s="599" t="s">
        <v>473</v>
      </c>
      <c r="I29" s="600" t="s">
        <v>473</v>
      </c>
      <c r="J29" s="601" t="s">
        <v>480</v>
      </c>
    </row>
    <row r="30" spans="1:10" ht="14.4" customHeight="1" x14ac:dyDescent="0.3">
      <c r="A30" s="597" t="s">
        <v>471</v>
      </c>
      <c r="B30" s="598" t="s">
        <v>474</v>
      </c>
      <c r="C30" s="599">
        <v>4298.7093400000012</v>
      </c>
      <c r="D30" s="599">
        <v>5278.8511900000021</v>
      </c>
      <c r="E30" s="599"/>
      <c r="F30" s="599">
        <v>5934.8068600000006</v>
      </c>
      <c r="G30" s="599">
        <v>5483.5020056126423</v>
      </c>
      <c r="H30" s="599">
        <v>451.30485438735832</v>
      </c>
      <c r="I30" s="600">
        <v>1.0823023049732496</v>
      </c>
      <c r="J30" s="601" t="s">
        <v>475</v>
      </c>
    </row>
  </sheetData>
  <mergeCells count="3">
    <mergeCell ref="F3:I3"/>
    <mergeCell ref="C4:D4"/>
    <mergeCell ref="A1:I1"/>
  </mergeCells>
  <conditionalFormatting sqref="F16 F31:F65537">
    <cfRule type="cellIs" dxfId="60" priority="18" stopIfTrue="1" operator="greaterThan">
      <formula>1</formula>
    </cfRule>
  </conditionalFormatting>
  <conditionalFormatting sqref="H5:H15">
    <cfRule type="expression" dxfId="59" priority="14">
      <formula>$H5&gt;0</formula>
    </cfRule>
  </conditionalFormatting>
  <conditionalFormatting sqref="I5:I15">
    <cfRule type="expression" dxfId="58" priority="15">
      <formula>$I5&gt;1</formula>
    </cfRule>
  </conditionalFormatting>
  <conditionalFormatting sqref="B5:B15">
    <cfRule type="expression" dxfId="57" priority="11">
      <formula>OR($J5="NS",$J5="SumaNS",$J5="Účet")</formula>
    </cfRule>
  </conditionalFormatting>
  <conditionalFormatting sqref="B5:D15 F5:I15">
    <cfRule type="expression" dxfId="56" priority="17">
      <formula>AND($J5&lt;&gt;"",$J5&lt;&gt;"mezeraKL")</formula>
    </cfRule>
  </conditionalFormatting>
  <conditionalFormatting sqref="B5:D15 F5:I15">
    <cfRule type="expression" dxfId="55" priority="12">
      <formula>OR($J5="KL",$J5="SumaKL")</formula>
    </cfRule>
    <cfRule type="expression" priority="16" stopIfTrue="1">
      <formula>OR($J5="mezeraNS",$J5="mezeraKL")</formula>
    </cfRule>
  </conditionalFormatting>
  <conditionalFormatting sqref="F5:I15 B5:D15">
    <cfRule type="expression" dxfId="54" priority="13">
      <formula>OR($J5="SumaNS",$J5="NS")</formula>
    </cfRule>
  </conditionalFormatting>
  <conditionalFormatting sqref="A5:A15">
    <cfRule type="expression" dxfId="53" priority="9">
      <formula>AND($J5&lt;&gt;"mezeraKL",$J5&lt;&gt;"")</formula>
    </cfRule>
  </conditionalFormatting>
  <conditionalFormatting sqref="A5:A15">
    <cfRule type="expression" dxfId="52" priority="10">
      <formula>AND($J5&lt;&gt;"",$J5&lt;&gt;"mezeraKL")</formula>
    </cfRule>
  </conditionalFormatting>
  <conditionalFormatting sqref="H17:H30">
    <cfRule type="expression" dxfId="51" priority="5">
      <formula>$H17&gt;0</formula>
    </cfRule>
  </conditionalFormatting>
  <conditionalFormatting sqref="A17:A30">
    <cfRule type="expression" dxfId="50" priority="2">
      <formula>AND($J17&lt;&gt;"mezeraKL",$J17&lt;&gt;"")</formula>
    </cfRule>
  </conditionalFormatting>
  <conditionalFormatting sqref="I17:I30">
    <cfRule type="expression" dxfId="49" priority="6">
      <formula>$I17&gt;1</formula>
    </cfRule>
  </conditionalFormatting>
  <conditionalFormatting sqref="B17:B30">
    <cfRule type="expression" dxfId="48" priority="1">
      <formula>OR($J17="NS",$J17="SumaNS",$J17="Účet")</formula>
    </cfRule>
  </conditionalFormatting>
  <conditionalFormatting sqref="A17:D30 F17:I30">
    <cfRule type="expression" dxfId="47" priority="8">
      <formula>AND($J17&lt;&gt;"",$J17&lt;&gt;"mezeraKL")</formula>
    </cfRule>
  </conditionalFormatting>
  <conditionalFormatting sqref="B17:D30 F17:I30">
    <cfRule type="expression" dxfId="46" priority="3">
      <formula>OR($J17="KL",$J17="SumaKL")</formula>
    </cfRule>
    <cfRule type="expression" priority="7" stopIfTrue="1">
      <formula>OR($J17="mezeraNS",$J17="mezeraKL")</formula>
    </cfRule>
  </conditionalFormatting>
  <conditionalFormatting sqref="B17:D30 F17:I30">
    <cfRule type="expression" dxfId="45" priority="4">
      <formula>OR($J17="SumaNS",$J17="NS")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511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238" hidden="1" customWidth="1" outlineLevel="1"/>
    <col min="2" max="2" width="28.33203125" style="238" hidden="1" customWidth="1" outlineLevel="1"/>
    <col min="3" max="3" width="5.33203125" style="320" bestFit="1" customWidth="1" collapsed="1"/>
    <col min="4" max="4" width="18.77734375" style="324" customWidth="1"/>
    <col min="5" max="5" width="9" style="320" bestFit="1" customWidth="1"/>
    <col min="6" max="6" width="18.77734375" style="324" customWidth="1"/>
    <col min="7" max="7" width="5" style="320" customWidth="1"/>
    <col min="8" max="8" width="12.44140625" style="320" hidden="1" customWidth="1" outlineLevel="1"/>
    <col min="9" max="9" width="8.5546875" style="320" hidden="1" customWidth="1" outlineLevel="1"/>
    <col min="10" max="10" width="25.77734375" style="320" customWidth="1" collapsed="1"/>
    <col min="11" max="11" width="8.77734375" style="320" customWidth="1"/>
    <col min="12" max="13" width="7.77734375" style="318" customWidth="1"/>
    <col min="14" max="14" width="11.109375" style="318" customWidth="1"/>
    <col min="15" max="16384" width="8.88671875" style="238"/>
  </cols>
  <sheetData>
    <row r="1" spans="1:14" ht="18.600000000000001" customHeight="1" thickBot="1" x14ac:dyDescent="0.4">
      <c r="A1" s="490" t="s">
        <v>180</v>
      </c>
      <c r="B1" s="455"/>
      <c r="C1" s="455"/>
      <c r="D1" s="455"/>
      <c r="E1" s="455"/>
      <c r="F1" s="455"/>
      <c r="G1" s="455"/>
      <c r="H1" s="455"/>
      <c r="I1" s="455"/>
      <c r="J1" s="455"/>
      <c r="K1" s="455"/>
      <c r="L1" s="455"/>
      <c r="M1" s="455"/>
      <c r="N1" s="455"/>
    </row>
    <row r="2" spans="1:14" ht="14.4" customHeight="1" thickBot="1" x14ac:dyDescent="0.35">
      <c r="A2" s="360" t="s">
        <v>280</v>
      </c>
      <c r="B2" s="66"/>
      <c r="C2" s="322"/>
      <c r="D2" s="322"/>
      <c r="E2" s="322"/>
      <c r="F2" s="322"/>
      <c r="G2" s="322"/>
      <c r="H2" s="322"/>
      <c r="I2" s="322"/>
      <c r="J2" s="322"/>
      <c r="K2" s="322"/>
      <c r="L2" s="323"/>
      <c r="M2" s="323"/>
      <c r="N2" s="323"/>
    </row>
    <row r="3" spans="1:14" ht="14.4" customHeight="1" thickBot="1" x14ac:dyDescent="0.35">
      <c r="A3" s="66"/>
      <c r="B3" s="66"/>
      <c r="C3" s="486"/>
      <c r="D3" s="487"/>
      <c r="E3" s="487"/>
      <c r="F3" s="487"/>
      <c r="G3" s="487"/>
      <c r="H3" s="487"/>
      <c r="I3" s="487"/>
      <c r="J3" s="488" t="s">
        <v>142</v>
      </c>
      <c r="K3" s="489"/>
      <c r="L3" s="192">
        <f>IF(M3&lt;&gt;0,N3/M3,0)</f>
        <v>379.71647441839207</v>
      </c>
      <c r="M3" s="192">
        <f>SUBTOTAL(9,M5:M1048576)</f>
        <v>16240.784099999997</v>
      </c>
      <c r="N3" s="193">
        <f>SUBTOTAL(9,N5:N1048576)</f>
        <v>6166893.2802422773</v>
      </c>
    </row>
    <row r="4" spans="1:14" s="319" customFormat="1" ht="14.4" customHeight="1" thickBot="1" x14ac:dyDescent="0.35">
      <c r="A4" s="602" t="s">
        <v>4</v>
      </c>
      <c r="B4" s="603" t="s">
        <v>5</v>
      </c>
      <c r="C4" s="603" t="s">
        <v>0</v>
      </c>
      <c r="D4" s="603" t="s">
        <v>6</v>
      </c>
      <c r="E4" s="603" t="s">
        <v>7</v>
      </c>
      <c r="F4" s="603" t="s">
        <v>1</v>
      </c>
      <c r="G4" s="603" t="s">
        <v>8</v>
      </c>
      <c r="H4" s="603" t="s">
        <v>9</v>
      </c>
      <c r="I4" s="603" t="s">
        <v>10</v>
      </c>
      <c r="J4" s="604" t="s">
        <v>11</v>
      </c>
      <c r="K4" s="604" t="s">
        <v>12</v>
      </c>
      <c r="L4" s="605" t="s">
        <v>165</v>
      </c>
      <c r="M4" s="605" t="s">
        <v>13</v>
      </c>
      <c r="N4" s="606" t="s">
        <v>176</v>
      </c>
    </row>
    <row r="5" spans="1:14" ht="14.4" customHeight="1" x14ac:dyDescent="0.3">
      <c r="A5" s="609" t="s">
        <v>471</v>
      </c>
      <c r="B5" s="610" t="s">
        <v>2151</v>
      </c>
      <c r="C5" s="611" t="s">
        <v>476</v>
      </c>
      <c r="D5" s="612" t="s">
        <v>2152</v>
      </c>
      <c r="E5" s="611" t="s">
        <v>481</v>
      </c>
      <c r="F5" s="612" t="s">
        <v>2153</v>
      </c>
      <c r="G5" s="611"/>
      <c r="H5" s="611" t="s">
        <v>482</v>
      </c>
      <c r="I5" s="611" t="s">
        <v>483</v>
      </c>
      <c r="J5" s="611" t="s">
        <v>484</v>
      </c>
      <c r="K5" s="611" t="s">
        <v>485</v>
      </c>
      <c r="L5" s="613">
        <v>58.669999999999966</v>
      </c>
      <c r="M5" s="613">
        <v>1</v>
      </c>
      <c r="N5" s="614">
        <v>58.669999999999966</v>
      </c>
    </row>
    <row r="6" spans="1:14" ht="14.4" customHeight="1" x14ac:dyDescent="0.3">
      <c r="A6" s="615" t="s">
        <v>471</v>
      </c>
      <c r="B6" s="616" t="s">
        <v>2151</v>
      </c>
      <c r="C6" s="617" t="s">
        <v>476</v>
      </c>
      <c r="D6" s="618" t="s">
        <v>2152</v>
      </c>
      <c r="E6" s="617" t="s">
        <v>481</v>
      </c>
      <c r="F6" s="618" t="s">
        <v>2153</v>
      </c>
      <c r="G6" s="617"/>
      <c r="H6" s="617" t="s">
        <v>486</v>
      </c>
      <c r="I6" s="617" t="s">
        <v>487</v>
      </c>
      <c r="J6" s="617" t="s">
        <v>488</v>
      </c>
      <c r="K6" s="617" t="s">
        <v>489</v>
      </c>
      <c r="L6" s="619">
        <v>68.779999999999987</v>
      </c>
      <c r="M6" s="619">
        <v>2</v>
      </c>
      <c r="N6" s="620">
        <v>137.55999999999997</v>
      </c>
    </row>
    <row r="7" spans="1:14" ht="14.4" customHeight="1" x14ac:dyDescent="0.3">
      <c r="A7" s="615" t="s">
        <v>471</v>
      </c>
      <c r="B7" s="616" t="s">
        <v>2151</v>
      </c>
      <c r="C7" s="617" t="s">
        <v>476</v>
      </c>
      <c r="D7" s="618" t="s">
        <v>2152</v>
      </c>
      <c r="E7" s="617" t="s">
        <v>481</v>
      </c>
      <c r="F7" s="618" t="s">
        <v>2153</v>
      </c>
      <c r="G7" s="617"/>
      <c r="H7" s="617" t="s">
        <v>490</v>
      </c>
      <c r="I7" s="617" t="s">
        <v>491</v>
      </c>
      <c r="J7" s="617" t="s">
        <v>492</v>
      </c>
      <c r="K7" s="617" t="s">
        <v>493</v>
      </c>
      <c r="L7" s="619">
        <v>171.06775000000002</v>
      </c>
      <c r="M7" s="619">
        <v>80</v>
      </c>
      <c r="N7" s="620">
        <v>13685.420000000002</v>
      </c>
    </row>
    <row r="8" spans="1:14" ht="14.4" customHeight="1" x14ac:dyDescent="0.3">
      <c r="A8" s="615" t="s">
        <v>471</v>
      </c>
      <c r="B8" s="616" t="s">
        <v>2151</v>
      </c>
      <c r="C8" s="617" t="s">
        <v>476</v>
      </c>
      <c r="D8" s="618" t="s">
        <v>2152</v>
      </c>
      <c r="E8" s="617" t="s">
        <v>481</v>
      </c>
      <c r="F8" s="618" t="s">
        <v>2153</v>
      </c>
      <c r="G8" s="617"/>
      <c r="H8" s="617" t="s">
        <v>494</v>
      </c>
      <c r="I8" s="617" t="s">
        <v>495</v>
      </c>
      <c r="J8" s="617" t="s">
        <v>496</v>
      </c>
      <c r="K8" s="617" t="s">
        <v>489</v>
      </c>
      <c r="L8" s="619">
        <v>68.78</v>
      </c>
      <c r="M8" s="619">
        <v>3</v>
      </c>
      <c r="N8" s="620">
        <v>206.34</v>
      </c>
    </row>
    <row r="9" spans="1:14" ht="14.4" customHeight="1" x14ac:dyDescent="0.3">
      <c r="A9" s="615" t="s">
        <v>471</v>
      </c>
      <c r="B9" s="616" t="s">
        <v>2151</v>
      </c>
      <c r="C9" s="617" t="s">
        <v>476</v>
      </c>
      <c r="D9" s="618" t="s">
        <v>2152</v>
      </c>
      <c r="E9" s="617" t="s">
        <v>481</v>
      </c>
      <c r="F9" s="618" t="s">
        <v>2153</v>
      </c>
      <c r="G9" s="617"/>
      <c r="H9" s="617" t="s">
        <v>497</v>
      </c>
      <c r="I9" s="617" t="s">
        <v>498</v>
      </c>
      <c r="J9" s="617" t="s">
        <v>499</v>
      </c>
      <c r="K9" s="617" t="s">
        <v>500</v>
      </c>
      <c r="L9" s="619">
        <v>107.27995296574204</v>
      </c>
      <c r="M9" s="619">
        <v>1</v>
      </c>
      <c r="N9" s="620">
        <v>107.27995296574204</v>
      </c>
    </row>
    <row r="10" spans="1:14" ht="14.4" customHeight="1" x14ac:dyDescent="0.3">
      <c r="A10" s="615" t="s">
        <v>471</v>
      </c>
      <c r="B10" s="616" t="s">
        <v>2151</v>
      </c>
      <c r="C10" s="617" t="s">
        <v>476</v>
      </c>
      <c r="D10" s="618" t="s">
        <v>2152</v>
      </c>
      <c r="E10" s="617" t="s">
        <v>481</v>
      </c>
      <c r="F10" s="618" t="s">
        <v>2153</v>
      </c>
      <c r="G10" s="617"/>
      <c r="H10" s="617" t="s">
        <v>501</v>
      </c>
      <c r="I10" s="617" t="s">
        <v>501</v>
      </c>
      <c r="J10" s="617" t="s">
        <v>502</v>
      </c>
      <c r="K10" s="617" t="s">
        <v>503</v>
      </c>
      <c r="L10" s="619">
        <v>29.84</v>
      </c>
      <c r="M10" s="619">
        <v>1</v>
      </c>
      <c r="N10" s="620">
        <v>29.84</v>
      </c>
    </row>
    <row r="11" spans="1:14" ht="14.4" customHeight="1" x14ac:dyDescent="0.3">
      <c r="A11" s="615" t="s">
        <v>471</v>
      </c>
      <c r="B11" s="616" t="s">
        <v>2151</v>
      </c>
      <c r="C11" s="617" t="s">
        <v>476</v>
      </c>
      <c r="D11" s="618" t="s">
        <v>2152</v>
      </c>
      <c r="E11" s="617" t="s">
        <v>481</v>
      </c>
      <c r="F11" s="618" t="s">
        <v>2153</v>
      </c>
      <c r="G11" s="617"/>
      <c r="H11" s="617" t="s">
        <v>504</v>
      </c>
      <c r="I11" s="617" t="s">
        <v>504</v>
      </c>
      <c r="J11" s="617" t="s">
        <v>505</v>
      </c>
      <c r="K11" s="617" t="s">
        <v>506</v>
      </c>
      <c r="L11" s="619">
        <v>496.19808695652176</v>
      </c>
      <c r="M11" s="619">
        <v>23</v>
      </c>
      <c r="N11" s="620">
        <v>11412.556</v>
      </c>
    </row>
    <row r="12" spans="1:14" ht="14.4" customHeight="1" x14ac:dyDescent="0.3">
      <c r="A12" s="615" t="s">
        <v>471</v>
      </c>
      <c r="B12" s="616" t="s">
        <v>2151</v>
      </c>
      <c r="C12" s="617" t="s">
        <v>476</v>
      </c>
      <c r="D12" s="618" t="s">
        <v>2152</v>
      </c>
      <c r="E12" s="617" t="s">
        <v>481</v>
      </c>
      <c r="F12" s="618" t="s">
        <v>2153</v>
      </c>
      <c r="G12" s="617"/>
      <c r="H12" s="617" t="s">
        <v>507</v>
      </c>
      <c r="I12" s="617" t="s">
        <v>507</v>
      </c>
      <c r="J12" s="617" t="s">
        <v>508</v>
      </c>
      <c r="K12" s="617" t="s">
        <v>509</v>
      </c>
      <c r="L12" s="619">
        <v>75.040000000000035</v>
      </c>
      <c r="M12" s="619">
        <v>2</v>
      </c>
      <c r="N12" s="620">
        <v>150.08000000000007</v>
      </c>
    </row>
    <row r="13" spans="1:14" ht="14.4" customHeight="1" x14ac:dyDescent="0.3">
      <c r="A13" s="615" t="s">
        <v>471</v>
      </c>
      <c r="B13" s="616" t="s">
        <v>2151</v>
      </c>
      <c r="C13" s="617" t="s">
        <v>476</v>
      </c>
      <c r="D13" s="618" t="s">
        <v>2152</v>
      </c>
      <c r="E13" s="617" t="s">
        <v>481</v>
      </c>
      <c r="F13" s="618" t="s">
        <v>2153</v>
      </c>
      <c r="G13" s="617"/>
      <c r="H13" s="617" t="s">
        <v>510</v>
      </c>
      <c r="I13" s="617" t="s">
        <v>510</v>
      </c>
      <c r="J13" s="617" t="s">
        <v>511</v>
      </c>
      <c r="K13" s="617" t="s">
        <v>512</v>
      </c>
      <c r="L13" s="619">
        <v>103.32000000000002</v>
      </c>
      <c r="M13" s="619">
        <v>1</v>
      </c>
      <c r="N13" s="620">
        <v>103.32000000000002</v>
      </c>
    </row>
    <row r="14" spans="1:14" ht="14.4" customHeight="1" x14ac:dyDescent="0.3">
      <c r="A14" s="615" t="s">
        <v>471</v>
      </c>
      <c r="B14" s="616" t="s">
        <v>2151</v>
      </c>
      <c r="C14" s="617" t="s">
        <v>476</v>
      </c>
      <c r="D14" s="618" t="s">
        <v>2152</v>
      </c>
      <c r="E14" s="617" t="s">
        <v>481</v>
      </c>
      <c r="F14" s="618" t="s">
        <v>2153</v>
      </c>
      <c r="G14" s="617"/>
      <c r="H14" s="617" t="s">
        <v>513</v>
      </c>
      <c r="I14" s="617" t="s">
        <v>514</v>
      </c>
      <c r="J14" s="617" t="s">
        <v>515</v>
      </c>
      <c r="K14" s="617" t="s">
        <v>516</v>
      </c>
      <c r="L14" s="619">
        <v>59.7</v>
      </c>
      <c r="M14" s="619">
        <v>1</v>
      </c>
      <c r="N14" s="620">
        <v>59.7</v>
      </c>
    </row>
    <row r="15" spans="1:14" ht="14.4" customHeight="1" x14ac:dyDescent="0.3">
      <c r="A15" s="615" t="s">
        <v>471</v>
      </c>
      <c r="B15" s="616" t="s">
        <v>2151</v>
      </c>
      <c r="C15" s="617" t="s">
        <v>476</v>
      </c>
      <c r="D15" s="618" t="s">
        <v>2152</v>
      </c>
      <c r="E15" s="617" t="s">
        <v>481</v>
      </c>
      <c r="F15" s="618" t="s">
        <v>2153</v>
      </c>
      <c r="G15" s="617" t="s">
        <v>517</v>
      </c>
      <c r="H15" s="617" t="s">
        <v>518</v>
      </c>
      <c r="I15" s="617" t="s">
        <v>518</v>
      </c>
      <c r="J15" s="617" t="s">
        <v>519</v>
      </c>
      <c r="K15" s="617" t="s">
        <v>520</v>
      </c>
      <c r="L15" s="619">
        <v>171.59954056241335</v>
      </c>
      <c r="M15" s="619">
        <v>80</v>
      </c>
      <c r="N15" s="620">
        <v>13727.963244993069</v>
      </c>
    </row>
    <row r="16" spans="1:14" ht="14.4" customHeight="1" x14ac:dyDescent="0.3">
      <c r="A16" s="615" t="s">
        <v>471</v>
      </c>
      <c r="B16" s="616" t="s">
        <v>2151</v>
      </c>
      <c r="C16" s="617" t="s">
        <v>476</v>
      </c>
      <c r="D16" s="618" t="s">
        <v>2152</v>
      </c>
      <c r="E16" s="617" t="s">
        <v>481</v>
      </c>
      <c r="F16" s="618" t="s">
        <v>2153</v>
      </c>
      <c r="G16" s="617" t="s">
        <v>517</v>
      </c>
      <c r="H16" s="617" t="s">
        <v>521</v>
      </c>
      <c r="I16" s="617" t="s">
        <v>521</v>
      </c>
      <c r="J16" s="617" t="s">
        <v>522</v>
      </c>
      <c r="K16" s="617" t="s">
        <v>523</v>
      </c>
      <c r="L16" s="619">
        <v>173.69000171179059</v>
      </c>
      <c r="M16" s="619">
        <v>148</v>
      </c>
      <c r="N16" s="620">
        <v>25706.120253345005</v>
      </c>
    </row>
    <row r="17" spans="1:14" ht="14.4" customHeight="1" x14ac:dyDescent="0.3">
      <c r="A17" s="615" t="s">
        <v>471</v>
      </c>
      <c r="B17" s="616" t="s">
        <v>2151</v>
      </c>
      <c r="C17" s="617" t="s">
        <v>476</v>
      </c>
      <c r="D17" s="618" t="s">
        <v>2152</v>
      </c>
      <c r="E17" s="617" t="s">
        <v>481</v>
      </c>
      <c r="F17" s="618" t="s">
        <v>2153</v>
      </c>
      <c r="G17" s="617" t="s">
        <v>517</v>
      </c>
      <c r="H17" s="617" t="s">
        <v>524</v>
      </c>
      <c r="I17" s="617" t="s">
        <v>524</v>
      </c>
      <c r="J17" s="617" t="s">
        <v>525</v>
      </c>
      <c r="K17" s="617" t="s">
        <v>523</v>
      </c>
      <c r="L17" s="619">
        <v>142.99999742619653</v>
      </c>
      <c r="M17" s="619">
        <v>21</v>
      </c>
      <c r="N17" s="620">
        <v>3002.9999459501269</v>
      </c>
    </row>
    <row r="18" spans="1:14" ht="14.4" customHeight="1" x14ac:dyDescent="0.3">
      <c r="A18" s="615" t="s">
        <v>471</v>
      </c>
      <c r="B18" s="616" t="s">
        <v>2151</v>
      </c>
      <c r="C18" s="617" t="s">
        <v>476</v>
      </c>
      <c r="D18" s="618" t="s">
        <v>2152</v>
      </c>
      <c r="E18" s="617" t="s">
        <v>481</v>
      </c>
      <c r="F18" s="618" t="s">
        <v>2153</v>
      </c>
      <c r="G18" s="617" t="s">
        <v>517</v>
      </c>
      <c r="H18" s="617" t="s">
        <v>526</v>
      </c>
      <c r="I18" s="617" t="s">
        <v>526</v>
      </c>
      <c r="J18" s="617" t="s">
        <v>525</v>
      </c>
      <c r="K18" s="617" t="s">
        <v>527</v>
      </c>
      <c r="L18" s="619">
        <v>126.5</v>
      </c>
      <c r="M18" s="619">
        <v>34</v>
      </c>
      <c r="N18" s="620">
        <v>4301</v>
      </c>
    </row>
    <row r="19" spans="1:14" ht="14.4" customHeight="1" x14ac:dyDescent="0.3">
      <c r="A19" s="615" t="s">
        <v>471</v>
      </c>
      <c r="B19" s="616" t="s">
        <v>2151</v>
      </c>
      <c r="C19" s="617" t="s">
        <v>476</v>
      </c>
      <c r="D19" s="618" t="s">
        <v>2152</v>
      </c>
      <c r="E19" s="617" t="s">
        <v>481</v>
      </c>
      <c r="F19" s="618" t="s">
        <v>2153</v>
      </c>
      <c r="G19" s="617" t="s">
        <v>517</v>
      </c>
      <c r="H19" s="617" t="s">
        <v>528</v>
      </c>
      <c r="I19" s="617" t="s">
        <v>528</v>
      </c>
      <c r="J19" s="617" t="s">
        <v>519</v>
      </c>
      <c r="K19" s="617" t="s">
        <v>529</v>
      </c>
      <c r="L19" s="619">
        <v>92.950000000000017</v>
      </c>
      <c r="M19" s="619">
        <v>178</v>
      </c>
      <c r="N19" s="620">
        <v>16545.100000000002</v>
      </c>
    </row>
    <row r="20" spans="1:14" ht="14.4" customHeight="1" x14ac:dyDescent="0.3">
      <c r="A20" s="615" t="s">
        <v>471</v>
      </c>
      <c r="B20" s="616" t="s">
        <v>2151</v>
      </c>
      <c r="C20" s="617" t="s">
        <v>476</v>
      </c>
      <c r="D20" s="618" t="s">
        <v>2152</v>
      </c>
      <c r="E20" s="617" t="s">
        <v>481</v>
      </c>
      <c r="F20" s="618" t="s">
        <v>2153</v>
      </c>
      <c r="G20" s="617" t="s">
        <v>517</v>
      </c>
      <c r="H20" s="617" t="s">
        <v>530</v>
      </c>
      <c r="I20" s="617" t="s">
        <v>530</v>
      </c>
      <c r="J20" s="617" t="s">
        <v>519</v>
      </c>
      <c r="K20" s="617" t="s">
        <v>531</v>
      </c>
      <c r="L20" s="619">
        <v>93.499999749503019</v>
      </c>
      <c r="M20" s="619">
        <v>131</v>
      </c>
      <c r="N20" s="620">
        <v>12248.499967184895</v>
      </c>
    </row>
    <row r="21" spans="1:14" ht="14.4" customHeight="1" x14ac:dyDescent="0.3">
      <c r="A21" s="615" t="s">
        <v>471</v>
      </c>
      <c r="B21" s="616" t="s">
        <v>2151</v>
      </c>
      <c r="C21" s="617" t="s">
        <v>476</v>
      </c>
      <c r="D21" s="618" t="s">
        <v>2152</v>
      </c>
      <c r="E21" s="617" t="s">
        <v>481</v>
      </c>
      <c r="F21" s="618" t="s">
        <v>2153</v>
      </c>
      <c r="G21" s="617" t="s">
        <v>517</v>
      </c>
      <c r="H21" s="617" t="s">
        <v>532</v>
      </c>
      <c r="I21" s="617" t="s">
        <v>533</v>
      </c>
      <c r="J21" s="617" t="s">
        <v>534</v>
      </c>
      <c r="K21" s="617" t="s">
        <v>535</v>
      </c>
      <c r="L21" s="619">
        <v>38.319999999999993</v>
      </c>
      <c r="M21" s="619">
        <v>1</v>
      </c>
      <c r="N21" s="620">
        <v>38.319999999999993</v>
      </c>
    </row>
    <row r="22" spans="1:14" ht="14.4" customHeight="1" x14ac:dyDescent="0.3">
      <c r="A22" s="615" t="s">
        <v>471</v>
      </c>
      <c r="B22" s="616" t="s">
        <v>2151</v>
      </c>
      <c r="C22" s="617" t="s">
        <v>476</v>
      </c>
      <c r="D22" s="618" t="s">
        <v>2152</v>
      </c>
      <c r="E22" s="617" t="s">
        <v>481</v>
      </c>
      <c r="F22" s="618" t="s">
        <v>2153</v>
      </c>
      <c r="G22" s="617" t="s">
        <v>517</v>
      </c>
      <c r="H22" s="617" t="s">
        <v>536</v>
      </c>
      <c r="I22" s="617" t="s">
        <v>537</v>
      </c>
      <c r="J22" s="617" t="s">
        <v>538</v>
      </c>
      <c r="K22" s="617" t="s">
        <v>539</v>
      </c>
      <c r="L22" s="619">
        <v>87.030046207260924</v>
      </c>
      <c r="M22" s="619">
        <v>16</v>
      </c>
      <c r="N22" s="620">
        <v>1392.4807393161748</v>
      </c>
    </row>
    <row r="23" spans="1:14" ht="14.4" customHeight="1" x14ac:dyDescent="0.3">
      <c r="A23" s="615" t="s">
        <v>471</v>
      </c>
      <c r="B23" s="616" t="s">
        <v>2151</v>
      </c>
      <c r="C23" s="617" t="s">
        <v>476</v>
      </c>
      <c r="D23" s="618" t="s">
        <v>2152</v>
      </c>
      <c r="E23" s="617" t="s">
        <v>481</v>
      </c>
      <c r="F23" s="618" t="s">
        <v>2153</v>
      </c>
      <c r="G23" s="617" t="s">
        <v>517</v>
      </c>
      <c r="H23" s="617" t="s">
        <v>540</v>
      </c>
      <c r="I23" s="617" t="s">
        <v>541</v>
      </c>
      <c r="J23" s="617" t="s">
        <v>542</v>
      </c>
      <c r="K23" s="617" t="s">
        <v>543</v>
      </c>
      <c r="L23" s="619">
        <v>96.820044284089946</v>
      </c>
      <c r="M23" s="619">
        <v>310</v>
      </c>
      <c r="N23" s="620">
        <v>30014.213728067883</v>
      </c>
    </row>
    <row r="24" spans="1:14" ht="14.4" customHeight="1" x14ac:dyDescent="0.3">
      <c r="A24" s="615" t="s">
        <v>471</v>
      </c>
      <c r="B24" s="616" t="s">
        <v>2151</v>
      </c>
      <c r="C24" s="617" t="s">
        <v>476</v>
      </c>
      <c r="D24" s="618" t="s">
        <v>2152</v>
      </c>
      <c r="E24" s="617" t="s">
        <v>481</v>
      </c>
      <c r="F24" s="618" t="s">
        <v>2153</v>
      </c>
      <c r="G24" s="617" t="s">
        <v>517</v>
      </c>
      <c r="H24" s="617" t="s">
        <v>544</v>
      </c>
      <c r="I24" s="617" t="s">
        <v>545</v>
      </c>
      <c r="J24" s="617" t="s">
        <v>542</v>
      </c>
      <c r="K24" s="617" t="s">
        <v>546</v>
      </c>
      <c r="L24" s="619">
        <v>100.76</v>
      </c>
      <c r="M24" s="619">
        <v>27</v>
      </c>
      <c r="N24" s="620">
        <v>2720.52</v>
      </c>
    </row>
    <row r="25" spans="1:14" ht="14.4" customHeight="1" x14ac:dyDescent="0.3">
      <c r="A25" s="615" t="s">
        <v>471</v>
      </c>
      <c r="B25" s="616" t="s">
        <v>2151</v>
      </c>
      <c r="C25" s="617" t="s">
        <v>476</v>
      </c>
      <c r="D25" s="618" t="s">
        <v>2152</v>
      </c>
      <c r="E25" s="617" t="s">
        <v>481</v>
      </c>
      <c r="F25" s="618" t="s">
        <v>2153</v>
      </c>
      <c r="G25" s="617" t="s">
        <v>517</v>
      </c>
      <c r="H25" s="617" t="s">
        <v>547</v>
      </c>
      <c r="I25" s="617" t="s">
        <v>548</v>
      </c>
      <c r="J25" s="617" t="s">
        <v>549</v>
      </c>
      <c r="K25" s="617" t="s">
        <v>550</v>
      </c>
      <c r="L25" s="619">
        <v>167.6095605889887</v>
      </c>
      <c r="M25" s="619">
        <v>12</v>
      </c>
      <c r="N25" s="620">
        <v>2011.3147270678644</v>
      </c>
    </row>
    <row r="26" spans="1:14" ht="14.4" customHeight="1" x14ac:dyDescent="0.3">
      <c r="A26" s="615" t="s">
        <v>471</v>
      </c>
      <c r="B26" s="616" t="s">
        <v>2151</v>
      </c>
      <c r="C26" s="617" t="s">
        <v>476</v>
      </c>
      <c r="D26" s="618" t="s">
        <v>2152</v>
      </c>
      <c r="E26" s="617" t="s">
        <v>481</v>
      </c>
      <c r="F26" s="618" t="s">
        <v>2153</v>
      </c>
      <c r="G26" s="617" t="s">
        <v>517</v>
      </c>
      <c r="H26" s="617" t="s">
        <v>551</v>
      </c>
      <c r="I26" s="617" t="s">
        <v>552</v>
      </c>
      <c r="J26" s="617" t="s">
        <v>553</v>
      </c>
      <c r="K26" s="617" t="s">
        <v>554</v>
      </c>
      <c r="L26" s="619">
        <v>64.539955725038027</v>
      </c>
      <c r="M26" s="619">
        <v>245</v>
      </c>
      <c r="N26" s="620">
        <v>15812.289152634317</v>
      </c>
    </row>
    <row r="27" spans="1:14" ht="14.4" customHeight="1" x14ac:dyDescent="0.3">
      <c r="A27" s="615" t="s">
        <v>471</v>
      </c>
      <c r="B27" s="616" t="s">
        <v>2151</v>
      </c>
      <c r="C27" s="617" t="s">
        <v>476</v>
      </c>
      <c r="D27" s="618" t="s">
        <v>2152</v>
      </c>
      <c r="E27" s="617" t="s">
        <v>481</v>
      </c>
      <c r="F27" s="618" t="s">
        <v>2153</v>
      </c>
      <c r="G27" s="617" t="s">
        <v>517</v>
      </c>
      <c r="H27" s="617" t="s">
        <v>555</v>
      </c>
      <c r="I27" s="617" t="s">
        <v>556</v>
      </c>
      <c r="J27" s="617" t="s">
        <v>557</v>
      </c>
      <c r="K27" s="617" t="s">
        <v>558</v>
      </c>
      <c r="L27" s="619">
        <v>43.62</v>
      </c>
      <c r="M27" s="619">
        <v>3</v>
      </c>
      <c r="N27" s="620">
        <v>130.85999999999999</v>
      </c>
    </row>
    <row r="28" spans="1:14" ht="14.4" customHeight="1" x14ac:dyDescent="0.3">
      <c r="A28" s="615" t="s">
        <v>471</v>
      </c>
      <c r="B28" s="616" t="s">
        <v>2151</v>
      </c>
      <c r="C28" s="617" t="s">
        <v>476</v>
      </c>
      <c r="D28" s="618" t="s">
        <v>2152</v>
      </c>
      <c r="E28" s="617" t="s">
        <v>481</v>
      </c>
      <c r="F28" s="618" t="s">
        <v>2153</v>
      </c>
      <c r="G28" s="617" t="s">
        <v>517</v>
      </c>
      <c r="H28" s="617" t="s">
        <v>559</v>
      </c>
      <c r="I28" s="617" t="s">
        <v>560</v>
      </c>
      <c r="J28" s="617" t="s">
        <v>561</v>
      </c>
      <c r="K28" s="617" t="s">
        <v>562</v>
      </c>
      <c r="L28" s="619">
        <v>77.001242008121395</v>
      </c>
      <c r="M28" s="619">
        <v>60</v>
      </c>
      <c r="N28" s="620">
        <v>4620.0745204872837</v>
      </c>
    </row>
    <row r="29" spans="1:14" ht="14.4" customHeight="1" x14ac:dyDescent="0.3">
      <c r="A29" s="615" t="s">
        <v>471</v>
      </c>
      <c r="B29" s="616" t="s">
        <v>2151</v>
      </c>
      <c r="C29" s="617" t="s">
        <v>476</v>
      </c>
      <c r="D29" s="618" t="s">
        <v>2152</v>
      </c>
      <c r="E29" s="617" t="s">
        <v>481</v>
      </c>
      <c r="F29" s="618" t="s">
        <v>2153</v>
      </c>
      <c r="G29" s="617" t="s">
        <v>517</v>
      </c>
      <c r="H29" s="617" t="s">
        <v>563</v>
      </c>
      <c r="I29" s="617" t="s">
        <v>564</v>
      </c>
      <c r="J29" s="617" t="s">
        <v>565</v>
      </c>
      <c r="K29" s="617" t="s">
        <v>566</v>
      </c>
      <c r="L29" s="619">
        <v>86.117333333333335</v>
      </c>
      <c r="M29" s="619">
        <v>15</v>
      </c>
      <c r="N29" s="620">
        <v>1291.76</v>
      </c>
    </row>
    <row r="30" spans="1:14" ht="14.4" customHeight="1" x14ac:dyDescent="0.3">
      <c r="A30" s="615" t="s">
        <v>471</v>
      </c>
      <c r="B30" s="616" t="s">
        <v>2151</v>
      </c>
      <c r="C30" s="617" t="s">
        <v>476</v>
      </c>
      <c r="D30" s="618" t="s">
        <v>2152</v>
      </c>
      <c r="E30" s="617" t="s">
        <v>481</v>
      </c>
      <c r="F30" s="618" t="s">
        <v>2153</v>
      </c>
      <c r="G30" s="617" t="s">
        <v>517</v>
      </c>
      <c r="H30" s="617" t="s">
        <v>567</v>
      </c>
      <c r="I30" s="617" t="s">
        <v>568</v>
      </c>
      <c r="J30" s="617" t="s">
        <v>569</v>
      </c>
      <c r="K30" s="617" t="s">
        <v>570</v>
      </c>
      <c r="L30" s="619">
        <v>64.74106665482833</v>
      </c>
      <c r="M30" s="619">
        <v>35</v>
      </c>
      <c r="N30" s="620">
        <v>2265.9373329189916</v>
      </c>
    </row>
    <row r="31" spans="1:14" ht="14.4" customHeight="1" x14ac:dyDescent="0.3">
      <c r="A31" s="615" t="s">
        <v>471</v>
      </c>
      <c r="B31" s="616" t="s">
        <v>2151</v>
      </c>
      <c r="C31" s="617" t="s">
        <v>476</v>
      </c>
      <c r="D31" s="618" t="s">
        <v>2152</v>
      </c>
      <c r="E31" s="617" t="s">
        <v>481</v>
      </c>
      <c r="F31" s="618" t="s">
        <v>2153</v>
      </c>
      <c r="G31" s="617" t="s">
        <v>517</v>
      </c>
      <c r="H31" s="617" t="s">
        <v>571</v>
      </c>
      <c r="I31" s="617" t="s">
        <v>572</v>
      </c>
      <c r="J31" s="617" t="s">
        <v>573</v>
      </c>
      <c r="K31" s="617" t="s">
        <v>566</v>
      </c>
      <c r="L31" s="619">
        <v>30.20000000000001</v>
      </c>
      <c r="M31" s="619">
        <v>10</v>
      </c>
      <c r="N31" s="620">
        <v>302.00000000000011</v>
      </c>
    </row>
    <row r="32" spans="1:14" ht="14.4" customHeight="1" x14ac:dyDescent="0.3">
      <c r="A32" s="615" t="s">
        <v>471</v>
      </c>
      <c r="B32" s="616" t="s">
        <v>2151</v>
      </c>
      <c r="C32" s="617" t="s">
        <v>476</v>
      </c>
      <c r="D32" s="618" t="s">
        <v>2152</v>
      </c>
      <c r="E32" s="617" t="s">
        <v>481</v>
      </c>
      <c r="F32" s="618" t="s">
        <v>2153</v>
      </c>
      <c r="G32" s="617" t="s">
        <v>517</v>
      </c>
      <c r="H32" s="617" t="s">
        <v>574</v>
      </c>
      <c r="I32" s="617" t="s">
        <v>575</v>
      </c>
      <c r="J32" s="617" t="s">
        <v>576</v>
      </c>
      <c r="K32" s="617" t="s">
        <v>577</v>
      </c>
      <c r="L32" s="619">
        <v>79.79058380139152</v>
      </c>
      <c r="M32" s="619">
        <v>30</v>
      </c>
      <c r="N32" s="620">
        <v>2393.7175140417457</v>
      </c>
    </row>
    <row r="33" spans="1:14" ht="14.4" customHeight="1" x14ac:dyDescent="0.3">
      <c r="A33" s="615" t="s">
        <v>471</v>
      </c>
      <c r="B33" s="616" t="s">
        <v>2151</v>
      </c>
      <c r="C33" s="617" t="s">
        <v>476</v>
      </c>
      <c r="D33" s="618" t="s">
        <v>2152</v>
      </c>
      <c r="E33" s="617" t="s">
        <v>481</v>
      </c>
      <c r="F33" s="618" t="s">
        <v>2153</v>
      </c>
      <c r="G33" s="617" t="s">
        <v>517</v>
      </c>
      <c r="H33" s="617" t="s">
        <v>578</v>
      </c>
      <c r="I33" s="617" t="s">
        <v>579</v>
      </c>
      <c r="J33" s="617" t="s">
        <v>580</v>
      </c>
      <c r="K33" s="617" t="s">
        <v>581</v>
      </c>
      <c r="L33" s="619">
        <v>27.750011298565077</v>
      </c>
      <c r="M33" s="619">
        <v>590</v>
      </c>
      <c r="N33" s="620">
        <v>16372.506666153397</v>
      </c>
    </row>
    <row r="34" spans="1:14" ht="14.4" customHeight="1" x14ac:dyDescent="0.3">
      <c r="A34" s="615" t="s">
        <v>471</v>
      </c>
      <c r="B34" s="616" t="s">
        <v>2151</v>
      </c>
      <c r="C34" s="617" t="s">
        <v>476</v>
      </c>
      <c r="D34" s="618" t="s">
        <v>2152</v>
      </c>
      <c r="E34" s="617" t="s">
        <v>481</v>
      </c>
      <c r="F34" s="618" t="s">
        <v>2153</v>
      </c>
      <c r="G34" s="617" t="s">
        <v>517</v>
      </c>
      <c r="H34" s="617" t="s">
        <v>582</v>
      </c>
      <c r="I34" s="617" t="s">
        <v>583</v>
      </c>
      <c r="J34" s="617" t="s">
        <v>584</v>
      </c>
      <c r="K34" s="617" t="s">
        <v>585</v>
      </c>
      <c r="L34" s="619">
        <v>93.620000000000033</v>
      </c>
      <c r="M34" s="619">
        <v>1</v>
      </c>
      <c r="N34" s="620">
        <v>93.620000000000033</v>
      </c>
    </row>
    <row r="35" spans="1:14" ht="14.4" customHeight="1" x14ac:dyDescent="0.3">
      <c r="A35" s="615" t="s">
        <v>471</v>
      </c>
      <c r="B35" s="616" t="s">
        <v>2151</v>
      </c>
      <c r="C35" s="617" t="s">
        <v>476</v>
      </c>
      <c r="D35" s="618" t="s">
        <v>2152</v>
      </c>
      <c r="E35" s="617" t="s">
        <v>481</v>
      </c>
      <c r="F35" s="618" t="s">
        <v>2153</v>
      </c>
      <c r="G35" s="617" t="s">
        <v>517</v>
      </c>
      <c r="H35" s="617" t="s">
        <v>586</v>
      </c>
      <c r="I35" s="617" t="s">
        <v>587</v>
      </c>
      <c r="J35" s="617" t="s">
        <v>588</v>
      </c>
      <c r="K35" s="617" t="s">
        <v>589</v>
      </c>
      <c r="L35" s="619">
        <v>77.609990720455372</v>
      </c>
      <c r="M35" s="619">
        <v>6</v>
      </c>
      <c r="N35" s="620">
        <v>465.65994432273226</v>
      </c>
    </row>
    <row r="36" spans="1:14" ht="14.4" customHeight="1" x14ac:dyDescent="0.3">
      <c r="A36" s="615" t="s">
        <v>471</v>
      </c>
      <c r="B36" s="616" t="s">
        <v>2151</v>
      </c>
      <c r="C36" s="617" t="s">
        <v>476</v>
      </c>
      <c r="D36" s="618" t="s">
        <v>2152</v>
      </c>
      <c r="E36" s="617" t="s">
        <v>481</v>
      </c>
      <c r="F36" s="618" t="s">
        <v>2153</v>
      </c>
      <c r="G36" s="617" t="s">
        <v>517</v>
      </c>
      <c r="H36" s="617" t="s">
        <v>590</v>
      </c>
      <c r="I36" s="617" t="s">
        <v>591</v>
      </c>
      <c r="J36" s="617" t="s">
        <v>592</v>
      </c>
      <c r="K36" s="617" t="s">
        <v>593</v>
      </c>
      <c r="L36" s="619">
        <v>59.390000000000029</v>
      </c>
      <c r="M36" s="619">
        <v>1</v>
      </c>
      <c r="N36" s="620">
        <v>59.390000000000029</v>
      </c>
    </row>
    <row r="37" spans="1:14" ht="14.4" customHeight="1" x14ac:dyDescent="0.3">
      <c r="A37" s="615" t="s">
        <v>471</v>
      </c>
      <c r="B37" s="616" t="s">
        <v>2151</v>
      </c>
      <c r="C37" s="617" t="s">
        <v>476</v>
      </c>
      <c r="D37" s="618" t="s">
        <v>2152</v>
      </c>
      <c r="E37" s="617" t="s">
        <v>481</v>
      </c>
      <c r="F37" s="618" t="s">
        <v>2153</v>
      </c>
      <c r="G37" s="617" t="s">
        <v>517</v>
      </c>
      <c r="H37" s="617" t="s">
        <v>594</v>
      </c>
      <c r="I37" s="617" t="s">
        <v>595</v>
      </c>
      <c r="J37" s="617" t="s">
        <v>596</v>
      </c>
      <c r="K37" s="617" t="s">
        <v>597</v>
      </c>
      <c r="L37" s="619">
        <v>56.019677687256717</v>
      </c>
      <c r="M37" s="619">
        <v>31</v>
      </c>
      <c r="N37" s="620">
        <v>1736.6100083049582</v>
      </c>
    </row>
    <row r="38" spans="1:14" ht="14.4" customHeight="1" x14ac:dyDescent="0.3">
      <c r="A38" s="615" t="s">
        <v>471</v>
      </c>
      <c r="B38" s="616" t="s">
        <v>2151</v>
      </c>
      <c r="C38" s="617" t="s">
        <v>476</v>
      </c>
      <c r="D38" s="618" t="s">
        <v>2152</v>
      </c>
      <c r="E38" s="617" t="s">
        <v>481</v>
      </c>
      <c r="F38" s="618" t="s">
        <v>2153</v>
      </c>
      <c r="G38" s="617" t="s">
        <v>517</v>
      </c>
      <c r="H38" s="617" t="s">
        <v>598</v>
      </c>
      <c r="I38" s="617" t="s">
        <v>599</v>
      </c>
      <c r="J38" s="617" t="s">
        <v>600</v>
      </c>
      <c r="K38" s="617" t="s">
        <v>601</v>
      </c>
      <c r="L38" s="619">
        <v>164.48</v>
      </c>
      <c r="M38" s="619">
        <v>2</v>
      </c>
      <c r="N38" s="620">
        <v>328.96</v>
      </c>
    </row>
    <row r="39" spans="1:14" ht="14.4" customHeight="1" x14ac:dyDescent="0.3">
      <c r="A39" s="615" t="s">
        <v>471</v>
      </c>
      <c r="B39" s="616" t="s">
        <v>2151</v>
      </c>
      <c r="C39" s="617" t="s">
        <v>476</v>
      </c>
      <c r="D39" s="618" t="s">
        <v>2152</v>
      </c>
      <c r="E39" s="617" t="s">
        <v>481</v>
      </c>
      <c r="F39" s="618" t="s">
        <v>2153</v>
      </c>
      <c r="G39" s="617" t="s">
        <v>517</v>
      </c>
      <c r="H39" s="617" t="s">
        <v>602</v>
      </c>
      <c r="I39" s="617" t="s">
        <v>603</v>
      </c>
      <c r="J39" s="617" t="s">
        <v>604</v>
      </c>
      <c r="K39" s="617" t="s">
        <v>605</v>
      </c>
      <c r="L39" s="619">
        <v>35.570001740967363</v>
      </c>
      <c r="M39" s="619">
        <v>3</v>
      </c>
      <c r="N39" s="620">
        <v>106.7100052229021</v>
      </c>
    </row>
    <row r="40" spans="1:14" ht="14.4" customHeight="1" x14ac:dyDescent="0.3">
      <c r="A40" s="615" t="s">
        <v>471</v>
      </c>
      <c r="B40" s="616" t="s">
        <v>2151</v>
      </c>
      <c r="C40" s="617" t="s">
        <v>476</v>
      </c>
      <c r="D40" s="618" t="s">
        <v>2152</v>
      </c>
      <c r="E40" s="617" t="s">
        <v>481</v>
      </c>
      <c r="F40" s="618" t="s">
        <v>2153</v>
      </c>
      <c r="G40" s="617" t="s">
        <v>517</v>
      </c>
      <c r="H40" s="617" t="s">
        <v>606</v>
      </c>
      <c r="I40" s="617" t="s">
        <v>607</v>
      </c>
      <c r="J40" s="617" t="s">
        <v>608</v>
      </c>
      <c r="K40" s="617" t="s">
        <v>566</v>
      </c>
      <c r="L40" s="619">
        <v>66.150004262174946</v>
      </c>
      <c r="M40" s="619">
        <v>34</v>
      </c>
      <c r="N40" s="620">
        <v>2249.100144913948</v>
      </c>
    </row>
    <row r="41" spans="1:14" ht="14.4" customHeight="1" x14ac:dyDescent="0.3">
      <c r="A41" s="615" t="s">
        <v>471</v>
      </c>
      <c r="B41" s="616" t="s">
        <v>2151</v>
      </c>
      <c r="C41" s="617" t="s">
        <v>476</v>
      </c>
      <c r="D41" s="618" t="s">
        <v>2152</v>
      </c>
      <c r="E41" s="617" t="s">
        <v>481</v>
      </c>
      <c r="F41" s="618" t="s">
        <v>2153</v>
      </c>
      <c r="G41" s="617" t="s">
        <v>517</v>
      </c>
      <c r="H41" s="617" t="s">
        <v>609</v>
      </c>
      <c r="I41" s="617" t="s">
        <v>610</v>
      </c>
      <c r="J41" s="617" t="s">
        <v>611</v>
      </c>
      <c r="K41" s="617" t="s">
        <v>612</v>
      </c>
      <c r="L41" s="619">
        <v>58.319996383689912</v>
      </c>
      <c r="M41" s="619">
        <v>23</v>
      </c>
      <c r="N41" s="620">
        <v>1341.3599168248679</v>
      </c>
    </row>
    <row r="42" spans="1:14" ht="14.4" customHeight="1" x14ac:dyDescent="0.3">
      <c r="A42" s="615" t="s">
        <v>471</v>
      </c>
      <c r="B42" s="616" t="s">
        <v>2151</v>
      </c>
      <c r="C42" s="617" t="s">
        <v>476</v>
      </c>
      <c r="D42" s="618" t="s">
        <v>2152</v>
      </c>
      <c r="E42" s="617" t="s">
        <v>481</v>
      </c>
      <c r="F42" s="618" t="s">
        <v>2153</v>
      </c>
      <c r="G42" s="617" t="s">
        <v>517</v>
      </c>
      <c r="H42" s="617" t="s">
        <v>613</v>
      </c>
      <c r="I42" s="617" t="s">
        <v>614</v>
      </c>
      <c r="J42" s="617" t="s">
        <v>615</v>
      </c>
      <c r="K42" s="617" t="s">
        <v>616</v>
      </c>
      <c r="L42" s="619">
        <v>26.639999999999997</v>
      </c>
      <c r="M42" s="619">
        <v>5</v>
      </c>
      <c r="N42" s="620">
        <v>133.19999999999999</v>
      </c>
    </row>
    <row r="43" spans="1:14" ht="14.4" customHeight="1" x14ac:dyDescent="0.3">
      <c r="A43" s="615" t="s">
        <v>471</v>
      </c>
      <c r="B43" s="616" t="s">
        <v>2151</v>
      </c>
      <c r="C43" s="617" t="s">
        <v>476</v>
      </c>
      <c r="D43" s="618" t="s">
        <v>2152</v>
      </c>
      <c r="E43" s="617" t="s">
        <v>481</v>
      </c>
      <c r="F43" s="618" t="s">
        <v>2153</v>
      </c>
      <c r="G43" s="617" t="s">
        <v>517</v>
      </c>
      <c r="H43" s="617" t="s">
        <v>617</v>
      </c>
      <c r="I43" s="617" t="s">
        <v>618</v>
      </c>
      <c r="J43" s="617" t="s">
        <v>619</v>
      </c>
      <c r="K43" s="617" t="s">
        <v>620</v>
      </c>
      <c r="L43" s="619">
        <v>56.937539909920005</v>
      </c>
      <c r="M43" s="619">
        <v>222</v>
      </c>
      <c r="N43" s="620">
        <v>12640.133860002241</v>
      </c>
    </row>
    <row r="44" spans="1:14" ht="14.4" customHeight="1" x14ac:dyDescent="0.3">
      <c r="A44" s="615" t="s">
        <v>471</v>
      </c>
      <c r="B44" s="616" t="s">
        <v>2151</v>
      </c>
      <c r="C44" s="617" t="s">
        <v>476</v>
      </c>
      <c r="D44" s="618" t="s">
        <v>2152</v>
      </c>
      <c r="E44" s="617" t="s">
        <v>481</v>
      </c>
      <c r="F44" s="618" t="s">
        <v>2153</v>
      </c>
      <c r="G44" s="617" t="s">
        <v>517</v>
      </c>
      <c r="H44" s="617" t="s">
        <v>621</v>
      </c>
      <c r="I44" s="617" t="s">
        <v>622</v>
      </c>
      <c r="J44" s="617" t="s">
        <v>623</v>
      </c>
      <c r="K44" s="617" t="s">
        <v>624</v>
      </c>
      <c r="L44" s="619">
        <v>126.85</v>
      </c>
      <c r="M44" s="619">
        <v>1</v>
      </c>
      <c r="N44" s="620">
        <v>126.85</v>
      </c>
    </row>
    <row r="45" spans="1:14" ht="14.4" customHeight="1" x14ac:dyDescent="0.3">
      <c r="A45" s="615" t="s">
        <v>471</v>
      </c>
      <c r="B45" s="616" t="s">
        <v>2151</v>
      </c>
      <c r="C45" s="617" t="s">
        <v>476</v>
      </c>
      <c r="D45" s="618" t="s">
        <v>2152</v>
      </c>
      <c r="E45" s="617" t="s">
        <v>481</v>
      </c>
      <c r="F45" s="618" t="s">
        <v>2153</v>
      </c>
      <c r="G45" s="617" t="s">
        <v>517</v>
      </c>
      <c r="H45" s="617" t="s">
        <v>625</v>
      </c>
      <c r="I45" s="617" t="s">
        <v>626</v>
      </c>
      <c r="J45" s="617" t="s">
        <v>627</v>
      </c>
      <c r="K45" s="617" t="s">
        <v>628</v>
      </c>
      <c r="L45" s="619">
        <v>66.357037037037017</v>
      </c>
      <c r="M45" s="619">
        <v>54</v>
      </c>
      <c r="N45" s="620">
        <v>3583.2799999999988</v>
      </c>
    </row>
    <row r="46" spans="1:14" ht="14.4" customHeight="1" x14ac:dyDescent="0.3">
      <c r="A46" s="615" t="s">
        <v>471</v>
      </c>
      <c r="B46" s="616" t="s">
        <v>2151</v>
      </c>
      <c r="C46" s="617" t="s">
        <v>476</v>
      </c>
      <c r="D46" s="618" t="s">
        <v>2152</v>
      </c>
      <c r="E46" s="617" t="s">
        <v>481</v>
      </c>
      <c r="F46" s="618" t="s">
        <v>2153</v>
      </c>
      <c r="G46" s="617" t="s">
        <v>517</v>
      </c>
      <c r="H46" s="617" t="s">
        <v>629</v>
      </c>
      <c r="I46" s="617" t="s">
        <v>630</v>
      </c>
      <c r="J46" s="617" t="s">
        <v>631</v>
      </c>
      <c r="K46" s="617" t="s">
        <v>632</v>
      </c>
      <c r="L46" s="619">
        <v>90.38</v>
      </c>
      <c r="M46" s="619">
        <v>1</v>
      </c>
      <c r="N46" s="620">
        <v>90.38</v>
      </c>
    </row>
    <row r="47" spans="1:14" ht="14.4" customHeight="1" x14ac:dyDescent="0.3">
      <c r="A47" s="615" t="s">
        <v>471</v>
      </c>
      <c r="B47" s="616" t="s">
        <v>2151</v>
      </c>
      <c r="C47" s="617" t="s">
        <v>476</v>
      </c>
      <c r="D47" s="618" t="s">
        <v>2152</v>
      </c>
      <c r="E47" s="617" t="s">
        <v>481</v>
      </c>
      <c r="F47" s="618" t="s">
        <v>2153</v>
      </c>
      <c r="G47" s="617" t="s">
        <v>517</v>
      </c>
      <c r="H47" s="617" t="s">
        <v>633</v>
      </c>
      <c r="I47" s="617" t="s">
        <v>634</v>
      </c>
      <c r="J47" s="617" t="s">
        <v>635</v>
      </c>
      <c r="K47" s="617" t="s">
        <v>636</v>
      </c>
      <c r="L47" s="619">
        <v>239.79999999999998</v>
      </c>
      <c r="M47" s="619">
        <v>26</v>
      </c>
      <c r="N47" s="620">
        <v>6234.7999999999993</v>
      </c>
    </row>
    <row r="48" spans="1:14" ht="14.4" customHeight="1" x14ac:dyDescent="0.3">
      <c r="A48" s="615" t="s">
        <v>471</v>
      </c>
      <c r="B48" s="616" t="s">
        <v>2151</v>
      </c>
      <c r="C48" s="617" t="s">
        <v>476</v>
      </c>
      <c r="D48" s="618" t="s">
        <v>2152</v>
      </c>
      <c r="E48" s="617" t="s">
        <v>481</v>
      </c>
      <c r="F48" s="618" t="s">
        <v>2153</v>
      </c>
      <c r="G48" s="617" t="s">
        <v>517</v>
      </c>
      <c r="H48" s="617" t="s">
        <v>637</v>
      </c>
      <c r="I48" s="617" t="s">
        <v>638</v>
      </c>
      <c r="J48" s="617" t="s">
        <v>639</v>
      </c>
      <c r="K48" s="617" t="s">
        <v>636</v>
      </c>
      <c r="L48" s="619">
        <v>324.97051020408173</v>
      </c>
      <c r="M48" s="619">
        <v>98</v>
      </c>
      <c r="N48" s="620">
        <v>31847.110000000008</v>
      </c>
    </row>
    <row r="49" spans="1:14" ht="14.4" customHeight="1" x14ac:dyDescent="0.3">
      <c r="A49" s="615" t="s">
        <v>471</v>
      </c>
      <c r="B49" s="616" t="s">
        <v>2151</v>
      </c>
      <c r="C49" s="617" t="s">
        <v>476</v>
      </c>
      <c r="D49" s="618" t="s">
        <v>2152</v>
      </c>
      <c r="E49" s="617" t="s">
        <v>481</v>
      </c>
      <c r="F49" s="618" t="s">
        <v>2153</v>
      </c>
      <c r="G49" s="617" t="s">
        <v>517</v>
      </c>
      <c r="H49" s="617" t="s">
        <v>640</v>
      </c>
      <c r="I49" s="617" t="s">
        <v>641</v>
      </c>
      <c r="J49" s="617" t="s">
        <v>642</v>
      </c>
      <c r="K49" s="617" t="s">
        <v>643</v>
      </c>
      <c r="L49" s="619">
        <v>127.35999999999994</v>
      </c>
      <c r="M49" s="619">
        <v>1</v>
      </c>
      <c r="N49" s="620">
        <v>127.35999999999994</v>
      </c>
    </row>
    <row r="50" spans="1:14" ht="14.4" customHeight="1" x14ac:dyDescent="0.3">
      <c r="A50" s="615" t="s">
        <v>471</v>
      </c>
      <c r="B50" s="616" t="s">
        <v>2151</v>
      </c>
      <c r="C50" s="617" t="s">
        <v>476</v>
      </c>
      <c r="D50" s="618" t="s">
        <v>2152</v>
      </c>
      <c r="E50" s="617" t="s">
        <v>481</v>
      </c>
      <c r="F50" s="618" t="s">
        <v>2153</v>
      </c>
      <c r="G50" s="617" t="s">
        <v>517</v>
      </c>
      <c r="H50" s="617" t="s">
        <v>644</v>
      </c>
      <c r="I50" s="617" t="s">
        <v>645</v>
      </c>
      <c r="J50" s="617" t="s">
        <v>646</v>
      </c>
      <c r="K50" s="617" t="s">
        <v>647</v>
      </c>
      <c r="L50" s="619">
        <v>41.139999999999993</v>
      </c>
      <c r="M50" s="619">
        <v>1</v>
      </c>
      <c r="N50" s="620">
        <v>41.139999999999993</v>
      </c>
    </row>
    <row r="51" spans="1:14" ht="14.4" customHeight="1" x14ac:dyDescent="0.3">
      <c r="A51" s="615" t="s">
        <v>471</v>
      </c>
      <c r="B51" s="616" t="s">
        <v>2151</v>
      </c>
      <c r="C51" s="617" t="s">
        <v>476</v>
      </c>
      <c r="D51" s="618" t="s">
        <v>2152</v>
      </c>
      <c r="E51" s="617" t="s">
        <v>481</v>
      </c>
      <c r="F51" s="618" t="s">
        <v>2153</v>
      </c>
      <c r="G51" s="617" t="s">
        <v>517</v>
      </c>
      <c r="H51" s="617" t="s">
        <v>648</v>
      </c>
      <c r="I51" s="617" t="s">
        <v>649</v>
      </c>
      <c r="J51" s="617" t="s">
        <v>650</v>
      </c>
      <c r="K51" s="617" t="s">
        <v>651</v>
      </c>
      <c r="L51" s="619">
        <v>93.760000000000019</v>
      </c>
      <c r="M51" s="619">
        <v>1</v>
      </c>
      <c r="N51" s="620">
        <v>93.760000000000019</v>
      </c>
    </row>
    <row r="52" spans="1:14" ht="14.4" customHeight="1" x14ac:dyDescent="0.3">
      <c r="A52" s="615" t="s">
        <v>471</v>
      </c>
      <c r="B52" s="616" t="s">
        <v>2151</v>
      </c>
      <c r="C52" s="617" t="s">
        <v>476</v>
      </c>
      <c r="D52" s="618" t="s">
        <v>2152</v>
      </c>
      <c r="E52" s="617" t="s">
        <v>481</v>
      </c>
      <c r="F52" s="618" t="s">
        <v>2153</v>
      </c>
      <c r="G52" s="617" t="s">
        <v>517</v>
      </c>
      <c r="H52" s="617" t="s">
        <v>652</v>
      </c>
      <c r="I52" s="617" t="s">
        <v>653</v>
      </c>
      <c r="J52" s="617" t="s">
        <v>654</v>
      </c>
      <c r="K52" s="617" t="s">
        <v>655</v>
      </c>
      <c r="L52" s="619">
        <v>185.61039140122901</v>
      </c>
      <c r="M52" s="619">
        <v>86</v>
      </c>
      <c r="N52" s="620">
        <v>15962.493660505694</v>
      </c>
    </row>
    <row r="53" spans="1:14" ht="14.4" customHeight="1" x14ac:dyDescent="0.3">
      <c r="A53" s="615" t="s">
        <v>471</v>
      </c>
      <c r="B53" s="616" t="s">
        <v>2151</v>
      </c>
      <c r="C53" s="617" t="s">
        <v>476</v>
      </c>
      <c r="D53" s="618" t="s">
        <v>2152</v>
      </c>
      <c r="E53" s="617" t="s">
        <v>481</v>
      </c>
      <c r="F53" s="618" t="s">
        <v>2153</v>
      </c>
      <c r="G53" s="617" t="s">
        <v>517</v>
      </c>
      <c r="H53" s="617" t="s">
        <v>656</v>
      </c>
      <c r="I53" s="617" t="s">
        <v>656</v>
      </c>
      <c r="J53" s="617" t="s">
        <v>657</v>
      </c>
      <c r="K53" s="617" t="s">
        <v>658</v>
      </c>
      <c r="L53" s="619">
        <v>36.537842144302516</v>
      </c>
      <c r="M53" s="619">
        <v>610</v>
      </c>
      <c r="N53" s="620">
        <v>22288.083708024533</v>
      </c>
    </row>
    <row r="54" spans="1:14" ht="14.4" customHeight="1" x14ac:dyDescent="0.3">
      <c r="A54" s="615" t="s">
        <v>471</v>
      </c>
      <c r="B54" s="616" t="s">
        <v>2151</v>
      </c>
      <c r="C54" s="617" t="s">
        <v>476</v>
      </c>
      <c r="D54" s="618" t="s">
        <v>2152</v>
      </c>
      <c r="E54" s="617" t="s">
        <v>481</v>
      </c>
      <c r="F54" s="618" t="s">
        <v>2153</v>
      </c>
      <c r="G54" s="617" t="s">
        <v>517</v>
      </c>
      <c r="H54" s="617" t="s">
        <v>659</v>
      </c>
      <c r="I54" s="617" t="s">
        <v>660</v>
      </c>
      <c r="J54" s="617" t="s">
        <v>661</v>
      </c>
      <c r="K54" s="617" t="s">
        <v>662</v>
      </c>
      <c r="L54" s="619">
        <v>28.60000329148771</v>
      </c>
      <c r="M54" s="619">
        <v>4</v>
      </c>
      <c r="N54" s="620">
        <v>114.40001316595084</v>
      </c>
    </row>
    <row r="55" spans="1:14" ht="14.4" customHeight="1" x14ac:dyDescent="0.3">
      <c r="A55" s="615" t="s">
        <v>471</v>
      </c>
      <c r="B55" s="616" t="s">
        <v>2151</v>
      </c>
      <c r="C55" s="617" t="s">
        <v>476</v>
      </c>
      <c r="D55" s="618" t="s">
        <v>2152</v>
      </c>
      <c r="E55" s="617" t="s">
        <v>481</v>
      </c>
      <c r="F55" s="618" t="s">
        <v>2153</v>
      </c>
      <c r="G55" s="617" t="s">
        <v>517</v>
      </c>
      <c r="H55" s="617" t="s">
        <v>663</v>
      </c>
      <c r="I55" s="617" t="s">
        <v>664</v>
      </c>
      <c r="J55" s="617" t="s">
        <v>665</v>
      </c>
      <c r="K55" s="617" t="s">
        <v>666</v>
      </c>
      <c r="L55" s="619">
        <v>231.70000000000002</v>
      </c>
      <c r="M55" s="619">
        <v>1</v>
      </c>
      <c r="N55" s="620">
        <v>231.70000000000002</v>
      </c>
    </row>
    <row r="56" spans="1:14" ht="14.4" customHeight="1" x14ac:dyDescent="0.3">
      <c r="A56" s="615" t="s">
        <v>471</v>
      </c>
      <c r="B56" s="616" t="s">
        <v>2151</v>
      </c>
      <c r="C56" s="617" t="s">
        <v>476</v>
      </c>
      <c r="D56" s="618" t="s">
        <v>2152</v>
      </c>
      <c r="E56" s="617" t="s">
        <v>481</v>
      </c>
      <c r="F56" s="618" t="s">
        <v>2153</v>
      </c>
      <c r="G56" s="617" t="s">
        <v>517</v>
      </c>
      <c r="H56" s="617" t="s">
        <v>667</v>
      </c>
      <c r="I56" s="617" t="s">
        <v>668</v>
      </c>
      <c r="J56" s="617" t="s">
        <v>669</v>
      </c>
      <c r="K56" s="617" t="s">
        <v>666</v>
      </c>
      <c r="L56" s="619">
        <v>231.7</v>
      </c>
      <c r="M56" s="619">
        <v>1</v>
      </c>
      <c r="N56" s="620">
        <v>231.7</v>
      </c>
    </row>
    <row r="57" spans="1:14" ht="14.4" customHeight="1" x14ac:dyDescent="0.3">
      <c r="A57" s="615" t="s">
        <v>471</v>
      </c>
      <c r="B57" s="616" t="s">
        <v>2151</v>
      </c>
      <c r="C57" s="617" t="s">
        <v>476</v>
      </c>
      <c r="D57" s="618" t="s">
        <v>2152</v>
      </c>
      <c r="E57" s="617" t="s">
        <v>481</v>
      </c>
      <c r="F57" s="618" t="s">
        <v>2153</v>
      </c>
      <c r="G57" s="617" t="s">
        <v>517</v>
      </c>
      <c r="H57" s="617" t="s">
        <v>670</v>
      </c>
      <c r="I57" s="617" t="s">
        <v>671</v>
      </c>
      <c r="J57" s="617" t="s">
        <v>672</v>
      </c>
      <c r="K57" s="617" t="s">
        <v>673</v>
      </c>
      <c r="L57" s="619">
        <v>73.789999999999992</v>
      </c>
      <c r="M57" s="619">
        <v>4</v>
      </c>
      <c r="N57" s="620">
        <v>295.15999999999997</v>
      </c>
    </row>
    <row r="58" spans="1:14" ht="14.4" customHeight="1" x14ac:dyDescent="0.3">
      <c r="A58" s="615" t="s">
        <v>471</v>
      </c>
      <c r="B58" s="616" t="s">
        <v>2151</v>
      </c>
      <c r="C58" s="617" t="s">
        <v>476</v>
      </c>
      <c r="D58" s="618" t="s">
        <v>2152</v>
      </c>
      <c r="E58" s="617" t="s">
        <v>481</v>
      </c>
      <c r="F58" s="618" t="s">
        <v>2153</v>
      </c>
      <c r="G58" s="617" t="s">
        <v>517</v>
      </c>
      <c r="H58" s="617" t="s">
        <v>674</v>
      </c>
      <c r="I58" s="617" t="s">
        <v>675</v>
      </c>
      <c r="J58" s="617" t="s">
        <v>676</v>
      </c>
      <c r="K58" s="617" t="s">
        <v>677</v>
      </c>
      <c r="L58" s="619">
        <v>48.459999999999994</v>
      </c>
      <c r="M58" s="619">
        <v>2</v>
      </c>
      <c r="N58" s="620">
        <v>96.919999999999987</v>
      </c>
    </row>
    <row r="59" spans="1:14" ht="14.4" customHeight="1" x14ac:dyDescent="0.3">
      <c r="A59" s="615" t="s">
        <v>471</v>
      </c>
      <c r="B59" s="616" t="s">
        <v>2151</v>
      </c>
      <c r="C59" s="617" t="s">
        <v>476</v>
      </c>
      <c r="D59" s="618" t="s">
        <v>2152</v>
      </c>
      <c r="E59" s="617" t="s">
        <v>481</v>
      </c>
      <c r="F59" s="618" t="s">
        <v>2153</v>
      </c>
      <c r="G59" s="617" t="s">
        <v>517</v>
      </c>
      <c r="H59" s="617" t="s">
        <v>678</v>
      </c>
      <c r="I59" s="617" t="s">
        <v>679</v>
      </c>
      <c r="J59" s="617" t="s">
        <v>680</v>
      </c>
      <c r="K59" s="617" t="s">
        <v>681</v>
      </c>
      <c r="L59" s="619">
        <v>44.900248330496218</v>
      </c>
      <c r="M59" s="619">
        <v>2</v>
      </c>
      <c r="N59" s="620">
        <v>89.800496660992437</v>
      </c>
    </row>
    <row r="60" spans="1:14" ht="14.4" customHeight="1" x14ac:dyDescent="0.3">
      <c r="A60" s="615" t="s">
        <v>471</v>
      </c>
      <c r="B60" s="616" t="s">
        <v>2151</v>
      </c>
      <c r="C60" s="617" t="s">
        <v>476</v>
      </c>
      <c r="D60" s="618" t="s">
        <v>2152</v>
      </c>
      <c r="E60" s="617" t="s">
        <v>481</v>
      </c>
      <c r="F60" s="618" t="s">
        <v>2153</v>
      </c>
      <c r="G60" s="617" t="s">
        <v>517</v>
      </c>
      <c r="H60" s="617" t="s">
        <v>682</v>
      </c>
      <c r="I60" s="617" t="s">
        <v>683</v>
      </c>
      <c r="J60" s="617" t="s">
        <v>684</v>
      </c>
      <c r="K60" s="617" t="s">
        <v>685</v>
      </c>
      <c r="L60" s="619">
        <v>89.629999999999981</v>
      </c>
      <c r="M60" s="619">
        <v>1</v>
      </c>
      <c r="N60" s="620">
        <v>89.629999999999981</v>
      </c>
    </row>
    <row r="61" spans="1:14" ht="14.4" customHeight="1" x14ac:dyDescent="0.3">
      <c r="A61" s="615" t="s">
        <v>471</v>
      </c>
      <c r="B61" s="616" t="s">
        <v>2151</v>
      </c>
      <c r="C61" s="617" t="s">
        <v>476</v>
      </c>
      <c r="D61" s="618" t="s">
        <v>2152</v>
      </c>
      <c r="E61" s="617" t="s">
        <v>481</v>
      </c>
      <c r="F61" s="618" t="s">
        <v>2153</v>
      </c>
      <c r="G61" s="617" t="s">
        <v>517</v>
      </c>
      <c r="H61" s="617" t="s">
        <v>686</v>
      </c>
      <c r="I61" s="617" t="s">
        <v>687</v>
      </c>
      <c r="J61" s="617" t="s">
        <v>688</v>
      </c>
      <c r="K61" s="617" t="s">
        <v>689</v>
      </c>
      <c r="L61" s="619">
        <v>99.460000000000022</v>
      </c>
      <c r="M61" s="619">
        <v>1</v>
      </c>
      <c r="N61" s="620">
        <v>99.460000000000022</v>
      </c>
    </row>
    <row r="62" spans="1:14" ht="14.4" customHeight="1" x14ac:dyDescent="0.3">
      <c r="A62" s="615" t="s">
        <v>471</v>
      </c>
      <c r="B62" s="616" t="s">
        <v>2151</v>
      </c>
      <c r="C62" s="617" t="s">
        <v>476</v>
      </c>
      <c r="D62" s="618" t="s">
        <v>2152</v>
      </c>
      <c r="E62" s="617" t="s">
        <v>481</v>
      </c>
      <c r="F62" s="618" t="s">
        <v>2153</v>
      </c>
      <c r="G62" s="617" t="s">
        <v>517</v>
      </c>
      <c r="H62" s="617" t="s">
        <v>690</v>
      </c>
      <c r="I62" s="617" t="s">
        <v>691</v>
      </c>
      <c r="J62" s="617" t="s">
        <v>692</v>
      </c>
      <c r="K62" s="617" t="s">
        <v>693</v>
      </c>
      <c r="L62" s="619">
        <v>63.440109007744283</v>
      </c>
      <c r="M62" s="619">
        <v>1</v>
      </c>
      <c r="N62" s="620">
        <v>63.440109007744283</v>
      </c>
    </row>
    <row r="63" spans="1:14" ht="14.4" customHeight="1" x14ac:dyDescent="0.3">
      <c r="A63" s="615" t="s">
        <v>471</v>
      </c>
      <c r="B63" s="616" t="s">
        <v>2151</v>
      </c>
      <c r="C63" s="617" t="s">
        <v>476</v>
      </c>
      <c r="D63" s="618" t="s">
        <v>2152</v>
      </c>
      <c r="E63" s="617" t="s">
        <v>481</v>
      </c>
      <c r="F63" s="618" t="s">
        <v>2153</v>
      </c>
      <c r="G63" s="617" t="s">
        <v>517</v>
      </c>
      <c r="H63" s="617" t="s">
        <v>694</v>
      </c>
      <c r="I63" s="617" t="s">
        <v>695</v>
      </c>
      <c r="J63" s="617" t="s">
        <v>696</v>
      </c>
      <c r="K63" s="617" t="s">
        <v>697</v>
      </c>
      <c r="L63" s="619">
        <v>55.460000000000015</v>
      </c>
      <c r="M63" s="619">
        <v>1</v>
      </c>
      <c r="N63" s="620">
        <v>55.460000000000015</v>
      </c>
    </row>
    <row r="64" spans="1:14" ht="14.4" customHeight="1" x14ac:dyDescent="0.3">
      <c r="A64" s="615" t="s">
        <v>471</v>
      </c>
      <c r="B64" s="616" t="s">
        <v>2151</v>
      </c>
      <c r="C64" s="617" t="s">
        <v>476</v>
      </c>
      <c r="D64" s="618" t="s">
        <v>2152</v>
      </c>
      <c r="E64" s="617" t="s">
        <v>481</v>
      </c>
      <c r="F64" s="618" t="s">
        <v>2153</v>
      </c>
      <c r="G64" s="617" t="s">
        <v>517</v>
      </c>
      <c r="H64" s="617" t="s">
        <v>698</v>
      </c>
      <c r="I64" s="617" t="s">
        <v>699</v>
      </c>
      <c r="J64" s="617" t="s">
        <v>700</v>
      </c>
      <c r="K64" s="617" t="s">
        <v>701</v>
      </c>
      <c r="L64" s="619">
        <v>299.00049335411131</v>
      </c>
      <c r="M64" s="619">
        <v>5</v>
      </c>
      <c r="N64" s="620">
        <v>1495.0024667705566</v>
      </c>
    </row>
    <row r="65" spans="1:14" ht="14.4" customHeight="1" x14ac:dyDescent="0.3">
      <c r="A65" s="615" t="s">
        <v>471</v>
      </c>
      <c r="B65" s="616" t="s">
        <v>2151</v>
      </c>
      <c r="C65" s="617" t="s">
        <v>476</v>
      </c>
      <c r="D65" s="618" t="s">
        <v>2152</v>
      </c>
      <c r="E65" s="617" t="s">
        <v>481</v>
      </c>
      <c r="F65" s="618" t="s">
        <v>2153</v>
      </c>
      <c r="G65" s="617" t="s">
        <v>517</v>
      </c>
      <c r="H65" s="617" t="s">
        <v>702</v>
      </c>
      <c r="I65" s="617" t="s">
        <v>703</v>
      </c>
      <c r="J65" s="617" t="s">
        <v>619</v>
      </c>
      <c r="K65" s="617" t="s">
        <v>704</v>
      </c>
      <c r="L65" s="619">
        <v>44.590289310794695</v>
      </c>
      <c r="M65" s="619">
        <v>17</v>
      </c>
      <c r="N65" s="620">
        <v>758.0349182835098</v>
      </c>
    </row>
    <row r="66" spans="1:14" ht="14.4" customHeight="1" x14ac:dyDescent="0.3">
      <c r="A66" s="615" t="s">
        <v>471</v>
      </c>
      <c r="B66" s="616" t="s">
        <v>2151</v>
      </c>
      <c r="C66" s="617" t="s">
        <v>476</v>
      </c>
      <c r="D66" s="618" t="s">
        <v>2152</v>
      </c>
      <c r="E66" s="617" t="s">
        <v>481</v>
      </c>
      <c r="F66" s="618" t="s">
        <v>2153</v>
      </c>
      <c r="G66" s="617" t="s">
        <v>517</v>
      </c>
      <c r="H66" s="617" t="s">
        <v>705</v>
      </c>
      <c r="I66" s="617" t="s">
        <v>706</v>
      </c>
      <c r="J66" s="617" t="s">
        <v>707</v>
      </c>
      <c r="K66" s="617" t="s">
        <v>708</v>
      </c>
      <c r="L66" s="619">
        <v>262.86</v>
      </c>
      <c r="M66" s="619">
        <v>1</v>
      </c>
      <c r="N66" s="620">
        <v>262.86</v>
      </c>
    </row>
    <row r="67" spans="1:14" ht="14.4" customHeight="1" x14ac:dyDescent="0.3">
      <c r="A67" s="615" t="s">
        <v>471</v>
      </c>
      <c r="B67" s="616" t="s">
        <v>2151</v>
      </c>
      <c r="C67" s="617" t="s">
        <v>476</v>
      </c>
      <c r="D67" s="618" t="s">
        <v>2152</v>
      </c>
      <c r="E67" s="617" t="s">
        <v>481</v>
      </c>
      <c r="F67" s="618" t="s">
        <v>2153</v>
      </c>
      <c r="G67" s="617" t="s">
        <v>517</v>
      </c>
      <c r="H67" s="617" t="s">
        <v>709</v>
      </c>
      <c r="I67" s="617" t="s">
        <v>710</v>
      </c>
      <c r="J67" s="617" t="s">
        <v>711</v>
      </c>
      <c r="K67" s="617" t="s">
        <v>712</v>
      </c>
      <c r="L67" s="619">
        <v>74.870000000000019</v>
      </c>
      <c r="M67" s="619">
        <v>2</v>
      </c>
      <c r="N67" s="620">
        <v>149.74000000000004</v>
      </c>
    </row>
    <row r="68" spans="1:14" ht="14.4" customHeight="1" x14ac:dyDescent="0.3">
      <c r="A68" s="615" t="s">
        <v>471</v>
      </c>
      <c r="B68" s="616" t="s">
        <v>2151</v>
      </c>
      <c r="C68" s="617" t="s">
        <v>476</v>
      </c>
      <c r="D68" s="618" t="s">
        <v>2152</v>
      </c>
      <c r="E68" s="617" t="s">
        <v>481</v>
      </c>
      <c r="F68" s="618" t="s">
        <v>2153</v>
      </c>
      <c r="G68" s="617" t="s">
        <v>517</v>
      </c>
      <c r="H68" s="617" t="s">
        <v>713</v>
      </c>
      <c r="I68" s="617" t="s">
        <v>714</v>
      </c>
      <c r="J68" s="617" t="s">
        <v>715</v>
      </c>
      <c r="K68" s="617" t="s">
        <v>716</v>
      </c>
      <c r="L68" s="619">
        <v>88.72</v>
      </c>
      <c r="M68" s="619">
        <v>2</v>
      </c>
      <c r="N68" s="620">
        <v>177.44</v>
      </c>
    </row>
    <row r="69" spans="1:14" ht="14.4" customHeight="1" x14ac:dyDescent="0.3">
      <c r="A69" s="615" t="s">
        <v>471</v>
      </c>
      <c r="B69" s="616" t="s">
        <v>2151</v>
      </c>
      <c r="C69" s="617" t="s">
        <v>476</v>
      </c>
      <c r="D69" s="618" t="s">
        <v>2152</v>
      </c>
      <c r="E69" s="617" t="s">
        <v>481</v>
      </c>
      <c r="F69" s="618" t="s">
        <v>2153</v>
      </c>
      <c r="G69" s="617" t="s">
        <v>517</v>
      </c>
      <c r="H69" s="617" t="s">
        <v>717</v>
      </c>
      <c r="I69" s="617" t="s">
        <v>718</v>
      </c>
      <c r="J69" s="617" t="s">
        <v>719</v>
      </c>
      <c r="K69" s="617" t="s">
        <v>720</v>
      </c>
      <c r="L69" s="619">
        <v>117.40659932778448</v>
      </c>
      <c r="M69" s="619">
        <v>1</v>
      </c>
      <c r="N69" s="620">
        <v>117.40659932778448</v>
      </c>
    </row>
    <row r="70" spans="1:14" ht="14.4" customHeight="1" x14ac:dyDescent="0.3">
      <c r="A70" s="615" t="s">
        <v>471</v>
      </c>
      <c r="B70" s="616" t="s">
        <v>2151</v>
      </c>
      <c r="C70" s="617" t="s">
        <v>476</v>
      </c>
      <c r="D70" s="618" t="s">
        <v>2152</v>
      </c>
      <c r="E70" s="617" t="s">
        <v>481</v>
      </c>
      <c r="F70" s="618" t="s">
        <v>2153</v>
      </c>
      <c r="G70" s="617" t="s">
        <v>517</v>
      </c>
      <c r="H70" s="617" t="s">
        <v>721</v>
      </c>
      <c r="I70" s="617" t="s">
        <v>721</v>
      </c>
      <c r="J70" s="617" t="s">
        <v>722</v>
      </c>
      <c r="K70" s="617" t="s">
        <v>723</v>
      </c>
      <c r="L70" s="619">
        <v>113.32983446897049</v>
      </c>
      <c r="M70" s="619">
        <v>2</v>
      </c>
      <c r="N70" s="620">
        <v>226.65966893794098</v>
      </c>
    </row>
    <row r="71" spans="1:14" ht="14.4" customHeight="1" x14ac:dyDescent="0.3">
      <c r="A71" s="615" t="s">
        <v>471</v>
      </c>
      <c r="B71" s="616" t="s">
        <v>2151</v>
      </c>
      <c r="C71" s="617" t="s">
        <v>476</v>
      </c>
      <c r="D71" s="618" t="s">
        <v>2152</v>
      </c>
      <c r="E71" s="617" t="s">
        <v>481</v>
      </c>
      <c r="F71" s="618" t="s">
        <v>2153</v>
      </c>
      <c r="G71" s="617" t="s">
        <v>517</v>
      </c>
      <c r="H71" s="617" t="s">
        <v>724</v>
      </c>
      <c r="I71" s="617" t="s">
        <v>725</v>
      </c>
      <c r="J71" s="617" t="s">
        <v>726</v>
      </c>
      <c r="K71" s="617" t="s">
        <v>727</v>
      </c>
      <c r="L71" s="619">
        <v>125.43153423045226</v>
      </c>
      <c r="M71" s="619">
        <v>12</v>
      </c>
      <c r="N71" s="620">
        <v>1505.1784107654271</v>
      </c>
    </row>
    <row r="72" spans="1:14" ht="14.4" customHeight="1" x14ac:dyDescent="0.3">
      <c r="A72" s="615" t="s">
        <v>471</v>
      </c>
      <c r="B72" s="616" t="s">
        <v>2151</v>
      </c>
      <c r="C72" s="617" t="s">
        <v>476</v>
      </c>
      <c r="D72" s="618" t="s">
        <v>2152</v>
      </c>
      <c r="E72" s="617" t="s">
        <v>481</v>
      </c>
      <c r="F72" s="618" t="s">
        <v>2153</v>
      </c>
      <c r="G72" s="617" t="s">
        <v>517</v>
      </c>
      <c r="H72" s="617" t="s">
        <v>728</v>
      </c>
      <c r="I72" s="617" t="s">
        <v>729</v>
      </c>
      <c r="J72" s="617" t="s">
        <v>730</v>
      </c>
      <c r="K72" s="617" t="s">
        <v>731</v>
      </c>
      <c r="L72" s="619">
        <v>162.55500000000001</v>
      </c>
      <c r="M72" s="619">
        <v>2</v>
      </c>
      <c r="N72" s="620">
        <v>325.11</v>
      </c>
    </row>
    <row r="73" spans="1:14" ht="14.4" customHeight="1" x14ac:dyDescent="0.3">
      <c r="A73" s="615" t="s">
        <v>471</v>
      </c>
      <c r="B73" s="616" t="s">
        <v>2151</v>
      </c>
      <c r="C73" s="617" t="s">
        <v>476</v>
      </c>
      <c r="D73" s="618" t="s">
        <v>2152</v>
      </c>
      <c r="E73" s="617" t="s">
        <v>481</v>
      </c>
      <c r="F73" s="618" t="s">
        <v>2153</v>
      </c>
      <c r="G73" s="617" t="s">
        <v>517</v>
      </c>
      <c r="H73" s="617" t="s">
        <v>732</v>
      </c>
      <c r="I73" s="617" t="s">
        <v>733</v>
      </c>
      <c r="J73" s="617" t="s">
        <v>734</v>
      </c>
      <c r="K73" s="617" t="s">
        <v>735</v>
      </c>
      <c r="L73" s="619">
        <v>23.509999684363411</v>
      </c>
      <c r="M73" s="619">
        <v>3</v>
      </c>
      <c r="N73" s="620">
        <v>70.529999053090236</v>
      </c>
    </row>
    <row r="74" spans="1:14" ht="14.4" customHeight="1" x14ac:dyDescent="0.3">
      <c r="A74" s="615" t="s">
        <v>471</v>
      </c>
      <c r="B74" s="616" t="s">
        <v>2151</v>
      </c>
      <c r="C74" s="617" t="s">
        <v>476</v>
      </c>
      <c r="D74" s="618" t="s">
        <v>2152</v>
      </c>
      <c r="E74" s="617" t="s">
        <v>481</v>
      </c>
      <c r="F74" s="618" t="s">
        <v>2153</v>
      </c>
      <c r="G74" s="617" t="s">
        <v>517</v>
      </c>
      <c r="H74" s="617" t="s">
        <v>736</v>
      </c>
      <c r="I74" s="617" t="s">
        <v>737</v>
      </c>
      <c r="J74" s="617" t="s">
        <v>738</v>
      </c>
      <c r="K74" s="617" t="s">
        <v>739</v>
      </c>
      <c r="L74" s="619">
        <v>94.73968078678115</v>
      </c>
      <c r="M74" s="619">
        <v>27</v>
      </c>
      <c r="N74" s="620">
        <v>2557.9713812430909</v>
      </c>
    </row>
    <row r="75" spans="1:14" ht="14.4" customHeight="1" x14ac:dyDescent="0.3">
      <c r="A75" s="615" t="s">
        <v>471</v>
      </c>
      <c r="B75" s="616" t="s">
        <v>2151</v>
      </c>
      <c r="C75" s="617" t="s">
        <v>476</v>
      </c>
      <c r="D75" s="618" t="s">
        <v>2152</v>
      </c>
      <c r="E75" s="617" t="s">
        <v>481</v>
      </c>
      <c r="F75" s="618" t="s">
        <v>2153</v>
      </c>
      <c r="G75" s="617" t="s">
        <v>517</v>
      </c>
      <c r="H75" s="617" t="s">
        <v>740</v>
      </c>
      <c r="I75" s="617" t="s">
        <v>741</v>
      </c>
      <c r="J75" s="617" t="s">
        <v>742</v>
      </c>
      <c r="K75" s="617" t="s">
        <v>743</v>
      </c>
      <c r="L75" s="619">
        <v>60.669869991733862</v>
      </c>
      <c r="M75" s="619">
        <v>41</v>
      </c>
      <c r="N75" s="620">
        <v>2487.4646696610885</v>
      </c>
    </row>
    <row r="76" spans="1:14" ht="14.4" customHeight="1" x14ac:dyDescent="0.3">
      <c r="A76" s="615" t="s">
        <v>471</v>
      </c>
      <c r="B76" s="616" t="s">
        <v>2151</v>
      </c>
      <c r="C76" s="617" t="s">
        <v>476</v>
      </c>
      <c r="D76" s="618" t="s">
        <v>2152</v>
      </c>
      <c r="E76" s="617" t="s">
        <v>481</v>
      </c>
      <c r="F76" s="618" t="s">
        <v>2153</v>
      </c>
      <c r="G76" s="617" t="s">
        <v>517</v>
      </c>
      <c r="H76" s="617" t="s">
        <v>744</v>
      </c>
      <c r="I76" s="617" t="s">
        <v>744</v>
      </c>
      <c r="J76" s="617" t="s">
        <v>745</v>
      </c>
      <c r="K76" s="617" t="s">
        <v>746</v>
      </c>
      <c r="L76" s="619">
        <v>158.32999999999998</v>
      </c>
      <c r="M76" s="619">
        <v>1</v>
      </c>
      <c r="N76" s="620">
        <v>158.32999999999998</v>
      </c>
    </row>
    <row r="77" spans="1:14" ht="14.4" customHeight="1" x14ac:dyDescent="0.3">
      <c r="A77" s="615" t="s">
        <v>471</v>
      </c>
      <c r="B77" s="616" t="s">
        <v>2151</v>
      </c>
      <c r="C77" s="617" t="s">
        <v>476</v>
      </c>
      <c r="D77" s="618" t="s">
        <v>2152</v>
      </c>
      <c r="E77" s="617" t="s">
        <v>481</v>
      </c>
      <c r="F77" s="618" t="s">
        <v>2153</v>
      </c>
      <c r="G77" s="617" t="s">
        <v>517</v>
      </c>
      <c r="H77" s="617" t="s">
        <v>747</v>
      </c>
      <c r="I77" s="617" t="s">
        <v>748</v>
      </c>
      <c r="J77" s="617" t="s">
        <v>749</v>
      </c>
      <c r="K77" s="617" t="s">
        <v>750</v>
      </c>
      <c r="L77" s="619">
        <v>130.79</v>
      </c>
      <c r="M77" s="619">
        <v>1</v>
      </c>
      <c r="N77" s="620">
        <v>130.79</v>
      </c>
    </row>
    <row r="78" spans="1:14" ht="14.4" customHeight="1" x14ac:dyDescent="0.3">
      <c r="A78" s="615" t="s">
        <v>471</v>
      </c>
      <c r="B78" s="616" t="s">
        <v>2151</v>
      </c>
      <c r="C78" s="617" t="s">
        <v>476</v>
      </c>
      <c r="D78" s="618" t="s">
        <v>2152</v>
      </c>
      <c r="E78" s="617" t="s">
        <v>481</v>
      </c>
      <c r="F78" s="618" t="s">
        <v>2153</v>
      </c>
      <c r="G78" s="617" t="s">
        <v>517</v>
      </c>
      <c r="H78" s="617" t="s">
        <v>751</v>
      </c>
      <c r="I78" s="617" t="s">
        <v>752</v>
      </c>
      <c r="J78" s="617" t="s">
        <v>753</v>
      </c>
      <c r="K78" s="617" t="s">
        <v>754</v>
      </c>
      <c r="L78" s="619">
        <v>112.28000000000007</v>
      </c>
      <c r="M78" s="619">
        <v>1</v>
      </c>
      <c r="N78" s="620">
        <v>112.28000000000007</v>
      </c>
    </row>
    <row r="79" spans="1:14" ht="14.4" customHeight="1" x14ac:dyDescent="0.3">
      <c r="A79" s="615" t="s">
        <v>471</v>
      </c>
      <c r="B79" s="616" t="s">
        <v>2151</v>
      </c>
      <c r="C79" s="617" t="s">
        <v>476</v>
      </c>
      <c r="D79" s="618" t="s">
        <v>2152</v>
      </c>
      <c r="E79" s="617" t="s">
        <v>481</v>
      </c>
      <c r="F79" s="618" t="s">
        <v>2153</v>
      </c>
      <c r="G79" s="617" t="s">
        <v>517</v>
      </c>
      <c r="H79" s="617" t="s">
        <v>755</v>
      </c>
      <c r="I79" s="617" t="s">
        <v>756</v>
      </c>
      <c r="J79" s="617" t="s">
        <v>757</v>
      </c>
      <c r="K79" s="617" t="s">
        <v>758</v>
      </c>
      <c r="L79" s="619">
        <v>70.389702463958727</v>
      </c>
      <c r="M79" s="619">
        <v>3</v>
      </c>
      <c r="N79" s="620">
        <v>211.1691073918762</v>
      </c>
    </row>
    <row r="80" spans="1:14" ht="14.4" customHeight="1" x14ac:dyDescent="0.3">
      <c r="A80" s="615" t="s">
        <v>471</v>
      </c>
      <c r="B80" s="616" t="s">
        <v>2151</v>
      </c>
      <c r="C80" s="617" t="s">
        <v>476</v>
      </c>
      <c r="D80" s="618" t="s">
        <v>2152</v>
      </c>
      <c r="E80" s="617" t="s">
        <v>481</v>
      </c>
      <c r="F80" s="618" t="s">
        <v>2153</v>
      </c>
      <c r="G80" s="617" t="s">
        <v>517</v>
      </c>
      <c r="H80" s="617" t="s">
        <v>759</v>
      </c>
      <c r="I80" s="617" t="s">
        <v>760</v>
      </c>
      <c r="J80" s="617" t="s">
        <v>761</v>
      </c>
      <c r="K80" s="617" t="s">
        <v>762</v>
      </c>
      <c r="L80" s="619">
        <v>126.35999999999999</v>
      </c>
      <c r="M80" s="619">
        <v>1</v>
      </c>
      <c r="N80" s="620">
        <v>126.35999999999999</v>
      </c>
    </row>
    <row r="81" spans="1:14" ht="14.4" customHeight="1" x14ac:dyDescent="0.3">
      <c r="A81" s="615" t="s">
        <v>471</v>
      </c>
      <c r="B81" s="616" t="s">
        <v>2151</v>
      </c>
      <c r="C81" s="617" t="s">
        <v>476</v>
      </c>
      <c r="D81" s="618" t="s">
        <v>2152</v>
      </c>
      <c r="E81" s="617" t="s">
        <v>481</v>
      </c>
      <c r="F81" s="618" t="s">
        <v>2153</v>
      </c>
      <c r="G81" s="617" t="s">
        <v>517</v>
      </c>
      <c r="H81" s="617" t="s">
        <v>763</v>
      </c>
      <c r="I81" s="617" t="s">
        <v>764</v>
      </c>
      <c r="J81" s="617" t="s">
        <v>765</v>
      </c>
      <c r="K81" s="617" t="s">
        <v>766</v>
      </c>
      <c r="L81" s="619">
        <v>124.65827228275029</v>
      </c>
      <c r="M81" s="619">
        <v>26</v>
      </c>
      <c r="N81" s="620">
        <v>3241.1150793515076</v>
      </c>
    </row>
    <row r="82" spans="1:14" ht="14.4" customHeight="1" x14ac:dyDescent="0.3">
      <c r="A82" s="615" t="s">
        <v>471</v>
      </c>
      <c r="B82" s="616" t="s">
        <v>2151</v>
      </c>
      <c r="C82" s="617" t="s">
        <v>476</v>
      </c>
      <c r="D82" s="618" t="s">
        <v>2152</v>
      </c>
      <c r="E82" s="617" t="s">
        <v>481</v>
      </c>
      <c r="F82" s="618" t="s">
        <v>2153</v>
      </c>
      <c r="G82" s="617" t="s">
        <v>517</v>
      </c>
      <c r="H82" s="617" t="s">
        <v>767</v>
      </c>
      <c r="I82" s="617" t="s">
        <v>768</v>
      </c>
      <c r="J82" s="617" t="s">
        <v>769</v>
      </c>
      <c r="K82" s="617" t="s">
        <v>770</v>
      </c>
      <c r="L82" s="619">
        <v>96.70000000000006</v>
      </c>
      <c r="M82" s="619">
        <v>1</v>
      </c>
      <c r="N82" s="620">
        <v>96.70000000000006</v>
      </c>
    </row>
    <row r="83" spans="1:14" ht="14.4" customHeight="1" x14ac:dyDescent="0.3">
      <c r="A83" s="615" t="s">
        <v>471</v>
      </c>
      <c r="B83" s="616" t="s">
        <v>2151</v>
      </c>
      <c r="C83" s="617" t="s">
        <v>476</v>
      </c>
      <c r="D83" s="618" t="s">
        <v>2152</v>
      </c>
      <c r="E83" s="617" t="s">
        <v>481</v>
      </c>
      <c r="F83" s="618" t="s">
        <v>2153</v>
      </c>
      <c r="G83" s="617" t="s">
        <v>517</v>
      </c>
      <c r="H83" s="617" t="s">
        <v>771</v>
      </c>
      <c r="I83" s="617" t="s">
        <v>772</v>
      </c>
      <c r="J83" s="617" t="s">
        <v>773</v>
      </c>
      <c r="K83" s="617" t="s">
        <v>774</v>
      </c>
      <c r="L83" s="619">
        <v>44.23</v>
      </c>
      <c r="M83" s="619">
        <v>5</v>
      </c>
      <c r="N83" s="620">
        <v>221.14999999999998</v>
      </c>
    </row>
    <row r="84" spans="1:14" ht="14.4" customHeight="1" x14ac:dyDescent="0.3">
      <c r="A84" s="615" t="s">
        <v>471</v>
      </c>
      <c r="B84" s="616" t="s">
        <v>2151</v>
      </c>
      <c r="C84" s="617" t="s">
        <v>476</v>
      </c>
      <c r="D84" s="618" t="s">
        <v>2152</v>
      </c>
      <c r="E84" s="617" t="s">
        <v>481</v>
      </c>
      <c r="F84" s="618" t="s">
        <v>2153</v>
      </c>
      <c r="G84" s="617" t="s">
        <v>517</v>
      </c>
      <c r="H84" s="617" t="s">
        <v>775</v>
      </c>
      <c r="I84" s="617" t="s">
        <v>776</v>
      </c>
      <c r="J84" s="617" t="s">
        <v>777</v>
      </c>
      <c r="K84" s="617" t="s">
        <v>778</v>
      </c>
      <c r="L84" s="619">
        <v>86.144799805846048</v>
      </c>
      <c r="M84" s="619">
        <v>50</v>
      </c>
      <c r="N84" s="620">
        <v>4307.2399902923025</v>
      </c>
    </row>
    <row r="85" spans="1:14" ht="14.4" customHeight="1" x14ac:dyDescent="0.3">
      <c r="A85" s="615" t="s">
        <v>471</v>
      </c>
      <c r="B85" s="616" t="s">
        <v>2151</v>
      </c>
      <c r="C85" s="617" t="s">
        <v>476</v>
      </c>
      <c r="D85" s="618" t="s">
        <v>2152</v>
      </c>
      <c r="E85" s="617" t="s">
        <v>481</v>
      </c>
      <c r="F85" s="618" t="s">
        <v>2153</v>
      </c>
      <c r="G85" s="617" t="s">
        <v>517</v>
      </c>
      <c r="H85" s="617" t="s">
        <v>779</v>
      </c>
      <c r="I85" s="617" t="s">
        <v>780</v>
      </c>
      <c r="J85" s="617" t="s">
        <v>781</v>
      </c>
      <c r="K85" s="617" t="s">
        <v>782</v>
      </c>
      <c r="L85" s="619">
        <v>48.679989341794546</v>
      </c>
      <c r="M85" s="619">
        <v>50</v>
      </c>
      <c r="N85" s="620">
        <v>2433.9994670897272</v>
      </c>
    </row>
    <row r="86" spans="1:14" ht="14.4" customHeight="1" x14ac:dyDescent="0.3">
      <c r="A86" s="615" t="s">
        <v>471</v>
      </c>
      <c r="B86" s="616" t="s">
        <v>2151</v>
      </c>
      <c r="C86" s="617" t="s">
        <v>476</v>
      </c>
      <c r="D86" s="618" t="s">
        <v>2152</v>
      </c>
      <c r="E86" s="617" t="s">
        <v>481</v>
      </c>
      <c r="F86" s="618" t="s">
        <v>2153</v>
      </c>
      <c r="G86" s="617" t="s">
        <v>517</v>
      </c>
      <c r="H86" s="617" t="s">
        <v>783</v>
      </c>
      <c r="I86" s="617" t="s">
        <v>783</v>
      </c>
      <c r="J86" s="617" t="s">
        <v>627</v>
      </c>
      <c r="K86" s="617" t="s">
        <v>784</v>
      </c>
      <c r="L86" s="619">
        <v>106.90000000000002</v>
      </c>
      <c r="M86" s="619">
        <v>5</v>
      </c>
      <c r="N86" s="620">
        <v>534.50000000000011</v>
      </c>
    </row>
    <row r="87" spans="1:14" ht="14.4" customHeight="1" x14ac:dyDescent="0.3">
      <c r="A87" s="615" t="s">
        <v>471</v>
      </c>
      <c r="B87" s="616" t="s">
        <v>2151</v>
      </c>
      <c r="C87" s="617" t="s">
        <v>476</v>
      </c>
      <c r="D87" s="618" t="s">
        <v>2152</v>
      </c>
      <c r="E87" s="617" t="s">
        <v>481</v>
      </c>
      <c r="F87" s="618" t="s">
        <v>2153</v>
      </c>
      <c r="G87" s="617" t="s">
        <v>517</v>
      </c>
      <c r="H87" s="617" t="s">
        <v>785</v>
      </c>
      <c r="I87" s="617" t="s">
        <v>786</v>
      </c>
      <c r="J87" s="617" t="s">
        <v>787</v>
      </c>
      <c r="K87" s="617" t="s">
        <v>788</v>
      </c>
      <c r="L87" s="619">
        <v>44.040001213685514</v>
      </c>
      <c r="M87" s="619">
        <v>2</v>
      </c>
      <c r="N87" s="620">
        <v>88.080002427371028</v>
      </c>
    </row>
    <row r="88" spans="1:14" ht="14.4" customHeight="1" x14ac:dyDescent="0.3">
      <c r="A88" s="615" t="s">
        <v>471</v>
      </c>
      <c r="B88" s="616" t="s">
        <v>2151</v>
      </c>
      <c r="C88" s="617" t="s">
        <v>476</v>
      </c>
      <c r="D88" s="618" t="s">
        <v>2152</v>
      </c>
      <c r="E88" s="617" t="s">
        <v>481</v>
      </c>
      <c r="F88" s="618" t="s">
        <v>2153</v>
      </c>
      <c r="G88" s="617" t="s">
        <v>517</v>
      </c>
      <c r="H88" s="617" t="s">
        <v>789</v>
      </c>
      <c r="I88" s="617" t="s">
        <v>790</v>
      </c>
      <c r="J88" s="617" t="s">
        <v>787</v>
      </c>
      <c r="K88" s="617" t="s">
        <v>791</v>
      </c>
      <c r="L88" s="619">
        <v>210.01994193073219</v>
      </c>
      <c r="M88" s="619">
        <v>93</v>
      </c>
      <c r="N88" s="620">
        <v>19531.854599558093</v>
      </c>
    </row>
    <row r="89" spans="1:14" ht="14.4" customHeight="1" x14ac:dyDescent="0.3">
      <c r="A89" s="615" t="s">
        <v>471</v>
      </c>
      <c r="B89" s="616" t="s">
        <v>2151</v>
      </c>
      <c r="C89" s="617" t="s">
        <v>476</v>
      </c>
      <c r="D89" s="618" t="s">
        <v>2152</v>
      </c>
      <c r="E89" s="617" t="s">
        <v>481</v>
      </c>
      <c r="F89" s="618" t="s">
        <v>2153</v>
      </c>
      <c r="G89" s="617" t="s">
        <v>517</v>
      </c>
      <c r="H89" s="617" t="s">
        <v>792</v>
      </c>
      <c r="I89" s="617" t="s">
        <v>793</v>
      </c>
      <c r="J89" s="617" t="s">
        <v>794</v>
      </c>
      <c r="K89" s="617" t="s">
        <v>795</v>
      </c>
      <c r="L89" s="619">
        <v>375.79988804967559</v>
      </c>
      <c r="M89" s="619">
        <v>23</v>
      </c>
      <c r="N89" s="620">
        <v>8643.3974251425389</v>
      </c>
    </row>
    <row r="90" spans="1:14" ht="14.4" customHeight="1" x14ac:dyDescent="0.3">
      <c r="A90" s="615" t="s">
        <v>471</v>
      </c>
      <c r="B90" s="616" t="s">
        <v>2151</v>
      </c>
      <c r="C90" s="617" t="s">
        <v>476</v>
      </c>
      <c r="D90" s="618" t="s">
        <v>2152</v>
      </c>
      <c r="E90" s="617" t="s">
        <v>481</v>
      </c>
      <c r="F90" s="618" t="s">
        <v>2153</v>
      </c>
      <c r="G90" s="617" t="s">
        <v>517</v>
      </c>
      <c r="H90" s="617" t="s">
        <v>796</v>
      </c>
      <c r="I90" s="617" t="s">
        <v>797</v>
      </c>
      <c r="J90" s="617" t="s">
        <v>798</v>
      </c>
      <c r="K90" s="617" t="s">
        <v>799</v>
      </c>
      <c r="L90" s="619">
        <v>112.38</v>
      </c>
      <c r="M90" s="619">
        <v>2</v>
      </c>
      <c r="N90" s="620">
        <v>224.76</v>
      </c>
    </row>
    <row r="91" spans="1:14" ht="14.4" customHeight="1" x14ac:dyDescent="0.3">
      <c r="A91" s="615" t="s">
        <v>471</v>
      </c>
      <c r="B91" s="616" t="s">
        <v>2151</v>
      </c>
      <c r="C91" s="617" t="s">
        <v>476</v>
      </c>
      <c r="D91" s="618" t="s">
        <v>2152</v>
      </c>
      <c r="E91" s="617" t="s">
        <v>481</v>
      </c>
      <c r="F91" s="618" t="s">
        <v>2153</v>
      </c>
      <c r="G91" s="617" t="s">
        <v>517</v>
      </c>
      <c r="H91" s="617" t="s">
        <v>800</v>
      </c>
      <c r="I91" s="617" t="s">
        <v>801</v>
      </c>
      <c r="J91" s="617" t="s">
        <v>802</v>
      </c>
      <c r="K91" s="617" t="s">
        <v>803</v>
      </c>
      <c r="L91" s="619">
        <v>122.61</v>
      </c>
      <c r="M91" s="619">
        <v>1</v>
      </c>
      <c r="N91" s="620">
        <v>122.61</v>
      </c>
    </row>
    <row r="92" spans="1:14" ht="14.4" customHeight="1" x14ac:dyDescent="0.3">
      <c r="A92" s="615" t="s">
        <v>471</v>
      </c>
      <c r="B92" s="616" t="s">
        <v>2151</v>
      </c>
      <c r="C92" s="617" t="s">
        <v>476</v>
      </c>
      <c r="D92" s="618" t="s">
        <v>2152</v>
      </c>
      <c r="E92" s="617" t="s">
        <v>481</v>
      </c>
      <c r="F92" s="618" t="s">
        <v>2153</v>
      </c>
      <c r="G92" s="617" t="s">
        <v>517</v>
      </c>
      <c r="H92" s="617" t="s">
        <v>804</v>
      </c>
      <c r="I92" s="617" t="s">
        <v>805</v>
      </c>
      <c r="J92" s="617" t="s">
        <v>806</v>
      </c>
      <c r="K92" s="617" t="s">
        <v>807</v>
      </c>
      <c r="L92" s="619">
        <v>132.32000000000002</v>
      </c>
      <c r="M92" s="619">
        <v>1</v>
      </c>
      <c r="N92" s="620">
        <v>132.32000000000002</v>
      </c>
    </row>
    <row r="93" spans="1:14" ht="14.4" customHeight="1" x14ac:dyDescent="0.3">
      <c r="A93" s="615" t="s">
        <v>471</v>
      </c>
      <c r="B93" s="616" t="s">
        <v>2151</v>
      </c>
      <c r="C93" s="617" t="s">
        <v>476</v>
      </c>
      <c r="D93" s="618" t="s">
        <v>2152</v>
      </c>
      <c r="E93" s="617" t="s">
        <v>481</v>
      </c>
      <c r="F93" s="618" t="s">
        <v>2153</v>
      </c>
      <c r="G93" s="617" t="s">
        <v>517</v>
      </c>
      <c r="H93" s="617" t="s">
        <v>808</v>
      </c>
      <c r="I93" s="617" t="s">
        <v>809</v>
      </c>
      <c r="J93" s="617" t="s">
        <v>810</v>
      </c>
      <c r="K93" s="617" t="s">
        <v>811</v>
      </c>
      <c r="L93" s="619">
        <v>219.91999380277849</v>
      </c>
      <c r="M93" s="619">
        <v>131</v>
      </c>
      <c r="N93" s="620">
        <v>28809.519188163984</v>
      </c>
    </row>
    <row r="94" spans="1:14" ht="14.4" customHeight="1" x14ac:dyDescent="0.3">
      <c r="A94" s="615" t="s">
        <v>471</v>
      </c>
      <c r="B94" s="616" t="s">
        <v>2151</v>
      </c>
      <c r="C94" s="617" t="s">
        <v>476</v>
      </c>
      <c r="D94" s="618" t="s">
        <v>2152</v>
      </c>
      <c r="E94" s="617" t="s">
        <v>481</v>
      </c>
      <c r="F94" s="618" t="s">
        <v>2153</v>
      </c>
      <c r="G94" s="617" t="s">
        <v>517</v>
      </c>
      <c r="H94" s="617" t="s">
        <v>812</v>
      </c>
      <c r="I94" s="617" t="s">
        <v>813</v>
      </c>
      <c r="J94" s="617" t="s">
        <v>814</v>
      </c>
      <c r="K94" s="617" t="s">
        <v>815</v>
      </c>
      <c r="L94" s="619">
        <v>257.37000640821174</v>
      </c>
      <c r="M94" s="619">
        <v>1</v>
      </c>
      <c r="N94" s="620">
        <v>257.37000640821174</v>
      </c>
    </row>
    <row r="95" spans="1:14" ht="14.4" customHeight="1" x14ac:dyDescent="0.3">
      <c r="A95" s="615" t="s">
        <v>471</v>
      </c>
      <c r="B95" s="616" t="s">
        <v>2151</v>
      </c>
      <c r="C95" s="617" t="s">
        <v>476</v>
      </c>
      <c r="D95" s="618" t="s">
        <v>2152</v>
      </c>
      <c r="E95" s="617" t="s">
        <v>481</v>
      </c>
      <c r="F95" s="618" t="s">
        <v>2153</v>
      </c>
      <c r="G95" s="617" t="s">
        <v>517</v>
      </c>
      <c r="H95" s="617" t="s">
        <v>816</v>
      </c>
      <c r="I95" s="617" t="s">
        <v>817</v>
      </c>
      <c r="J95" s="617" t="s">
        <v>818</v>
      </c>
      <c r="K95" s="617"/>
      <c r="L95" s="619">
        <v>218.20010826369082</v>
      </c>
      <c r="M95" s="619">
        <v>22</v>
      </c>
      <c r="N95" s="620">
        <v>4800.4023818011983</v>
      </c>
    </row>
    <row r="96" spans="1:14" ht="14.4" customHeight="1" x14ac:dyDescent="0.3">
      <c r="A96" s="615" t="s">
        <v>471</v>
      </c>
      <c r="B96" s="616" t="s">
        <v>2151</v>
      </c>
      <c r="C96" s="617" t="s">
        <v>476</v>
      </c>
      <c r="D96" s="618" t="s">
        <v>2152</v>
      </c>
      <c r="E96" s="617" t="s">
        <v>481</v>
      </c>
      <c r="F96" s="618" t="s">
        <v>2153</v>
      </c>
      <c r="G96" s="617" t="s">
        <v>517</v>
      </c>
      <c r="H96" s="617" t="s">
        <v>819</v>
      </c>
      <c r="I96" s="617" t="s">
        <v>817</v>
      </c>
      <c r="J96" s="617" t="s">
        <v>820</v>
      </c>
      <c r="K96" s="617"/>
      <c r="L96" s="619">
        <v>140.75771714333513</v>
      </c>
      <c r="M96" s="619">
        <v>25</v>
      </c>
      <c r="N96" s="620">
        <v>3518.942928583378</v>
      </c>
    </row>
    <row r="97" spans="1:14" ht="14.4" customHeight="1" x14ac:dyDescent="0.3">
      <c r="A97" s="615" t="s">
        <v>471</v>
      </c>
      <c r="B97" s="616" t="s">
        <v>2151</v>
      </c>
      <c r="C97" s="617" t="s">
        <v>476</v>
      </c>
      <c r="D97" s="618" t="s">
        <v>2152</v>
      </c>
      <c r="E97" s="617" t="s">
        <v>481</v>
      </c>
      <c r="F97" s="618" t="s">
        <v>2153</v>
      </c>
      <c r="G97" s="617" t="s">
        <v>517</v>
      </c>
      <c r="H97" s="617" t="s">
        <v>821</v>
      </c>
      <c r="I97" s="617" t="s">
        <v>817</v>
      </c>
      <c r="J97" s="617" t="s">
        <v>822</v>
      </c>
      <c r="K97" s="617"/>
      <c r="L97" s="619">
        <v>98.284725323782425</v>
      </c>
      <c r="M97" s="619">
        <v>313</v>
      </c>
      <c r="N97" s="620">
        <v>30763.119026343898</v>
      </c>
    </row>
    <row r="98" spans="1:14" ht="14.4" customHeight="1" x14ac:dyDescent="0.3">
      <c r="A98" s="615" t="s">
        <v>471</v>
      </c>
      <c r="B98" s="616" t="s">
        <v>2151</v>
      </c>
      <c r="C98" s="617" t="s">
        <v>476</v>
      </c>
      <c r="D98" s="618" t="s">
        <v>2152</v>
      </c>
      <c r="E98" s="617" t="s">
        <v>481</v>
      </c>
      <c r="F98" s="618" t="s">
        <v>2153</v>
      </c>
      <c r="G98" s="617" t="s">
        <v>517</v>
      </c>
      <c r="H98" s="617" t="s">
        <v>823</v>
      </c>
      <c r="I98" s="617" t="s">
        <v>824</v>
      </c>
      <c r="J98" s="617" t="s">
        <v>825</v>
      </c>
      <c r="K98" s="617" t="s">
        <v>826</v>
      </c>
      <c r="L98" s="619">
        <v>72.267646976688852</v>
      </c>
      <c r="M98" s="619">
        <v>104</v>
      </c>
      <c r="N98" s="620">
        <v>7515.8352855756411</v>
      </c>
    </row>
    <row r="99" spans="1:14" ht="14.4" customHeight="1" x14ac:dyDescent="0.3">
      <c r="A99" s="615" t="s">
        <v>471</v>
      </c>
      <c r="B99" s="616" t="s">
        <v>2151</v>
      </c>
      <c r="C99" s="617" t="s">
        <v>476</v>
      </c>
      <c r="D99" s="618" t="s">
        <v>2152</v>
      </c>
      <c r="E99" s="617" t="s">
        <v>481</v>
      </c>
      <c r="F99" s="618" t="s">
        <v>2153</v>
      </c>
      <c r="G99" s="617" t="s">
        <v>517</v>
      </c>
      <c r="H99" s="617" t="s">
        <v>827</v>
      </c>
      <c r="I99" s="617" t="s">
        <v>817</v>
      </c>
      <c r="J99" s="617" t="s">
        <v>828</v>
      </c>
      <c r="K99" s="617" t="s">
        <v>829</v>
      </c>
      <c r="L99" s="619">
        <v>1377.5094999999999</v>
      </c>
      <c r="M99" s="619">
        <v>4</v>
      </c>
      <c r="N99" s="620">
        <v>5510.0379999999996</v>
      </c>
    </row>
    <row r="100" spans="1:14" ht="14.4" customHeight="1" x14ac:dyDescent="0.3">
      <c r="A100" s="615" t="s">
        <v>471</v>
      </c>
      <c r="B100" s="616" t="s">
        <v>2151</v>
      </c>
      <c r="C100" s="617" t="s">
        <v>476</v>
      </c>
      <c r="D100" s="618" t="s">
        <v>2152</v>
      </c>
      <c r="E100" s="617" t="s">
        <v>481</v>
      </c>
      <c r="F100" s="618" t="s">
        <v>2153</v>
      </c>
      <c r="G100" s="617" t="s">
        <v>517</v>
      </c>
      <c r="H100" s="617" t="s">
        <v>830</v>
      </c>
      <c r="I100" s="617" t="s">
        <v>831</v>
      </c>
      <c r="J100" s="617" t="s">
        <v>832</v>
      </c>
      <c r="K100" s="617" t="s">
        <v>833</v>
      </c>
      <c r="L100" s="619">
        <v>58.249999999999993</v>
      </c>
      <c r="M100" s="619">
        <v>3</v>
      </c>
      <c r="N100" s="620">
        <v>174.74999999999997</v>
      </c>
    </row>
    <row r="101" spans="1:14" ht="14.4" customHeight="1" x14ac:dyDescent="0.3">
      <c r="A101" s="615" t="s">
        <v>471</v>
      </c>
      <c r="B101" s="616" t="s">
        <v>2151</v>
      </c>
      <c r="C101" s="617" t="s">
        <v>476</v>
      </c>
      <c r="D101" s="618" t="s">
        <v>2152</v>
      </c>
      <c r="E101" s="617" t="s">
        <v>481</v>
      </c>
      <c r="F101" s="618" t="s">
        <v>2153</v>
      </c>
      <c r="G101" s="617" t="s">
        <v>517</v>
      </c>
      <c r="H101" s="617" t="s">
        <v>834</v>
      </c>
      <c r="I101" s="617" t="s">
        <v>835</v>
      </c>
      <c r="J101" s="617" t="s">
        <v>836</v>
      </c>
      <c r="K101" s="617" t="s">
        <v>723</v>
      </c>
      <c r="L101" s="619">
        <v>67.082541607994813</v>
      </c>
      <c r="M101" s="619">
        <v>11</v>
      </c>
      <c r="N101" s="620">
        <v>737.90795768794294</v>
      </c>
    </row>
    <row r="102" spans="1:14" ht="14.4" customHeight="1" x14ac:dyDescent="0.3">
      <c r="A102" s="615" t="s">
        <v>471</v>
      </c>
      <c r="B102" s="616" t="s">
        <v>2151</v>
      </c>
      <c r="C102" s="617" t="s">
        <v>476</v>
      </c>
      <c r="D102" s="618" t="s">
        <v>2152</v>
      </c>
      <c r="E102" s="617" t="s">
        <v>481</v>
      </c>
      <c r="F102" s="618" t="s">
        <v>2153</v>
      </c>
      <c r="G102" s="617" t="s">
        <v>517</v>
      </c>
      <c r="H102" s="617" t="s">
        <v>837</v>
      </c>
      <c r="I102" s="617" t="s">
        <v>838</v>
      </c>
      <c r="J102" s="617" t="s">
        <v>839</v>
      </c>
      <c r="K102" s="617" t="s">
        <v>840</v>
      </c>
      <c r="L102" s="619">
        <v>87.880000000000024</v>
      </c>
      <c r="M102" s="619">
        <v>1</v>
      </c>
      <c r="N102" s="620">
        <v>87.880000000000024</v>
      </c>
    </row>
    <row r="103" spans="1:14" ht="14.4" customHeight="1" x14ac:dyDescent="0.3">
      <c r="A103" s="615" t="s">
        <v>471</v>
      </c>
      <c r="B103" s="616" t="s">
        <v>2151</v>
      </c>
      <c r="C103" s="617" t="s">
        <v>476</v>
      </c>
      <c r="D103" s="618" t="s">
        <v>2152</v>
      </c>
      <c r="E103" s="617" t="s">
        <v>481</v>
      </c>
      <c r="F103" s="618" t="s">
        <v>2153</v>
      </c>
      <c r="G103" s="617" t="s">
        <v>517</v>
      </c>
      <c r="H103" s="617" t="s">
        <v>841</v>
      </c>
      <c r="I103" s="617" t="s">
        <v>842</v>
      </c>
      <c r="J103" s="617" t="s">
        <v>843</v>
      </c>
      <c r="K103" s="617" t="s">
        <v>844</v>
      </c>
      <c r="L103" s="619">
        <v>112.96</v>
      </c>
      <c r="M103" s="619">
        <v>6</v>
      </c>
      <c r="N103" s="620">
        <v>677.76</v>
      </c>
    </row>
    <row r="104" spans="1:14" ht="14.4" customHeight="1" x14ac:dyDescent="0.3">
      <c r="A104" s="615" t="s">
        <v>471</v>
      </c>
      <c r="B104" s="616" t="s">
        <v>2151</v>
      </c>
      <c r="C104" s="617" t="s">
        <v>476</v>
      </c>
      <c r="D104" s="618" t="s">
        <v>2152</v>
      </c>
      <c r="E104" s="617" t="s">
        <v>481</v>
      </c>
      <c r="F104" s="618" t="s">
        <v>2153</v>
      </c>
      <c r="G104" s="617" t="s">
        <v>517</v>
      </c>
      <c r="H104" s="617" t="s">
        <v>845</v>
      </c>
      <c r="I104" s="617" t="s">
        <v>846</v>
      </c>
      <c r="J104" s="617" t="s">
        <v>847</v>
      </c>
      <c r="K104" s="617" t="s">
        <v>848</v>
      </c>
      <c r="L104" s="619">
        <v>34.330000000000013</v>
      </c>
      <c r="M104" s="619">
        <v>1</v>
      </c>
      <c r="N104" s="620">
        <v>34.330000000000013</v>
      </c>
    </row>
    <row r="105" spans="1:14" ht="14.4" customHeight="1" x14ac:dyDescent="0.3">
      <c r="A105" s="615" t="s">
        <v>471</v>
      </c>
      <c r="B105" s="616" t="s">
        <v>2151</v>
      </c>
      <c r="C105" s="617" t="s">
        <v>476</v>
      </c>
      <c r="D105" s="618" t="s">
        <v>2152</v>
      </c>
      <c r="E105" s="617" t="s">
        <v>481</v>
      </c>
      <c r="F105" s="618" t="s">
        <v>2153</v>
      </c>
      <c r="G105" s="617" t="s">
        <v>517</v>
      </c>
      <c r="H105" s="617" t="s">
        <v>849</v>
      </c>
      <c r="I105" s="617" t="s">
        <v>850</v>
      </c>
      <c r="J105" s="617" t="s">
        <v>851</v>
      </c>
      <c r="K105" s="617" t="s">
        <v>852</v>
      </c>
      <c r="L105" s="619">
        <v>60.55415347866662</v>
      </c>
      <c r="M105" s="619">
        <v>277</v>
      </c>
      <c r="N105" s="620">
        <v>16773.500513590654</v>
      </c>
    </row>
    <row r="106" spans="1:14" ht="14.4" customHeight="1" x14ac:dyDescent="0.3">
      <c r="A106" s="615" t="s">
        <v>471</v>
      </c>
      <c r="B106" s="616" t="s">
        <v>2151</v>
      </c>
      <c r="C106" s="617" t="s">
        <v>476</v>
      </c>
      <c r="D106" s="618" t="s">
        <v>2152</v>
      </c>
      <c r="E106" s="617" t="s">
        <v>481</v>
      </c>
      <c r="F106" s="618" t="s">
        <v>2153</v>
      </c>
      <c r="G106" s="617" t="s">
        <v>517</v>
      </c>
      <c r="H106" s="617" t="s">
        <v>853</v>
      </c>
      <c r="I106" s="617" t="s">
        <v>854</v>
      </c>
      <c r="J106" s="617" t="s">
        <v>855</v>
      </c>
      <c r="K106" s="617" t="s">
        <v>856</v>
      </c>
      <c r="L106" s="619">
        <v>96.839999999999975</v>
      </c>
      <c r="M106" s="619">
        <v>2</v>
      </c>
      <c r="N106" s="620">
        <v>193.67999999999995</v>
      </c>
    </row>
    <row r="107" spans="1:14" ht="14.4" customHeight="1" x14ac:dyDescent="0.3">
      <c r="A107" s="615" t="s">
        <v>471</v>
      </c>
      <c r="B107" s="616" t="s">
        <v>2151</v>
      </c>
      <c r="C107" s="617" t="s">
        <v>476</v>
      </c>
      <c r="D107" s="618" t="s">
        <v>2152</v>
      </c>
      <c r="E107" s="617" t="s">
        <v>481</v>
      </c>
      <c r="F107" s="618" t="s">
        <v>2153</v>
      </c>
      <c r="G107" s="617" t="s">
        <v>517</v>
      </c>
      <c r="H107" s="617" t="s">
        <v>857</v>
      </c>
      <c r="I107" s="617" t="s">
        <v>858</v>
      </c>
      <c r="J107" s="617" t="s">
        <v>696</v>
      </c>
      <c r="K107" s="617" t="s">
        <v>859</v>
      </c>
      <c r="L107" s="619">
        <v>60.554777444278507</v>
      </c>
      <c r="M107" s="619">
        <v>25</v>
      </c>
      <c r="N107" s="620">
        <v>1513.8694361069627</v>
      </c>
    </row>
    <row r="108" spans="1:14" ht="14.4" customHeight="1" x14ac:dyDescent="0.3">
      <c r="A108" s="615" t="s">
        <v>471</v>
      </c>
      <c r="B108" s="616" t="s">
        <v>2151</v>
      </c>
      <c r="C108" s="617" t="s">
        <v>476</v>
      </c>
      <c r="D108" s="618" t="s">
        <v>2152</v>
      </c>
      <c r="E108" s="617" t="s">
        <v>481</v>
      </c>
      <c r="F108" s="618" t="s">
        <v>2153</v>
      </c>
      <c r="G108" s="617" t="s">
        <v>517</v>
      </c>
      <c r="H108" s="617" t="s">
        <v>860</v>
      </c>
      <c r="I108" s="617" t="s">
        <v>861</v>
      </c>
      <c r="J108" s="617" t="s">
        <v>862</v>
      </c>
      <c r="K108" s="617" t="s">
        <v>863</v>
      </c>
      <c r="L108" s="619">
        <v>34.670029452018589</v>
      </c>
      <c r="M108" s="619">
        <v>5</v>
      </c>
      <c r="N108" s="620">
        <v>173.35014726009294</v>
      </c>
    </row>
    <row r="109" spans="1:14" ht="14.4" customHeight="1" x14ac:dyDescent="0.3">
      <c r="A109" s="615" t="s">
        <v>471</v>
      </c>
      <c r="B109" s="616" t="s">
        <v>2151</v>
      </c>
      <c r="C109" s="617" t="s">
        <v>476</v>
      </c>
      <c r="D109" s="618" t="s">
        <v>2152</v>
      </c>
      <c r="E109" s="617" t="s">
        <v>481</v>
      </c>
      <c r="F109" s="618" t="s">
        <v>2153</v>
      </c>
      <c r="G109" s="617" t="s">
        <v>517</v>
      </c>
      <c r="H109" s="617" t="s">
        <v>864</v>
      </c>
      <c r="I109" s="617" t="s">
        <v>865</v>
      </c>
      <c r="J109" s="617" t="s">
        <v>866</v>
      </c>
      <c r="K109" s="617" t="s">
        <v>632</v>
      </c>
      <c r="L109" s="619">
        <v>61.73</v>
      </c>
      <c r="M109" s="619">
        <v>1</v>
      </c>
      <c r="N109" s="620">
        <v>61.73</v>
      </c>
    </row>
    <row r="110" spans="1:14" ht="14.4" customHeight="1" x14ac:dyDescent="0.3">
      <c r="A110" s="615" t="s">
        <v>471</v>
      </c>
      <c r="B110" s="616" t="s">
        <v>2151</v>
      </c>
      <c r="C110" s="617" t="s">
        <v>476</v>
      </c>
      <c r="D110" s="618" t="s">
        <v>2152</v>
      </c>
      <c r="E110" s="617" t="s">
        <v>481</v>
      </c>
      <c r="F110" s="618" t="s">
        <v>2153</v>
      </c>
      <c r="G110" s="617" t="s">
        <v>517</v>
      </c>
      <c r="H110" s="617" t="s">
        <v>867</v>
      </c>
      <c r="I110" s="617" t="s">
        <v>868</v>
      </c>
      <c r="J110" s="617" t="s">
        <v>869</v>
      </c>
      <c r="K110" s="617" t="s">
        <v>870</v>
      </c>
      <c r="L110" s="619">
        <v>175.03001399126146</v>
      </c>
      <c r="M110" s="619">
        <v>5</v>
      </c>
      <c r="N110" s="620">
        <v>875.15006995630733</v>
      </c>
    </row>
    <row r="111" spans="1:14" ht="14.4" customHeight="1" x14ac:dyDescent="0.3">
      <c r="A111" s="615" t="s">
        <v>471</v>
      </c>
      <c r="B111" s="616" t="s">
        <v>2151</v>
      </c>
      <c r="C111" s="617" t="s">
        <v>476</v>
      </c>
      <c r="D111" s="618" t="s">
        <v>2152</v>
      </c>
      <c r="E111" s="617" t="s">
        <v>481</v>
      </c>
      <c r="F111" s="618" t="s">
        <v>2153</v>
      </c>
      <c r="G111" s="617" t="s">
        <v>517</v>
      </c>
      <c r="H111" s="617" t="s">
        <v>871</v>
      </c>
      <c r="I111" s="617" t="s">
        <v>817</v>
      </c>
      <c r="J111" s="617" t="s">
        <v>872</v>
      </c>
      <c r="K111" s="617"/>
      <c r="L111" s="619">
        <v>191.13168587426253</v>
      </c>
      <c r="M111" s="619">
        <v>102</v>
      </c>
      <c r="N111" s="620">
        <v>19495.431959174777</v>
      </c>
    </row>
    <row r="112" spans="1:14" ht="14.4" customHeight="1" x14ac:dyDescent="0.3">
      <c r="A112" s="615" t="s">
        <v>471</v>
      </c>
      <c r="B112" s="616" t="s">
        <v>2151</v>
      </c>
      <c r="C112" s="617" t="s">
        <v>476</v>
      </c>
      <c r="D112" s="618" t="s">
        <v>2152</v>
      </c>
      <c r="E112" s="617" t="s">
        <v>481</v>
      </c>
      <c r="F112" s="618" t="s">
        <v>2153</v>
      </c>
      <c r="G112" s="617" t="s">
        <v>517</v>
      </c>
      <c r="H112" s="617" t="s">
        <v>873</v>
      </c>
      <c r="I112" s="617" t="s">
        <v>817</v>
      </c>
      <c r="J112" s="617" t="s">
        <v>874</v>
      </c>
      <c r="K112" s="617"/>
      <c r="L112" s="619">
        <v>154.67694167188657</v>
      </c>
      <c r="M112" s="619">
        <v>17</v>
      </c>
      <c r="N112" s="620">
        <v>2629.5080084220717</v>
      </c>
    </row>
    <row r="113" spans="1:14" ht="14.4" customHeight="1" x14ac:dyDescent="0.3">
      <c r="A113" s="615" t="s">
        <v>471</v>
      </c>
      <c r="B113" s="616" t="s">
        <v>2151</v>
      </c>
      <c r="C113" s="617" t="s">
        <v>476</v>
      </c>
      <c r="D113" s="618" t="s">
        <v>2152</v>
      </c>
      <c r="E113" s="617" t="s">
        <v>481</v>
      </c>
      <c r="F113" s="618" t="s">
        <v>2153</v>
      </c>
      <c r="G113" s="617" t="s">
        <v>517</v>
      </c>
      <c r="H113" s="617" t="s">
        <v>875</v>
      </c>
      <c r="I113" s="617" t="s">
        <v>817</v>
      </c>
      <c r="J113" s="617" t="s">
        <v>876</v>
      </c>
      <c r="K113" s="617"/>
      <c r="L113" s="619">
        <v>88.989999999999981</v>
      </c>
      <c r="M113" s="619">
        <v>5</v>
      </c>
      <c r="N113" s="620">
        <v>444.94999999999987</v>
      </c>
    </row>
    <row r="114" spans="1:14" ht="14.4" customHeight="1" x14ac:dyDescent="0.3">
      <c r="A114" s="615" t="s">
        <v>471</v>
      </c>
      <c r="B114" s="616" t="s">
        <v>2151</v>
      </c>
      <c r="C114" s="617" t="s">
        <v>476</v>
      </c>
      <c r="D114" s="618" t="s">
        <v>2152</v>
      </c>
      <c r="E114" s="617" t="s">
        <v>481</v>
      </c>
      <c r="F114" s="618" t="s">
        <v>2153</v>
      </c>
      <c r="G114" s="617" t="s">
        <v>517</v>
      </c>
      <c r="H114" s="617" t="s">
        <v>877</v>
      </c>
      <c r="I114" s="617" t="s">
        <v>779</v>
      </c>
      <c r="J114" s="617" t="s">
        <v>878</v>
      </c>
      <c r="K114" s="617" t="s">
        <v>879</v>
      </c>
      <c r="L114" s="619">
        <v>54.47</v>
      </c>
      <c r="M114" s="619">
        <v>1</v>
      </c>
      <c r="N114" s="620">
        <v>54.47</v>
      </c>
    </row>
    <row r="115" spans="1:14" ht="14.4" customHeight="1" x14ac:dyDescent="0.3">
      <c r="A115" s="615" t="s">
        <v>471</v>
      </c>
      <c r="B115" s="616" t="s">
        <v>2151</v>
      </c>
      <c r="C115" s="617" t="s">
        <v>476</v>
      </c>
      <c r="D115" s="618" t="s">
        <v>2152</v>
      </c>
      <c r="E115" s="617" t="s">
        <v>481</v>
      </c>
      <c r="F115" s="618" t="s">
        <v>2153</v>
      </c>
      <c r="G115" s="617" t="s">
        <v>517</v>
      </c>
      <c r="H115" s="617" t="s">
        <v>880</v>
      </c>
      <c r="I115" s="617" t="s">
        <v>880</v>
      </c>
      <c r="J115" s="617" t="s">
        <v>519</v>
      </c>
      <c r="K115" s="617" t="s">
        <v>881</v>
      </c>
      <c r="L115" s="619">
        <v>192.5001639123048</v>
      </c>
      <c r="M115" s="619">
        <v>41</v>
      </c>
      <c r="N115" s="620">
        <v>7892.5067204044963</v>
      </c>
    </row>
    <row r="116" spans="1:14" ht="14.4" customHeight="1" x14ac:dyDescent="0.3">
      <c r="A116" s="615" t="s">
        <v>471</v>
      </c>
      <c r="B116" s="616" t="s">
        <v>2151</v>
      </c>
      <c r="C116" s="617" t="s">
        <v>476</v>
      </c>
      <c r="D116" s="618" t="s">
        <v>2152</v>
      </c>
      <c r="E116" s="617" t="s">
        <v>481</v>
      </c>
      <c r="F116" s="618" t="s">
        <v>2153</v>
      </c>
      <c r="G116" s="617" t="s">
        <v>517</v>
      </c>
      <c r="H116" s="617" t="s">
        <v>882</v>
      </c>
      <c r="I116" s="617" t="s">
        <v>882</v>
      </c>
      <c r="J116" s="617" t="s">
        <v>883</v>
      </c>
      <c r="K116" s="617" t="s">
        <v>884</v>
      </c>
      <c r="L116" s="619">
        <v>94.250001173357333</v>
      </c>
      <c r="M116" s="619">
        <v>2</v>
      </c>
      <c r="N116" s="620">
        <v>188.50000234671467</v>
      </c>
    </row>
    <row r="117" spans="1:14" ht="14.4" customHeight="1" x14ac:dyDescent="0.3">
      <c r="A117" s="615" t="s">
        <v>471</v>
      </c>
      <c r="B117" s="616" t="s">
        <v>2151</v>
      </c>
      <c r="C117" s="617" t="s">
        <v>476</v>
      </c>
      <c r="D117" s="618" t="s">
        <v>2152</v>
      </c>
      <c r="E117" s="617" t="s">
        <v>481</v>
      </c>
      <c r="F117" s="618" t="s">
        <v>2153</v>
      </c>
      <c r="G117" s="617" t="s">
        <v>517</v>
      </c>
      <c r="H117" s="617" t="s">
        <v>885</v>
      </c>
      <c r="I117" s="617" t="s">
        <v>886</v>
      </c>
      <c r="J117" s="617" t="s">
        <v>887</v>
      </c>
      <c r="K117" s="617" t="s">
        <v>888</v>
      </c>
      <c r="L117" s="619">
        <v>42.194019760751488</v>
      </c>
      <c r="M117" s="619">
        <v>102</v>
      </c>
      <c r="N117" s="620">
        <v>4303.7900155966518</v>
      </c>
    </row>
    <row r="118" spans="1:14" ht="14.4" customHeight="1" x14ac:dyDescent="0.3">
      <c r="A118" s="615" t="s">
        <v>471</v>
      </c>
      <c r="B118" s="616" t="s">
        <v>2151</v>
      </c>
      <c r="C118" s="617" t="s">
        <v>476</v>
      </c>
      <c r="D118" s="618" t="s">
        <v>2152</v>
      </c>
      <c r="E118" s="617" t="s">
        <v>481</v>
      </c>
      <c r="F118" s="618" t="s">
        <v>2153</v>
      </c>
      <c r="G118" s="617" t="s">
        <v>517</v>
      </c>
      <c r="H118" s="617" t="s">
        <v>889</v>
      </c>
      <c r="I118" s="617" t="s">
        <v>890</v>
      </c>
      <c r="J118" s="617" t="s">
        <v>891</v>
      </c>
      <c r="K118" s="617" t="s">
        <v>543</v>
      </c>
      <c r="L118" s="619">
        <v>57.120000146661674</v>
      </c>
      <c r="M118" s="619">
        <v>65</v>
      </c>
      <c r="N118" s="620">
        <v>3712.800009533009</v>
      </c>
    </row>
    <row r="119" spans="1:14" ht="14.4" customHeight="1" x14ac:dyDescent="0.3">
      <c r="A119" s="615" t="s">
        <v>471</v>
      </c>
      <c r="B119" s="616" t="s">
        <v>2151</v>
      </c>
      <c r="C119" s="617" t="s">
        <v>476</v>
      </c>
      <c r="D119" s="618" t="s">
        <v>2152</v>
      </c>
      <c r="E119" s="617" t="s">
        <v>481</v>
      </c>
      <c r="F119" s="618" t="s">
        <v>2153</v>
      </c>
      <c r="G119" s="617" t="s">
        <v>517</v>
      </c>
      <c r="H119" s="617" t="s">
        <v>892</v>
      </c>
      <c r="I119" s="617" t="s">
        <v>893</v>
      </c>
      <c r="J119" s="617" t="s">
        <v>894</v>
      </c>
      <c r="K119" s="617" t="s">
        <v>539</v>
      </c>
      <c r="L119" s="619">
        <v>123.647942414017</v>
      </c>
      <c r="M119" s="619">
        <v>300</v>
      </c>
      <c r="N119" s="620">
        <v>37094.382724205097</v>
      </c>
    </row>
    <row r="120" spans="1:14" ht="14.4" customHeight="1" x14ac:dyDescent="0.3">
      <c r="A120" s="615" t="s">
        <v>471</v>
      </c>
      <c r="B120" s="616" t="s">
        <v>2151</v>
      </c>
      <c r="C120" s="617" t="s">
        <v>476</v>
      </c>
      <c r="D120" s="618" t="s">
        <v>2152</v>
      </c>
      <c r="E120" s="617" t="s">
        <v>481</v>
      </c>
      <c r="F120" s="618" t="s">
        <v>2153</v>
      </c>
      <c r="G120" s="617" t="s">
        <v>517</v>
      </c>
      <c r="H120" s="617" t="s">
        <v>895</v>
      </c>
      <c r="I120" s="617" t="s">
        <v>896</v>
      </c>
      <c r="J120" s="617" t="s">
        <v>897</v>
      </c>
      <c r="K120" s="617" t="s">
        <v>898</v>
      </c>
      <c r="L120" s="619">
        <v>60.279847147399103</v>
      </c>
      <c r="M120" s="619">
        <v>127</v>
      </c>
      <c r="N120" s="620">
        <v>7655.5405877196863</v>
      </c>
    </row>
    <row r="121" spans="1:14" ht="14.4" customHeight="1" x14ac:dyDescent="0.3">
      <c r="A121" s="615" t="s">
        <v>471</v>
      </c>
      <c r="B121" s="616" t="s">
        <v>2151</v>
      </c>
      <c r="C121" s="617" t="s">
        <v>476</v>
      </c>
      <c r="D121" s="618" t="s">
        <v>2152</v>
      </c>
      <c r="E121" s="617" t="s">
        <v>481</v>
      </c>
      <c r="F121" s="618" t="s">
        <v>2153</v>
      </c>
      <c r="G121" s="617" t="s">
        <v>517</v>
      </c>
      <c r="H121" s="617" t="s">
        <v>899</v>
      </c>
      <c r="I121" s="617" t="s">
        <v>900</v>
      </c>
      <c r="J121" s="617" t="s">
        <v>901</v>
      </c>
      <c r="K121" s="617" t="s">
        <v>902</v>
      </c>
      <c r="L121" s="619">
        <v>50.930000000000021</v>
      </c>
      <c r="M121" s="619">
        <v>1</v>
      </c>
      <c r="N121" s="620">
        <v>50.930000000000021</v>
      </c>
    </row>
    <row r="122" spans="1:14" ht="14.4" customHeight="1" x14ac:dyDescent="0.3">
      <c r="A122" s="615" t="s">
        <v>471</v>
      </c>
      <c r="B122" s="616" t="s">
        <v>2151</v>
      </c>
      <c r="C122" s="617" t="s">
        <v>476</v>
      </c>
      <c r="D122" s="618" t="s">
        <v>2152</v>
      </c>
      <c r="E122" s="617" t="s">
        <v>481</v>
      </c>
      <c r="F122" s="618" t="s">
        <v>2153</v>
      </c>
      <c r="G122" s="617" t="s">
        <v>517</v>
      </c>
      <c r="H122" s="617" t="s">
        <v>903</v>
      </c>
      <c r="I122" s="617" t="s">
        <v>904</v>
      </c>
      <c r="J122" s="617" t="s">
        <v>905</v>
      </c>
      <c r="K122" s="617" t="s">
        <v>906</v>
      </c>
      <c r="L122" s="619">
        <v>61.605000000000011</v>
      </c>
      <c r="M122" s="619">
        <v>6</v>
      </c>
      <c r="N122" s="620">
        <v>369.63000000000005</v>
      </c>
    </row>
    <row r="123" spans="1:14" ht="14.4" customHeight="1" x14ac:dyDescent="0.3">
      <c r="A123" s="615" t="s">
        <v>471</v>
      </c>
      <c r="B123" s="616" t="s">
        <v>2151</v>
      </c>
      <c r="C123" s="617" t="s">
        <v>476</v>
      </c>
      <c r="D123" s="618" t="s">
        <v>2152</v>
      </c>
      <c r="E123" s="617" t="s">
        <v>481</v>
      </c>
      <c r="F123" s="618" t="s">
        <v>2153</v>
      </c>
      <c r="G123" s="617" t="s">
        <v>517</v>
      </c>
      <c r="H123" s="617" t="s">
        <v>907</v>
      </c>
      <c r="I123" s="617" t="s">
        <v>908</v>
      </c>
      <c r="J123" s="617" t="s">
        <v>909</v>
      </c>
      <c r="K123" s="617" t="s">
        <v>910</v>
      </c>
      <c r="L123" s="619">
        <v>1594.5878176177632</v>
      </c>
      <c r="M123" s="619">
        <v>94.4</v>
      </c>
      <c r="N123" s="620">
        <v>150529.08998311686</v>
      </c>
    </row>
    <row r="124" spans="1:14" ht="14.4" customHeight="1" x14ac:dyDescent="0.3">
      <c r="A124" s="615" t="s">
        <v>471</v>
      </c>
      <c r="B124" s="616" t="s">
        <v>2151</v>
      </c>
      <c r="C124" s="617" t="s">
        <v>476</v>
      </c>
      <c r="D124" s="618" t="s">
        <v>2152</v>
      </c>
      <c r="E124" s="617" t="s">
        <v>481</v>
      </c>
      <c r="F124" s="618" t="s">
        <v>2153</v>
      </c>
      <c r="G124" s="617" t="s">
        <v>517</v>
      </c>
      <c r="H124" s="617" t="s">
        <v>911</v>
      </c>
      <c r="I124" s="617" t="s">
        <v>912</v>
      </c>
      <c r="J124" s="617" t="s">
        <v>913</v>
      </c>
      <c r="K124" s="617" t="s">
        <v>914</v>
      </c>
      <c r="L124" s="619">
        <v>71.449999999999989</v>
      </c>
      <c r="M124" s="619">
        <v>2</v>
      </c>
      <c r="N124" s="620">
        <v>142.89999999999998</v>
      </c>
    </row>
    <row r="125" spans="1:14" ht="14.4" customHeight="1" x14ac:dyDescent="0.3">
      <c r="A125" s="615" t="s">
        <v>471</v>
      </c>
      <c r="B125" s="616" t="s">
        <v>2151</v>
      </c>
      <c r="C125" s="617" t="s">
        <v>476</v>
      </c>
      <c r="D125" s="618" t="s">
        <v>2152</v>
      </c>
      <c r="E125" s="617" t="s">
        <v>481</v>
      </c>
      <c r="F125" s="618" t="s">
        <v>2153</v>
      </c>
      <c r="G125" s="617" t="s">
        <v>517</v>
      </c>
      <c r="H125" s="617" t="s">
        <v>915</v>
      </c>
      <c r="I125" s="617" t="s">
        <v>916</v>
      </c>
      <c r="J125" s="617" t="s">
        <v>917</v>
      </c>
      <c r="K125" s="617" t="s">
        <v>918</v>
      </c>
      <c r="L125" s="619">
        <v>74.879984473430625</v>
      </c>
      <c r="M125" s="619">
        <v>87.75</v>
      </c>
      <c r="N125" s="620">
        <v>6570.7186375435367</v>
      </c>
    </row>
    <row r="126" spans="1:14" ht="14.4" customHeight="1" x14ac:dyDescent="0.3">
      <c r="A126" s="615" t="s">
        <v>471</v>
      </c>
      <c r="B126" s="616" t="s">
        <v>2151</v>
      </c>
      <c r="C126" s="617" t="s">
        <v>476</v>
      </c>
      <c r="D126" s="618" t="s">
        <v>2152</v>
      </c>
      <c r="E126" s="617" t="s">
        <v>481</v>
      </c>
      <c r="F126" s="618" t="s">
        <v>2153</v>
      </c>
      <c r="G126" s="617" t="s">
        <v>517</v>
      </c>
      <c r="H126" s="617" t="s">
        <v>919</v>
      </c>
      <c r="I126" s="617" t="s">
        <v>920</v>
      </c>
      <c r="J126" s="617" t="s">
        <v>654</v>
      </c>
      <c r="K126" s="617" t="s">
        <v>921</v>
      </c>
      <c r="L126" s="619">
        <v>241.99983405830403</v>
      </c>
      <c r="M126" s="619">
        <v>159</v>
      </c>
      <c r="N126" s="620">
        <v>38477.973615270341</v>
      </c>
    </row>
    <row r="127" spans="1:14" ht="14.4" customHeight="1" x14ac:dyDescent="0.3">
      <c r="A127" s="615" t="s">
        <v>471</v>
      </c>
      <c r="B127" s="616" t="s">
        <v>2151</v>
      </c>
      <c r="C127" s="617" t="s">
        <v>476</v>
      </c>
      <c r="D127" s="618" t="s">
        <v>2152</v>
      </c>
      <c r="E127" s="617" t="s">
        <v>481</v>
      </c>
      <c r="F127" s="618" t="s">
        <v>2153</v>
      </c>
      <c r="G127" s="617" t="s">
        <v>517</v>
      </c>
      <c r="H127" s="617" t="s">
        <v>922</v>
      </c>
      <c r="I127" s="617" t="s">
        <v>923</v>
      </c>
      <c r="J127" s="617" t="s">
        <v>924</v>
      </c>
      <c r="K127" s="617" t="s">
        <v>925</v>
      </c>
      <c r="L127" s="619">
        <v>23.870000000000005</v>
      </c>
      <c r="M127" s="619">
        <v>4</v>
      </c>
      <c r="N127" s="620">
        <v>95.480000000000018</v>
      </c>
    </row>
    <row r="128" spans="1:14" ht="14.4" customHeight="1" x14ac:dyDescent="0.3">
      <c r="A128" s="615" t="s">
        <v>471</v>
      </c>
      <c r="B128" s="616" t="s">
        <v>2151</v>
      </c>
      <c r="C128" s="617" t="s">
        <v>476</v>
      </c>
      <c r="D128" s="618" t="s">
        <v>2152</v>
      </c>
      <c r="E128" s="617" t="s">
        <v>481</v>
      </c>
      <c r="F128" s="618" t="s">
        <v>2153</v>
      </c>
      <c r="G128" s="617" t="s">
        <v>517</v>
      </c>
      <c r="H128" s="617" t="s">
        <v>926</v>
      </c>
      <c r="I128" s="617" t="s">
        <v>927</v>
      </c>
      <c r="J128" s="617" t="s">
        <v>928</v>
      </c>
      <c r="K128" s="617" t="s">
        <v>929</v>
      </c>
      <c r="L128" s="619">
        <v>1646.0435863592222</v>
      </c>
      <c r="M128" s="619">
        <v>98</v>
      </c>
      <c r="N128" s="620">
        <v>161312.27146320377</v>
      </c>
    </row>
    <row r="129" spans="1:14" ht="14.4" customHeight="1" x14ac:dyDescent="0.3">
      <c r="A129" s="615" t="s">
        <v>471</v>
      </c>
      <c r="B129" s="616" t="s">
        <v>2151</v>
      </c>
      <c r="C129" s="617" t="s">
        <v>476</v>
      </c>
      <c r="D129" s="618" t="s">
        <v>2152</v>
      </c>
      <c r="E129" s="617" t="s">
        <v>481</v>
      </c>
      <c r="F129" s="618" t="s">
        <v>2153</v>
      </c>
      <c r="G129" s="617" t="s">
        <v>517</v>
      </c>
      <c r="H129" s="617" t="s">
        <v>930</v>
      </c>
      <c r="I129" s="617" t="s">
        <v>931</v>
      </c>
      <c r="J129" s="617" t="s">
        <v>932</v>
      </c>
      <c r="K129" s="617" t="s">
        <v>933</v>
      </c>
      <c r="L129" s="619">
        <v>60.359999999999985</v>
      </c>
      <c r="M129" s="619">
        <v>4</v>
      </c>
      <c r="N129" s="620">
        <v>241.43999999999994</v>
      </c>
    </row>
    <row r="130" spans="1:14" ht="14.4" customHeight="1" x14ac:dyDescent="0.3">
      <c r="A130" s="615" t="s">
        <v>471</v>
      </c>
      <c r="B130" s="616" t="s">
        <v>2151</v>
      </c>
      <c r="C130" s="617" t="s">
        <v>476</v>
      </c>
      <c r="D130" s="618" t="s">
        <v>2152</v>
      </c>
      <c r="E130" s="617" t="s">
        <v>481</v>
      </c>
      <c r="F130" s="618" t="s">
        <v>2153</v>
      </c>
      <c r="G130" s="617" t="s">
        <v>517</v>
      </c>
      <c r="H130" s="617" t="s">
        <v>934</v>
      </c>
      <c r="I130" s="617" t="s">
        <v>935</v>
      </c>
      <c r="J130" s="617" t="s">
        <v>936</v>
      </c>
      <c r="K130" s="617" t="s">
        <v>937</v>
      </c>
      <c r="L130" s="619">
        <v>1057.1203628182009</v>
      </c>
      <c r="M130" s="619">
        <v>13</v>
      </c>
      <c r="N130" s="620">
        <v>13742.564716636613</v>
      </c>
    </row>
    <row r="131" spans="1:14" ht="14.4" customHeight="1" x14ac:dyDescent="0.3">
      <c r="A131" s="615" t="s">
        <v>471</v>
      </c>
      <c r="B131" s="616" t="s">
        <v>2151</v>
      </c>
      <c r="C131" s="617" t="s">
        <v>476</v>
      </c>
      <c r="D131" s="618" t="s">
        <v>2152</v>
      </c>
      <c r="E131" s="617" t="s">
        <v>481</v>
      </c>
      <c r="F131" s="618" t="s">
        <v>2153</v>
      </c>
      <c r="G131" s="617" t="s">
        <v>517</v>
      </c>
      <c r="H131" s="617" t="s">
        <v>938</v>
      </c>
      <c r="I131" s="617" t="s">
        <v>939</v>
      </c>
      <c r="J131" s="617" t="s">
        <v>940</v>
      </c>
      <c r="K131" s="617" t="s">
        <v>941</v>
      </c>
      <c r="L131" s="619">
        <v>188.87949403352332</v>
      </c>
      <c r="M131" s="619">
        <v>15</v>
      </c>
      <c r="N131" s="620">
        <v>2833.1924105028497</v>
      </c>
    </row>
    <row r="132" spans="1:14" ht="14.4" customHeight="1" x14ac:dyDescent="0.3">
      <c r="A132" s="615" t="s">
        <v>471</v>
      </c>
      <c r="B132" s="616" t="s">
        <v>2151</v>
      </c>
      <c r="C132" s="617" t="s">
        <v>476</v>
      </c>
      <c r="D132" s="618" t="s">
        <v>2152</v>
      </c>
      <c r="E132" s="617" t="s">
        <v>481</v>
      </c>
      <c r="F132" s="618" t="s">
        <v>2153</v>
      </c>
      <c r="G132" s="617" t="s">
        <v>517</v>
      </c>
      <c r="H132" s="617" t="s">
        <v>942</v>
      </c>
      <c r="I132" s="617" t="s">
        <v>943</v>
      </c>
      <c r="J132" s="617" t="s">
        <v>944</v>
      </c>
      <c r="K132" s="617" t="s">
        <v>945</v>
      </c>
      <c r="L132" s="619">
        <v>105.11000000000004</v>
      </c>
      <c r="M132" s="619">
        <v>1</v>
      </c>
      <c r="N132" s="620">
        <v>105.11000000000004</v>
      </c>
    </row>
    <row r="133" spans="1:14" ht="14.4" customHeight="1" x14ac:dyDescent="0.3">
      <c r="A133" s="615" t="s">
        <v>471</v>
      </c>
      <c r="B133" s="616" t="s">
        <v>2151</v>
      </c>
      <c r="C133" s="617" t="s">
        <v>476</v>
      </c>
      <c r="D133" s="618" t="s">
        <v>2152</v>
      </c>
      <c r="E133" s="617" t="s">
        <v>481</v>
      </c>
      <c r="F133" s="618" t="s">
        <v>2153</v>
      </c>
      <c r="G133" s="617" t="s">
        <v>517</v>
      </c>
      <c r="H133" s="617" t="s">
        <v>946</v>
      </c>
      <c r="I133" s="617" t="s">
        <v>947</v>
      </c>
      <c r="J133" s="617" t="s">
        <v>948</v>
      </c>
      <c r="K133" s="617" t="s">
        <v>949</v>
      </c>
      <c r="L133" s="619">
        <v>413.15376070754331</v>
      </c>
      <c r="M133" s="619">
        <v>19</v>
      </c>
      <c r="N133" s="620">
        <v>7849.9214534433231</v>
      </c>
    </row>
    <row r="134" spans="1:14" ht="14.4" customHeight="1" x14ac:dyDescent="0.3">
      <c r="A134" s="615" t="s">
        <v>471</v>
      </c>
      <c r="B134" s="616" t="s">
        <v>2151</v>
      </c>
      <c r="C134" s="617" t="s">
        <v>476</v>
      </c>
      <c r="D134" s="618" t="s">
        <v>2152</v>
      </c>
      <c r="E134" s="617" t="s">
        <v>481</v>
      </c>
      <c r="F134" s="618" t="s">
        <v>2153</v>
      </c>
      <c r="G134" s="617" t="s">
        <v>517</v>
      </c>
      <c r="H134" s="617" t="s">
        <v>950</v>
      </c>
      <c r="I134" s="617" t="s">
        <v>951</v>
      </c>
      <c r="J134" s="617" t="s">
        <v>952</v>
      </c>
      <c r="K134" s="617" t="s">
        <v>953</v>
      </c>
      <c r="L134" s="619">
        <v>563.14994986570809</v>
      </c>
      <c r="M134" s="619">
        <v>19</v>
      </c>
      <c r="N134" s="620">
        <v>10699.849047448453</v>
      </c>
    </row>
    <row r="135" spans="1:14" ht="14.4" customHeight="1" x14ac:dyDescent="0.3">
      <c r="A135" s="615" t="s">
        <v>471</v>
      </c>
      <c r="B135" s="616" t="s">
        <v>2151</v>
      </c>
      <c r="C135" s="617" t="s">
        <v>476</v>
      </c>
      <c r="D135" s="618" t="s">
        <v>2152</v>
      </c>
      <c r="E135" s="617" t="s">
        <v>481</v>
      </c>
      <c r="F135" s="618" t="s">
        <v>2153</v>
      </c>
      <c r="G135" s="617" t="s">
        <v>517</v>
      </c>
      <c r="H135" s="617" t="s">
        <v>954</v>
      </c>
      <c r="I135" s="617" t="s">
        <v>955</v>
      </c>
      <c r="J135" s="617" t="s">
        <v>956</v>
      </c>
      <c r="K135" s="617" t="s">
        <v>957</v>
      </c>
      <c r="L135" s="619">
        <v>20.759241331114122</v>
      </c>
      <c r="M135" s="619">
        <v>217</v>
      </c>
      <c r="N135" s="620">
        <v>4504.7553688517646</v>
      </c>
    </row>
    <row r="136" spans="1:14" ht="14.4" customHeight="1" x14ac:dyDescent="0.3">
      <c r="A136" s="615" t="s">
        <v>471</v>
      </c>
      <c r="B136" s="616" t="s">
        <v>2151</v>
      </c>
      <c r="C136" s="617" t="s">
        <v>476</v>
      </c>
      <c r="D136" s="618" t="s">
        <v>2152</v>
      </c>
      <c r="E136" s="617" t="s">
        <v>481</v>
      </c>
      <c r="F136" s="618" t="s">
        <v>2153</v>
      </c>
      <c r="G136" s="617" t="s">
        <v>517</v>
      </c>
      <c r="H136" s="617" t="s">
        <v>958</v>
      </c>
      <c r="I136" s="617" t="s">
        <v>959</v>
      </c>
      <c r="J136" s="617" t="s">
        <v>960</v>
      </c>
      <c r="K136" s="617" t="s">
        <v>961</v>
      </c>
      <c r="L136" s="619">
        <v>3918.2172235414523</v>
      </c>
      <c r="M136" s="619">
        <v>3</v>
      </c>
      <c r="N136" s="620">
        <v>11754.651670624356</v>
      </c>
    </row>
    <row r="137" spans="1:14" ht="14.4" customHeight="1" x14ac:dyDescent="0.3">
      <c r="A137" s="615" t="s">
        <v>471</v>
      </c>
      <c r="B137" s="616" t="s">
        <v>2151</v>
      </c>
      <c r="C137" s="617" t="s">
        <v>476</v>
      </c>
      <c r="D137" s="618" t="s">
        <v>2152</v>
      </c>
      <c r="E137" s="617" t="s">
        <v>481</v>
      </c>
      <c r="F137" s="618" t="s">
        <v>2153</v>
      </c>
      <c r="G137" s="617" t="s">
        <v>517</v>
      </c>
      <c r="H137" s="617" t="s">
        <v>962</v>
      </c>
      <c r="I137" s="617" t="s">
        <v>963</v>
      </c>
      <c r="J137" s="617" t="s">
        <v>761</v>
      </c>
      <c r="K137" s="617" t="s">
        <v>964</v>
      </c>
      <c r="L137" s="619">
        <v>74.859986573894247</v>
      </c>
      <c r="M137" s="619">
        <v>4</v>
      </c>
      <c r="N137" s="620">
        <v>299.43994629557699</v>
      </c>
    </row>
    <row r="138" spans="1:14" ht="14.4" customHeight="1" x14ac:dyDescent="0.3">
      <c r="A138" s="615" t="s">
        <v>471</v>
      </c>
      <c r="B138" s="616" t="s">
        <v>2151</v>
      </c>
      <c r="C138" s="617" t="s">
        <v>476</v>
      </c>
      <c r="D138" s="618" t="s">
        <v>2152</v>
      </c>
      <c r="E138" s="617" t="s">
        <v>481</v>
      </c>
      <c r="F138" s="618" t="s">
        <v>2153</v>
      </c>
      <c r="G138" s="617" t="s">
        <v>517</v>
      </c>
      <c r="H138" s="617" t="s">
        <v>965</v>
      </c>
      <c r="I138" s="617" t="s">
        <v>966</v>
      </c>
      <c r="J138" s="617" t="s">
        <v>967</v>
      </c>
      <c r="K138" s="617" t="s">
        <v>968</v>
      </c>
      <c r="L138" s="619">
        <v>68.891411981566804</v>
      </c>
      <c r="M138" s="619">
        <v>6</v>
      </c>
      <c r="N138" s="620">
        <v>413.34847188940086</v>
      </c>
    </row>
    <row r="139" spans="1:14" ht="14.4" customHeight="1" x14ac:dyDescent="0.3">
      <c r="A139" s="615" t="s">
        <v>471</v>
      </c>
      <c r="B139" s="616" t="s">
        <v>2151</v>
      </c>
      <c r="C139" s="617" t="s">
        <v>476</v>
      </c>
      <c r="D139" s="618" t="s">
        <v>2152</v>
      </c>
      <c r="E139" s="617" t="s">
        <v>481</v>
      </c>
      <c r="F139" s="618" t="s">
        <v>2153</v>
      </c>
      <c r="G139" s="617" t="s">
        <v>517</v>
      </c>
      <c r="H139" s="617" t="s">
        <v>969</v>
      </c>
      <c r="I139" s="617" t="s">
        <v>970</v>
      </c>
      <c r="J139" s="617" t="s">
        <v>971</v>
      </c>
      <c r="K139" s="617" t="s">
        <v>972</v>
      </c>
      <c r="L139" s="619">
        <v>52.389937474419163</v>
      </c>
      <c r="M139" s="619">
        <v>20</v>
      </c>
      <c r="N139" s="620">
        <v>1047.7987494883832</v>
      </c>
    </row>
    <row r="140" spans="1:14" ht="14.4" customHeight="1" x14ac:dyDescent="0.3">
      <c r="A140" s="615" t="s">
        <v>471</v>
      </c>
      <c r="B140" s="616" t="s">
        <v>2151</v>
      </c>
      <c r="C140" s="617" t="s">
        <v>476</v>
      </c>
      <c r="D140" s="618" t="s">
        <v>2152</v>
      </c>
      <c r="E140" s="617" t="s">
        <v>481</v>
      </c>
      <c r="F140" s="618" t="s">
        <v>2153</v>
      </c>
      <c r="G140" s="617" t="s">
        <v>517</v>
      </c>
      <c r="H140" s="617" t="s">
        <v>973</v>
      </c>
      <c r="I140" s="617" t="s">
        <v>974</v>
      </c>
      <c r="J140" s="617" t="s">
        <v>971</v>
      </c>
      <c r="K140" s="617" t="s">
        <v>975</v>
      </c>
      <c r="L140" s="619">
        <v>74.89</v>
      </c>
      <c r="M140" s="619">
        <v>2</v>
      </c>
      <c r="N140" s="620">
        <v>149.78</v>
      </c>
    </row>
    <row r="141" spans="1:14" ht="14.4" customHeight="1" x14ac:dyDescent="0.3">
      <c r="A141" s="615" t="s">
        <v>471</v>
      </c>
      <c r="B141" s="616" t="s">
        <v>2151</v>
      </c>
      <c r="C141" s="617" t="s">
        <v>476</v>
      </c>
      <c r="D141" s="618" t="s">
        <v>2152</v>
      </c>
      <c r="E141" s="617" t="s">
        <v>481</v>
      </c>
      <c r="F141" s="618" t="s">
        <v>2153</v>
      </c>
      <c r="G141" s="617" t="s">
        <v>517</v>
      </c>
      <c r="H141" s="617" t="s">
        <v>976</v>
      </c>
      <c r="I141" s="617" t="s">
        <v>977</v>
      </c>
      <c r="J141" s="617" t="s">
        <v>978</v>
      </c>
      <c r="K141" s="617" t="s">
        <v>979</v>
      </c>
      <c r="L141" s="619">
        <v>49.630471284831245</v>
      </c>
      <c r="M141" s="619">
        <v>43</v>
      </c>
      <c r="N141" s="620">
        <v>2134.1102652477434</v>
      </c>
    </row>
    <row r="142" spans="1:14" ht="14.4" customHeight="1" x14ac:dyDescent="0.3">
      <c r="A142" s="615" t="s">
        <v>471</v>
      </c>
      <c r="B142" s="616" t="s">
        <v>2151</v>
      </c>
      <c r="C142" s="617" t="s">
        <v>476</v>
      </c>
      <c r="D142" s="618" t="s">
        <v>2152</v>
      </c>
      <c r="E142" s="617" t="s">
        <v>481</v>
      </c>
      <c r="F142" s="618" t="s">
        <v>2153</v>
      </c>
      <c r="G142" s="617" t="s">
        <v>517</v>
      </c>
      <c r="H142" s="617" t="s">
        <v>980</v>
      </c>
      <c r="I142" s="617" t="s">
        <v>817</v>
      </c>
      <c r="J142" s="617" t="s">
        <v>981</v>
      </c>
      <c r="K142" s="617"/>
      <c r="L142" s="619">
        <v>30.589999999999996</v>
      </c>
      <c r="M142" s="619">
        <v>1</v>
      </c>
      <c r="N142" s="620">
        <v>30.589999999999996</v>
      </c>
    </row>
    <row r="143" spans="1:14" ht="14.4" customHeight="1" x14ac:dyDescent="0.3">
      <c r="A143" s="615" t="s">
        <v>471</v>
      </c>
      <c r="B143" s="616" t="s">
        <v>2151</v>
      </c>
      <c r="C143" s="617" t="s">
        <v>476</v>
      </c>
      <c r="D143" s="618" t="s">
        <v>2152</v>
      </c>
      <c r="E143" s="617" t="s">
        <v>481</v>
      </c>
      <c r="F143" s="618" t="s">
        <v>2153</v>
      </c>
      <c r="G143" s="617" t="s">
        <v>517</v>
      </c>
      <c r="H143" s="617" t="s">
        <v>982</v>
      </c>
      <c r="I143" s="617" t="s">
        <v>817</v>
      </c>
      <c r="J143" s="617" t="s">
        <v>983</v>
      </c>
      <c r="K143" s="617"/>
      <c r="L143" s="619">
        <v>112.01951168084665</v>
      </c>
      <c r="M143" s="619">
        <v>49</v>
      </c>
      <c r="N143" s="620">
        <v>5488.9560723614859</v>
      </c>
    </row>
    <row r="144" spans="1:14" ht="14.4" customHeight="1" x14ac:dyDescent="0.3">
      <c r="A144" s="615" t="s">
        <v>471</v>
      </c>
      <c r="B144" s="616" t="s">
        <v>2151</v>
      </c>
      <c r="C144" s="617" t="s">
        <v>476</v>
      </c>
      <c r="D144" s="618" t="s">
        <v>2152</v>
      </c>
      <c r="E144" s="617" t="s">
        <v>481</v>
      </c>
      <c r="F144" s="618" t="s">
        <v>2153</v>
      </c>
      <c r="G144" s="617" t="s">
        <v>517</v>
      </c>
      <c r="H144" s="617" t="s">
        <v>984</v>
      </c>
      <c r="I144" s="617" t="s">
        <v>817</v>
      </c>
      <c r="J144" s="617" t="s">
        <v>985</v>
      </c>
      <c r="K144" s="617"/>
      <c r="L144" s="619">
        <v>148.23989568974312</v>
      </c>
      <c r="M144" s="619">
        <v>3</v>
      </c>
      <c r="N144" s="620">
        <v>444.71968706922939</v>
      </c>
    </row>
    <row r="145" spans="1:14" ht="14.4" customHeight="1" x14ac:dyDescent="0.3">
      <c r="A145" s="615" t="s">
        <v>471</v>
      </c>
      <c r="B145" s="616" t="s">
        <v>2151</v>
      </c>
      <c r="C145" s="617" t="s">
        <v>476</v>
      </c>
      <c r="D145" s="618" t="s">
        <v>2152</v>
      </c>
      <c r="E145" s="617" t="s">
        <v>481</v>
      </c>
      <c r="F145" s="618" t="s">
        <v>2153</v>
      </c>
      <c r="G145" s="617" t="s">
        <v>517</v>
      </c>
      <c r="H145" s="617" t="s">
        <v>986</v>
      </c>
      <c r="I145" s="617" t="s">
        <v>987</v>
      </c>
      <c r="J145" s="617" t="s">
        <v>988</v>
      </c>
      <c r="K145" s="617" t="s">
        <v>989</v>
      </c>
      <c r="L145" s="619">
        <v>166.6493339741163</v>
      </c>
      <c r="M145" s="619">
        <v>1</v>
      </c>
      <c r="N145" s="620">
        <v>166.6493339741163</v>
      </c>
    </row>
    <row r="146" spans="1:14" ht="14.4" customHeight="1" x14ac:dyDescent="0.3">
      <c r="A146" s="615" t="s">
        <v>471</v>
      </c>
      <c r="B146" s="616" t="s">
        <v>2151</v>
      </c>
      <c r="C146" s="617" t="s">
        <v>476</v>
      </c>
      <c r="D146" s="618" t="s">
        <v>2152</v>
      </c>
      <c r="E146" s="617" t="s">
        <v>481</v>
      </c>
      <c r="F146" s="618" t="s">
        <v>2153</v>
      </c>
      <c r="G146" s="617" t="s">
        <v>517</v>
      </c>
      <c r="H146" s="617" t="s">
        <v>990</v>
      </c>
      <c r="I146" s="617" t="s">
        <v>991</v>
      </c>
      <c r="J146" s="617" t="s">
        <v>992</v>
      </c>
      <c r="K146" s="617" t="s">
        <v>993</v>
      </c>
      <c r="L146" s="619">
        <v>47.621921819714885</v>
      </c>
      <c r="M146" s="619">
        <v>53</v>
      </c>
      <c r="N146" s="620">
        <v>2523.9618564448888</v>
      </c>
    </row>
    <row r="147" spans="1:14" ht="14.4" customHeight="1" x14ac:dyDescent="0.3">
      <c r="A147" s="615" t="s">
        <v>471</v>
      </c>
      <c r="B147" s="616" t="s">
        <v>2151</v>
      </c>
      <c r="C147" s="617" t="s">
        <v>476</v>
      </c>
      <c r="D147" s="618" t="s">
        <v>2152</v>
      </c>
      <c r="E147" s="617" t="s">
        <v>481</v>
      </c>
      <c r="F147" s="618" t="s">
        <v>2153</v>
      </c>
      <c r="G147" s="617" t="s">
        <v>517</v>
      </c>
      <c r="H147" s="617" t="s">
        <v>994</v>
      </c>
      <c r="I147" s="617" t="s">
        <v>995</v>
      </c>
      <c r="J147" s="617" t="s">
        <v>549</v>
      </c>
      <c r="K147" s="617" t="s">
        <v>996</v>
      </c>
      <c r="L147" s="619">
        <v>69.661296593449691</v>
      </c>
      <c r="M147" s="619">
        <v>70</v>
      </c>
      <c r="N147" s="620">
        <v>4876.2907615414788</v>
      </c>
    </row>
    <row r="148" spans="1:14" ht="14.4" customHeight="1" x14ac:dyDescent="0.3">
      <c r="A148" s="615" t="s">
        <v>471</v>
      </c>
      <c r="B148" s="616" t="s">
        <v>2151</v>
      </c>
      <c r="C148" s="617" t="s">
        <v>476</v>
      </c>
      <c r="D148" s="618" t="s">
        <v>2152</v>
      </c>
      <c r="E148" s="617" t="s">
        <v>481</v>
      </c>
      <c r="F148" s="618" t="s">
        <v>2153</v>
      </c>
      <c r="G148" s="617" t="s">
        <v>517</v>
      </c>
      <c r="H148" s="617" t="s">
        <v>997</v>
      </c>
      <c r="I148" s="617" t="s">
        <v>998</v>
      </c>
      <c r="J148" s="617" t="s">
        <v>592</v>
      </c>
      <c r="K148" s="617" t="s">
        <v>999</v>
      </c>
      <c r="L148" s="619">
        <v>154.02999999999997</v>
      </c>
      <c r="M148" s="619">
        <v>1</v>
      </c>
      <c r="N148" s="620">
        <v>154.02999999999997</v>
      </c>
    </row>
    <row r="149" spans="1:14" ht="14.4" customHeight="1" x14ac:dyDescent="0.3">
      <c r="A149" s="615" t="s">
        <v>471</v>
      </c>
      <c r="B149" s="616" t="s">
        <v>2151</v>
      </c>
      <c r="C149" s="617" t="s">
        <v>476</v>
      </c>
      <c r="D149" s="618" t="s">
        <v>2152</v>
      </c>
      <c r="E149" s="617" t="s">
        <v>481</v>
      </c>
      <c r="F149" s="618" t="s">
        <v>2153</v>
      </c>
      <c r="G149" s="617" t="s">
        <v>517</v>
      </c>
      <c r="H149" s="617" t="s">
        <v>1000</v>
      </c>
      <c r="I149" s="617" t="s">
        <v>1001</v>
      </c>
      <c r="J149" s="617" t="s">
        <v>1002</v>
      </c>
      <c r="K149" s="617" t="s">
        <v>1003</v>
      </c>
      <c r="L149" s="619">
        <v>294.76</v>
      </c>
      <c r="M149" s="619">
        <v>2</v>
      </c>
      <c r="N149" s="620">
        <v>589.52</v>
      </c>
    </row>
    <row r="150" spans="1:14" ht="14.4" customHeight="1" x14ac:dyDescent="0.3">
      <c r="A150" s="615" t="s">
        <v>471</v>
      </c>
      <c r="B150" s="616" t="s">
        <v>2151</v>
      </c>
      <c r="C150" s="617" t="s">
        <v>476</v>
      </c>
      <c r="D150" s="618" t="s">
        <v>2152</v>
      </c>
      <c r="E150" s="617" t="s">
        <v>481</v>
      </c>
      <c r="F150" s="618" t="s">
        <v>2153</v>
      </c>
      <c r="G150" s="617" t="s">
        <v>517</v>
      </c>
      <c r="H150" s="617" t="s">
        <v>1004</v>
      </c>
      <c r="I150" s="617" t="s">
        <v>1005</v>
      </c>
      <c r="J150" s="617" t="s">
        <v>1006</v>
      </c>
      <c r="K150" s="617" t="s">
        <v>1007</v>
      </c>
      <c r="L150" s="619">
        <v>2866.3833441926054</v>
      </c>
      <c r="M150" s="619">
        <v>15</v>
      </c>
      <c r="N150" s="620">
        <v>42995.750162889082</v>
      </c>
    </row>
    <row r="151" spans="1:14" ht="14.4" customHeight="1" x14ac:dyDescent="0.3">
      <c r="A151" s="615" t="s">
        <v>471</v>
      </c>
      <c r="B151" s="616" t="s">
        <v>2151</v>
      </c>
      <c r="C151" s="617" t="s">
        <v>476</v>
      </c>
      <c r="D151" s="618" t="s">
        <v>2152</v>
      </c>
      <c r="E151" s="617" t="s">
        <v>481</v>
      </c>
      <c r="F151" s="618" t="s">
        <v>2153</v>
      </c>
      <c r="G151" s="617" t="s">
        <v>517</v>
      </c>
      <c r="H151" s="617" t="s">
        <v>1008</v>
      </c>
      <c r="I151" s="617" t="s">
        <v>1008</v>
      </c>
      <c r="J151" s="617" t="s">
        <v>1009</v>
      </c>
      <c r="K151" s="617" t="s">
        <v>523</v>
      </c>
      <c r="L151" s="619">
        <v>288.53000137533058</v>
      </c>
      <c r="M151" s="619">
        <v>18</v>
      </c>
      <c r="N151" s="620">
        <v>5193.5400247559501</v>
      </c>
    </row>
    <row r="152" spans="1:14" ht="14.4" customHeight="1" x14ac:dyDescent="0.3">
      <c r="A152" s="615" t="s">
        <v>471</v>
      </c>
      <c r="B152" s="616" t="s">
        <v>2151</v>
      </c>
      <c r="C152" s="617" t="s">
        <v>476</v>
      </c>
      <c r="D152" s="618" t="s">
        <v>2152</v>
      </c>
      <c r="E152" s="617" t="s">
        <v>481</v>
      </c>
      <c r="F152" s="618" t="s">
        <v>2153</v>
      </c>
      <c r="G152" s="617" t="s">
        <v>517</v>
      </c>
      <c r="H152" s="617" t="s">
        <v>1010</v>
      </c>
      <c r="I152" s="617" t="s">
        <v>1011</v>
      </c>
      <c r="J152" s="617" t="s">
        <v>1012</v>
      </c>
      <c r="K152" s="617" t="s">
        <v>543</v>
      </c>
      <c r="L152" s="619">
        <v>71.009987203038563</v>
      </c>
      <c r="M152" s="619">
        <v>50</v>
      </c>
      <c r="N152" s="620">
        <v>3550.4993601519282</v>
      </c>
    </row>
    <row r="153" spans="1:14" ht="14.4" customHeight="1" x14ac:dyDescent="0.3">
      <c r="A153" s="615" t="s">
        <v>471</v>
      </c>
      <c r="B153" s="616" t="s">
        <v>2151</v>
      </c>
      <c r="C153" s="617" t="s">
        <v>476</v>
      </c>
      <c r="D153" s="618" t="s">
        <v>2152</v>
      </c>
      <c r="E153" s="617" t="s">
        <v>481</v>
      </c>
      <c r="F153" s="618" t="s">
        <v>2153</v>
      </c>
      <c r="G153" s="617" t="s">
        <v>517</v>
      </c>
      <c r="H153" s="617" t="s">
        <v>1013</v>
      </c>
      <c r="I153" s="617" t="s">
        <v>1014</v>
      </c>
      <c r="J153" s="617" t="s">
        <v>1015</v>
      </c>
      <c r="K153" s="617" t="s">
        <v>570</v>
      </c>
      <c r="L153" s="619">
        <v>41.469966556991295</v>
      </c>
      <c r="M153" s="619">
        <v>75</v>
      </c>
      <c r="N153" s="620">
        <v>3110.2474917743471</v>
      </c>
    </row>
    <row r="154" spans="1:14" ht="14.4" customHeight="1" x14ac:dyDescent="0.3">
      <c r="A154" s="615" t="s">
        <v>471</v>
      </c>
      <c r="B154" s="616" t="s">
        <v>2151</v>
      </c>
      <c r="C154" s="617" t="s">
        <v>476</v>
      </c>
      <c r="D154" s="618" t="s">
        <v>2152</v>
      </c>
      <c r="E154" s="617" t="s">
        <v>481</v>
      </c>
      <c r="F154" s="618" t="s">
        <v>2153</v>
      </c>
      <c r="G154" s="617" t="s">
        <v>517</v>
      </c>
      <c r="H154" s="617" t="s">
        <v>1016</v>
      </c>
      <c r="I154" s="617" t="s">
        <v>1017</v>
      </c>
      <c r="J154" s="617" t="s">
        <v>1018</v>
      </c>
      <c r="K154" s="617" t="s">
        <v>1019</v>
      </c>
      <c r="L154" s="619">
        <v>94.710000000000008</v>
      </c>
      <c r="M154" s="619">
        <v>2</v>
      </c>
      <c r="N154" s="620">
        <v>189.42000000000002</v>
      </c>
    </row>
    <row r="155" spans="1:14" ht="14.4" customHeight="1" x14ac:dyDescent="0.3">
      <c r="A155" s="615" t="s">
        <v>471</v>
      </c>
      <c r="B155" s="616" t="s">
        <v>2151</v>
      </c>
      <c r="C155" s="617" t="s">
        <v>476</v>
      </c>
      <c r="D155" s="618" t="s">
        <v>2152</v>
      </c>
      <c r="E155" s="617" t="s">
        <v>481</v>
      </c>
      <c r="F155" s="618" t="s">
        <v>2153</v>
      </c>
      <c r="G155" s="617" t="s">
        <v>517</v>
      </c>
      <c r="H155" s="617" t="s">
        <v>1020</v>
      </c>
      <c r="I155" s="617" t="s">
        <v>1021</v>
      </c>
      <c r="J155" s="617" t="s">
        <v>1022</v>
      </c>
      <c r="K155" s="617" t="s">
        <v>1023</v>
      </c>
      <c r="L155" s="619">
        <v>899.30322580645179</v>
      </c>
      <c r="M155" s="619">
        <v>31</v>
      </c>
      <c r="N155" s="620">
        <v>27878.400000000005</v>
      </c>
    </row>
    <row r="156" spans="1:14" ht="14.4" customHeight="1" x14ac:dyDescent="0.3">
      <c r="A156" s="615" t="s">
        <v>471</v>
      </c>
      <c r="B156" s="616" t="s">
        <v>2151</v>
      </c>
      <c r="C156" s="617" t="s">
        <v>476</v>
      </c>
      <c r="D156" s="618" t="s">
        <v>2152</v>
      </c>
      <c r="E156" s="617" t="s">
        <v>481</v>
      </c>
      <c r="F156" s="618" t="s">
        <v>2153</v>
      </c>
      <c r="G156" s="617" t="s">
        <v>517</v>
      </c>
      <c r="H156" s="617" t="s">
        <v>1024</v>
      </c>
      <c r="I156" s="617" t="s">
        <v>1025</v>
      </c>
      <c r="J156" s="617" t="s">
        <v>1026</v>
      </c>
      <c r="K156" s="617" t="s">
        <v>1027</v>
      </c>
      <c r="L156" s="619">
        <v>72.3</v>
      </c>
      <c r="M156" s="619">
        <v>1</v>
      </c>
      <c r="N156" s="620">
        <v>72.3</v>
      </c>
    </row>
    <row r="157" spans="1:14" ht="14.4" customHeight="1" x14ac:dyDescent="0.3">
      <c r="A157" s="615" t="s">
        <v>471</v>
      </c>
      <c r="B157" s="616" t="s">
        <v>2151</v>
      </c>
      <c r="C157" s="617" t="s">
        <v>476</v>
      </c>
      <c r="D157" s="618" t="s">
        <v>2152</v>
      </c>
      <c r="E157" s="617" t="s">
        <v>481</v>
      </c>
      <c r="F157" s="618" t="s">
        <v>2153</v>
      </c>
      <c r="G157" s="617" t="s">
        <v>517</v>
      </c>
      <c r="H157" s="617" t="s">
        <v>1028</v>
      </c>
      <c r="I157" s="617" t="s">
        <v>1029</v>
      </c>
      <c r="J157" s="617" t="s">
        <v>1030</v>
      </c>
      <c r="K157" s="617" t="s">
        <v>1031</v>
      </c>
      <c r="L157" s="619">
        <v>953.04875676873291</v>
      </c>
      <c r="M157" s="619">
        <v>23</v>
      </c>
      <c r="N157" s="620">
        <v>21920.121405680857</v>
      </c>
    </row>
    <row r="158" spans="1:14" ht="14.4" customHeight="1" x14ac:dyDescent="0.3">
      <c r="A158" s="615" t="s">
        <v>471</v>
      </c>
      <c r="B158" s="616" t="s">
        <v>2151</v>
      </c>
      <c r="C158" s="617" t="s">
        <v>476</v>
      </c>
      <c r="D158" s="618" t="s">
        <v>2152</v>
      </c>
      <c r="E158" s="617" t="s">
        <v>481</v>
      </c>
      <c r="F158" s="618" t="s">
        <v>2153</v>
      </c>
      <c r="G158" s="617" t="s">
        <v>517</v>
      </c>
      <c r="H158" s="617" t="s">
        <v>1032</v>
      </c>
      <c r="I158" s="617" t="s">
        <v>1033</v>
      </c>
      <c r="J158" s="617" t="s">
        <v>1034</v>
      </c>
      <c r="K158" s="617" t="s">
        <v>1035</v>
      </c>
      <c r="L158" s="619">
        <v>78.52999999999993</v>
      </c>
      <c r="M158" s="619">
        <v>2</v>
      </c>
      <c r="N158" s="620">
        <v>157.05999999999986</v>
      </c>
    </row>
    <row r="159" spans="1:14" ht="14.4" customHeight="1" x14ac:dyDescent="0.3">
      <c r="A159" s="615" t="s">
        <v>471</v>
      </c>
      <c r="B159" s="616" t="s">
        <v>2151</v>
      </c>
      <c r="C159" s="617" t="s">
        <v>476</v>
      </c>
      <c r="D159" s="618" t="s">
        <v>2152</v>
      </c>
      <c r="E159" s="617" t="s">
        <v>481</v>
      </c>
      <c r="F159" s="618" t="s">
        <v>2153</v>
      </c>
      <c r="G159" s="617" t="s">
        <v>517</v>
      </c>
      <c r="H159" s="617" t="s">
        <v>1036</v>
      </c>
      <c r="I159" s="617" t="s">
        <v>1037</v>
      </c>
      <c r="J159" s="617" t="s">
        <v>1038</v>
      </c>
      <c r="K159" s="617" t="s">
        <v>1039</v>
      </c>
      <c r="L159" s="619">
        <v>1333.0900000000001</v>
      </c>
      <c r="M159" s="619">
        <v>1</v>
      </c>
      <c r="N159" s="620">
        <v>1333.0900000000001</v>
      </c>
    </row>
    <row r="160" spans="1:14" ht="14.4" customHeight="1" x14ac:dyDescent="0.3">
      <c r="A160" s="615" t="s">
        <v>471</v>
      </c>
      <c r="B160" s="616" t="s">
        <v>2151</v>
      </c>
      <c r="C160" s="617" t="s">
        <v>476</v>
      </c>
      <c r="D160" s="618" t="s">
        <v>2152</v>
      </c>
      <c r="E160" s="617" t="s">
        <v>481</v>
      </c>
      <c r="F160" s="618" t="s">
        <v>2153</v>
      </c>
      <c r="G160" s="617" t="s">
        <v>517</v>
      </c>
      <c r="H160" s="617" t="s">
        <v>1040</v>
      </c>
      <c r="I160" s="617" t="s">
        <v>1041</v>
      </c>
      <c r="J160" s="617" t="s">
        <v>1042</v>
      </c>
      <c r="K160" s="617" t="s">
        <v>1043</v>
      </c>
      <c r="L160" s="619">
        <v>1037.7485990765172</v>
      </c>
      <c r="M160" s="619">
        <v>33</v>
      </c>
      <c r="N160" s="620">
        <v>34245.703769525069</v>
      </c>
    </row>
    <row r="161" spans="1:14" ht="14.4" customHeight="1" x14ac:dyDescent="0.3">
      <c r="A161" s="615" t="s">
        <v>471</v>
      </c>
      <c r="B161" s="616" t="s">
        <v>2151</v>
      </c>
      <c r="C161" s="617" t="s">
        <v>476</v>
      </c>
      <c r="D161" s="618" t="s">
        <v>2152</v>
      </c>
      <c r="E161" s="617" t="s">
        <v>481</v>
      </c>
      <c r="F161" s="618" t="s">
        <v>2153</v>
      </c>
      <c r="G161" s="617" t="s">
        <v>517</v>
      </c>
      <c r="H161" s="617" t="s">
        <v>1044</v>
      </c>
      <c r="I161" s="617" t="s">
        <v>1045</v>
      </c>
      <c r="J161" s="617" t="s">
        <v>1046</v>
      </c>
      <c r="K161" s="617" t="s">
        <v>1047</v>
      </c>
      <c r="L161" s="619">
        <v>85.75</v>
      </c>
      <c r="M161" s="619">
        <v>30</v>
      </c>
      <c r="N161" s="620">
        <v>2572.5</v>
      </c>
    </row>
    <row r="162" spans="1:14" ht="14.4" customHeight="1" x14ac:dyDescent="0.3">
      <c r="A162" s="615" t="s">
        <v>471</v>
      </c>
      <c r="B162" s="616" t="s">
        <v>2151</v>
      </c>
      <c r="C162" s="617" t="s">
        <v>476</v>
      </c>
      <c r="D162" s="618" t="s">
        <v>2152</v>
      </c>
      <c r="E162" s="617" t="s">
        <v>481</v>
      </c>
      <c r="F162" s="618" t="s">
        <v>2153</v>
      </c>
      <c r="G162" s="617" t="s">
        <v>517</v>
      </c>
      <c r="H162" s="617" t="s">
        <v>1048</v>
      </c>
      <c r="I162" s="617" t="s">
        <v>1049</v>
      </c>
      <c r="J162" s="617" t="s">
        <v>1050</v>
      </c>
      <c r="K162" s="617"/>
      <c r="L162" s="619">
        <v>145.72999999999996</v>
      </c>
      <c r="M162" s="619">
        <v>1</v>
      </c>
      <c r="N162" s="620">
        <v>145.72999999999996</v>
      </c>
    </row>
    <row r="163" spans="1:14" ht="14.4" customHeight="1" x14ac:dyDescent="0.3">
      <c r="A163" s="615" t="s">
        <v>471</v>
      </c>
      <c r="B163" s="616" t="s">
        <v>2151</v>
      </c>
      <c r="C163" s="617" t="s">
        <v>476</v>
      </c>
      <c r="D163" s="618" t="s">
        <v>2152</v>
      </c>
      <c r="E163" s="617" t="s">
        <v>481</v>
      </c>
      <c r="F163" s="618" t="s">
        <v>2153</v>
      </c>
      <c r="G163" s="617" t="s">
        <v>517</v>
      </c>
      <c r="H163" s="617" t="s">
        <v>1051</v>
      </c>
      <c r="I163" s="617" t="s">
        <v>817</v>
      </c>
      <c r="J163" s="617" t="s">
        <v>1052</v>
      </c>
      <c r="K163" s="617"/>
      <c r="L163" s="619">
        <v>24.599999999999998</v>
      </c>
      <c r="M163" s="619">
        <v>3</v>
      </c>
      <c r="N163" s="620">
        <v>73.8</v>
      </c>
    </row>
    <row r="164" spans="1:14" ht="14.4" customHeight="1" x14ac:dyDescent="0.3">
      <c r="A164" s="615" t="s">
        <v>471</v>
      </c>
      <c r="B164" s="616" t="s">
        <v>2151</v>
      </c>
      <c r="C164" s="617" t="s">
        <v>476</v>
      </c>
      <c r="D164" s="618" t="s">
        <v>2152</v>
      </c>
      <c r="E164" s="617" t="s">
        <v>481</v>
      </c>
      <c r="F164" s="618" t="s">
        <v>2153</v>
      </c>
      <c r="G164" s="617" t="s">
        <v>517</v>
      </c>
      <c r="H164" s="617" t="s">
        <v>1053</v>
      </c>
      <c r="I164" s="617" t="s">
        <v>817</v>
      </c>
      <c r="J164" s="617" t="s">
        <v>1054</v>
      </c>
      <c r="K164" s="617" t="s">
        <v>1055</v>
      </c>
      <c r="L164" s="619">
        <v>471.5</v>
      </c>
      <c r="M164" s="619">
        <v>35</v>
      </c>
      <c r="N164" s="620">
        <v>16502.5</v>
      </c>
    </row>
    <row r="165" spans="1:14" ht="14.4" customHeight="1" x14ac:dyDescent="0.3">
      <c r="A165" s="615" t="s">
        <v>471</v>
      </c>
      <c r="B165" s="616" t="s">
        <v>2151</v>
      </c>
      <c r="C165" s="617" t="s">
        <v>476</v>
      </c>
      <c r="D165" s="618" t="s">
        <v>2152</v>
      </c>
      <c r="E165" s="617" t="s">
        <v>481</v>
      </c>
      <c r="F165" s="618" t="s">
        <v>2153</v>
      </c>
      <c r="G165" s="617" t="s">
        <v>517</v>
      </c>
      <c r="H165" s="617" t="s">
        <v>1056</v>
      </c>
      <c r="I165" s="617" t="s">
        <v>817</v>
      </c>
      <c r="J165" s="617" t="s">
        <v>1057</v>
      </c>
      <c r="K165" s="617"/>
      <c r="L165" s="619">
        <v>94.102580618222092</v>
      </c>
      <c r="M165" s="619">
        <v>15</v>
      </c>
      <c r="N165" s="620">
        <v>1411.5387092733313</v>
      </c>
    </row>
    <row r="166" spans="1:14" ht="14.4" customHeight="1" x14ac:dyDescent="0.3">
      <c r="A166" s="615" t="s">
        <v>471</v>
      </c>
      <c r="B166" s="616" t="s">
        <v>2151</v>
      </c>
      <c r="C166" s="617" t="s">
        <v>476</v>
      </c>
      <c r="D166" s="618" t="s">
        <v>2152</v>
      </c>
      <c r="E166" s="617" t="s">
        <v>481</v>
      </c>
      <c r="F166" s="618" t="s">
        <v>2153</v>
      </c>
      <c r="G166" s="617" t="s">
        <v>517</v>
      </c>
      <c r="H166" s="617" t="s">
        <v>1058</v>
      </c>
      <c r="I166" s="617" t="s">
        <v>1059</v>
      </c>
      <c r="J166" s="617" t="s">
        <v>1060</v>
      </c>
      <c r="K166" s="617" t="s">
        <v>1061</v>
      </c>
      <c r="L166" s="619">
        <v>286</v>
      </c>
      <c r="M166" s="619">
        <v>4</v>
      </c>
      <c r="N166" s="620">
        <v>1144</v>
      </c>
    </row>
    <row r="167" spans="1:14" ht="14.4" customHeight="1" x14ac:dyDescent="0.3">
      <c r="A167" s="615" t="s">
        <v>471</v>
      </c>
      <c r="B167" s="616" t="s">
        <v>2151</v>
      </c>
      <c r="C167" s="617" t="s">
        <v>476</v>
      </c>
      <c r="D167" s="618" t="s">
        <v>2152</v>
      </c>
      <c r="E167" s="617" t="s">
        <v>481</v>
      </c>
      <c r="F167" s="618" t="s">
        <v>2153</v>
      </c>
      <c r="G167" s="617" t="s">
        <v>517</v>
      </c>
      <c r="H167" s="617" t="s">
        <v>1062</v>
      </c>
      <c r="I167" s="617" t="s">
        <v>1063</v>
      </c>
      <c r="J167" s="617" t="s">
        <v>1064</v>
      </c>
      <c r="K167" s="617" t="s">
        <v>1065</v>
      </c>
      <c r="L167" s="619">
        <v>58.869999999999976</v>
      </c>
      <c r="M167" s="619">
        <v>1</v>
      </c>
      <c r="N167" s="620">
        <v>58.869999999999976</v>
      </c>
    </row>
    <row r="168" spans="1:14" ht="14.4" customHeight="1" x14ac:dyDescent="0.3">
      <c r="A168" s="615" t="s">
        <v>471</v>
      </c>
      <c r="B168" s="616" t="s">
        <v>2151</v>
      </c>
      <c r="C168" s="617" t="s">
        <v>476</v>
      </c>
      <c r="D168" s="618" t="s">
        <v>2152</v>
      </c>
      <c r="E168" s="617" t="s">
        <v>481</v>
      </c>
      <c r="F168" s="618" t="s">
        <v>2153</v>
      </c>
      <c r="G168" s="617" t="s">
        <v>517</v>
      </c>
      <c r="H168" s="617" t="s">
        <v>1066</v>
      </c>
      <c r="I168" s="617" t="s">
        <v>1067</v>
      </c>
      <c r="J168" s="617" t="s">
        <v>1068</v>
      </c>
      <c r="K168" s="617" t="s">
        <v>1069</v>
      </c>
      <c r="L168" s="619">
        <v>186.3499473421991</v>
      </c>
      <c r="M168" s="619">
        <v>44</v>
      </c>
      <c r="N168" s="620">
        <v>8199.3976830567608</v>
      </c>
    </row>
    <row r="169" spans="1:14" ht="14.4" customHeight="1" x14ac:dyDescent="0.3">
      <c r="A169" s="615" t="s">
        <v>471</v>
      </c>
      <c r="B169" s="616" t="s">
        <v>2151</v>
      </c>
      <c r="C169" s="617" t="s">
        <v>476</v>
      </c>
      <c r="D169" s="618" t="s">
        <v>2152</v>
      </c>
      <c r="E169" s="617" t="s">
        <v>481</v>
      </c>
      <c r="F169" s="618" t="s">
        <v>2153</v>
      </c>
      <c r="G169" s="617" t="s">
        <v>517</v>
      </c>
      <c r="H169" s="617" t="s">
        <v>1070</v>
      </c>
      <c r="I169" s="617" t="s">
        <v>817</v>
      </c>
      <c r="J169" s="617" t="s">
        <v>1071</v>
      </c>
      <c r="K169" s="617"/>
      <c r="L169" s="619">
        <v>400.51570150649133</v>
      </c>
      <c r="M169" s="619">
        <v>14</v>
      </c>
      <c r="N169" s="620">
        <v>5607.2198210908782</v>
      </c>
    </row>
    <row r="170" spans="1:14" ht="14.4" customHeight="1" x14ac:dyDescent="0.3">
      <c r="A170" s="615" t="s">
        <v>471</v>
      </c>
      <c r="B170" s="616" t="s">
        <v>2151</v>
      </c>
      <c r="C170" s="617" t="s">
        <v>476</v>
      </c>
      <c r="D170" s="618" t="s">
        <v>2152</v>
      </c>
      <c r="E170" s="617" t="s">
        <v>481</v>
      </c>
      <c r="F170" s="618" t="s">
        <v>2153</v>
      </c>
      <c r="G170" s="617" t="s">
        <v>517</v>
      </c>
      <c r="H170" s="617" t="s">
        <v>1072</v>
      </c>
      <c r="I170" s="617" t="s">
        <v>1073</v>
      </c>
      <c r="J170" s="617" t="s">
        <v>891</v>
      </c>
      <c r="K170" s="617" t="s">
        <v>1074</v>
      </c>
      <c r="L170" s="619">
        <v>56.75</v>
      </c>
      <c r="M170" s="619">
        <v>25</v>
      </c>
      <c r="N170" s="620">
        <v>1418.75</v>
      </c>
    </row>
    <row r="171" spans="1:14" ht="14.4" customHeight="1" x14ac:dyDescent="0.3">
      <c r="A171" s="615" t="s">
        <v>471</v>
      </c>
      <c r="B171" s="616" t="s">
        <v>2151</v>
      </c>
      <c r="C171" s="617" t="s">
        <v>476</v>
      </c>
      <c r="D171" s="618" t="s">
        <v>2152</v>
      </c>
      <c r="E171" s="617" t="s">
        <v>481</v>
      </c>
      <c r="F171" s="618" t="s">
        <v>2153</v>
      </c>
      <c r="G171" s="617" t="s">
        <v>517</v>
      </c>
      <c r="H171" s="617" t="s">
        <v>1075</v>
      </c>
      <c r="I171" s="617" t="s">
        <v>1076</v>
      </c>
      <c r="J171" s="617" t="s">
        <v>576</v>
      </c>
      <c r="K171" s="617" t="s">
        <v>1077</v>
      </c>
      <c r="L171" s="619">
        <v>92.310024613849009</v>
      </c>
      <c r="M171" s="619">
        <v>210</v>
      </c>
      <c r="N171" s="620">
        <v>19385.105168908292</v>
      </c>
    </row>
    <row r="172" spans="1:14" ht="14.4" customHeight="1" x14ac:dyDescent="0.3">
      <c r="A172" s="615" t="s">
        <v>471</v>
      </c>
      <c r="B172" s="616" t="s">
        <v>2151</v>
      </c>
      <c r="C172" s="617" t="s">
        <v>476</v>
      </c>
      <c r="D172" s="618" t="s">
        <v>2152</v>
      </c>
      <c r="E172" s="617" t="s">
        <v>481</v>
      </c>
      <c r="F172" s="618" t="s">
        <v>2153</v>
      </c>
      <c r="G172" s="617" t="s">
        <v>517</v>
      </c>
      <c r="H172" s="617" t="s">
        <v>1078</v>
      </c>
      <c r="I172" s="617" t="s">
        <v>1079</v>
      </c>
      <c r="J172" s="617" t="s">
        <v>1080</v>
      </c>
      <c r="K172" s="617" t="s">
        <v>1081</v>
      </c>
      <c r="L172" s="619">
        <v>52.589999999999975</v>
      </c>
      <c r="M172" s="619">
        <v>1</v>
      </c>
      <c r="N172" s="620">
        <v>52.589999999999975</v>
      </c>
    </row>
    <row r="173" spans="1:14" ht="14.4" customHeight="1" x14ac:dyDescent="0.3">
      <c r="A173" s="615" t="s">
        <v>471</v>
      </c>
      <c r="B173" s="616" t="s">
        <v>2151</v>
      </c>
      <c r="C173" s="617" t="s">
        <v>476</v>
      </c>
      <c r="D173" s="618" t="s">
        <v>2152</v>
      </c>
      <c r="E173" s="617" t="s">
        <v>481</v>
      </c>
      <c r="F173" s="618" t="s">
        <v>2153</v>
      </c>
      <c r="G173" s="617" t="s">
        <v>517</v>
      </c>
      <c r="H173" s="617" t="s">
        <v>1082</v>
      </c>
      <c r="I173" s="617" t="s">
        <v>1083</v>
      </c>
      <c r="J173" s="617" t="s">
        <v>1084</v>
      </c>
      <c r="K173" s="617" t="s">
        <v>1085</v>
      </c>
      <c r="L173" s="619">
        <v>52.989999999999988</v>
      </c>
      <c r="M173" s="619">
        <v>1</v>
      </c>
      <c r="N173" s="620">
        <v>52.989999999999988</v>
      </c>
    </row>
    <row r="174" spans="1:14" ht="14.4" customHeight="1" x14ac:dyDescent="0.3">
      <c r="A174" s="615" t="s">
        <v>471</v>
      </c>
      <c r="B174" s="616" t="s">
        <v>2151</v>
      </c>
      <c r="C174" s="617" t="s">
        <v>476</v>
      </c>
      <c r="D174" s="618" t="s">
        <v>2152</v>
      </c>
      <c r="E174" s="617" t="s">
        <v>481</v>
      </c>
      <c r="F174" s="618" t="s">
        <v>2153</v>
      </c>
      <c r="G174" s="617" t="s">
        <v>517</v>
      </c>
      <c r="H174" s="617" t="s">
        <v>1086</v>
      </c>
      <c r="I174" s="617" t="s">
        <v>1087</v>
      </c>
      <c r="J174" s="617" t="s">
        <v>1088</v>
      </c>
      <c r="K174" s="617" t="s">
        <v>1089</v>
      </c>
      <c r="L174" s="619">
        <v>110.623450949862</v>
      </c>
      <c r="M174" s="619">
        <v>365</v>
      </c>
      <c r="N174" s="620">
        <v>40377.559596699633</v>
      </c>
    </row>
    <row r="175" spans="1:14" ht="14.4" customHeight="1" x14ac:dyDescent="0.3">
      <c r="A175" s="615" t="s">
        <v>471</v>
      </c>
      <c r="B175" s="616" t="s">
        <v>2151</v>
      </c>
      <c r="C175" s="617" t="s">
        <v>476</v>
      </c>
      <c r="D175" s="618" t="s">
        <v>2152</v>
      </c>
      <c r="E175" s="617" t="s">
        <v>481</v>
      </c>
      <c r="F175" s="618" t="s">
        <v>2153</v>
      </c>
      <c r="G175" s="617" t="s">
        <v>517</v>
      </c>
      <c r="H175" s="617" t="s">
        <v>1090</v>
      </c>
      <c r="I175" s="617" t="s">
        <v>1091</v>
      </c>
      <c r="J175" s="617" t="s">
        <v>1092</v>
      </c>
      <c r="K175" s="617" t="s">
        <v>1093</v>
      </c>
      <c r="L175" s="619">
        <v>728.84999999999957</v>
      </c>
      <c r="M175" s="619">
        <v>1</v>
      </c>
      <c r="N175" s="620">
        <v>728.84999999999957</v>
      </c>
    </row>
    <row r="176" spans="1:14" ht="14.4" customHeight="1" x14ac:dyDescent="0.3">
      <c r="A176" s="615" t="s">
        <v>471</v>
      </c>
      <c r="B176" s="616" t="s">
        <v>2151</v>
      </c>
      <c r="C176" s="617" t="s">
        <v>476</v>
      </c>
      <c r="D176" s="618" t="s">
        <v>2152</v>
      </c>
      <c r="E176" s="617" t="s">
        <v>481</v>
      </c>
      <c r="F176" s="618" t="s">
        <v>2153</v>
      </c>
      <c r="G176" s="617" t="s">
        <v>517</v>
      </c>
      <c r="H176" s="617" t="s">
        <v>1094</v>
      </c>
      <c r="I176" s="617" t="s">
        <v>1095</v>
      </c>
      <c r="J176" s="617" t="s">
        <v>1096</v>
      </c>
      <c r="K176" s="617" t="s">
        <v>1097</v>
      </c>
      <c r="L176" s="619">
        <v>3569.28</v>
      </c>
      <c r="M176" s="619">
        <v>2</v>
      </c>
      <c r="N176" s="620">
        <v>7138.56</v>
      </c>
    </row>
    <row r="177" spans="1:14" ht="14.4" customHeight="1" x14ac:dyDescent="0.3">
      <c r="A177" s="615" t="s">
        <v>471</v>
      </c>
      <c r="B177" s="616" t="s">
        <v>2151</v>
      </c>
      <c r="C177" s="617" t="s">
        <v>476</v>
      </c>
      <c r="D177" s="618" t="s">
        <v>2152</v>
      </c>
      <c r="E177" s="617" t="s">
        <v>481</v>
      </c>
      <c r="F177" s="618" t="s">
        <v>2153</v>
      </c>
      <c r="G177" s="617" t="s">
        <v>517</v>
      </c>
      <c r="H177" s="617" t="s">
        <v>1098</v>
      </c>
      <c r="I177" s="617" t="s">
        <v>1099</v>
      </c>
      <c r="J177" s="617" t="s">
        <v>1100</v>
      </c>
      <c r="K177" s="617" t="s">
        <v>1101</v>
      </c>
      <c r="L177" s="619">
        <v>411.8500604737763</v>
      </c>
      <c r="M177" s="619">
        <v>1</v>
      </c>
      <c r="N177" s="620">
        <v>411.8500604737763</v>
      </c>
    </row>
    <row r="178" spans="1:14" ht="14.4" customHeight="1" x14ac:dyDescent="0.3">
      <c r="A178" s="615" t="s">
        <v>471</v>
      </c>
      <c r="B178" s="616" t="s">
        <v>2151</v>
      </c>
      <c r="C178" s="617" t="s">
        <v>476</v>
      </c>
      <c r="D178" s="618" t="s">
        <v>2152</v>
      </c>
      <c r="E178" s="617" t="s">
        <v>481</v>
      </c>
      <c r="F178" s="618" t="s">
        <v>2153</v>
      </c>
      <c r="G178" s="617" t="s">
        <v>517</v>
      </c>
      <c r="H178" s="617" t="s">
        <v>1102</v>
      </c>
      <c r="I178" s="617" t="s">
        <v>1103</v>
      </c>
      <c r="J178" s="617" t="s">
        <v>1104</v>
      </c>
      <c r="K178" s="617" t="s">
        <v>1105</v>
      </c>
      <c r="L178" s="619">
        <v>47.769987348679315</v>
      </c>
      <c r="M178" s="619">
        <v>13</v>
      </c>
      <c r="N178" s="620">
        <v>621.00983553283106</v>
      </c>
    </row>
    <row r="179" spans="1:14" ht="14.4" customHeight="1" x14ac:dyDescent="0.3">
      <c r="A179" s="615" t="s">
        <v>471</v>
      </c>
      <c r="B179" s="616" t="s">
        <v>2151</v>
      </c>
      <c r="C179" s="617" t="s">
        <v>476</v>
      </c>
      <c r="D179" s="618" t="s">
        <v>2152</v>
      </c>
      <c r="E179" s="617" t="s">
        <v>481</v>
      </c>
      <c r="F179" s="618" t="s">
        <v>2153</v>
      </c>
      <c r="G179" s="617" t="s">
        <v>517</v>
      </c>
      <c r="H179" s="617" t="s">
        <v>1106</v>
      </c>
      <c r="I179" s="617" t="s">
        <v>1107</v>
      </c>
      <c r="J179" s="617" t="s">
        <v>1108</v>
      </c>
      <c r="K179" s="617" t="s">
        <v>1109</v>
      </c>
      <c r="L179" s="619">
        <v>46.270000000000024</v>
      </c>
      <c r="M179" s="619">
        <v>1</v>
      </c>
      <c r="N179" s="620">
        <v>46.270000000000024</v>
      </c>
    </row>
    <row r="180" spans="1:14" ht="14.4" customHeight="1" x14ac:dyDescent="0.3">
      <c r="A180" s="615" t="s">
        <v>471</v>
      </c>
      <c r="B180" s="616" t="s">
        <v>2151</v>
      </c>
      <c r="C180" s="617" t="s">
        <v>476</v>
      </c>
      <c r="D180" s="618" t="s">
        <v>2152</v>
      </c>
      <c r="E180" s="617" t="s">
        <v>481</v>
      </c>
      <c r="F180" s="618" t="s">
        <v>2153</v>
      </c>
      <c r="G180" s="617" t="s">
        <v>517</v>
      </c>
      <c r="H180" s="617" t="s">
        <v>1110</v>
      </c>
      <c r="I180" s="617" t="s">
        <v>1111</v>
      </c>
      <c r="J180" s="617" t="s">
        <v>1112</v>
      </c>
      <c r="K180" s="617" t="s">
        <v>1113</v>
      </c>
      <c r="L180" s="619">
        <v>47.54</v>
      </c>
      <c r="M180" s="619">
        <v>8</v>
      </c>
      <c r="N180" s="620">
        <v>380.32</v>
      </c>
    </row>
    <row r="181" spans="1:14" ht="14.4" customHeight="1" x14ac:dyDescent="0.3">
      <c r="A181" s="615" t="s">
        <v>471</v>
      </c>
      <c r="B181" s="616" t="s">
        <v>2151</v>
      </c>
      <c r="C181" s="617" t="s">
        <v>476</v>
      </c>
      <c r="D181" s="618" t="s">
        <v>2152</v>
      </c>
      <c r="E181" s="617" t="s">
        <v>481</v>
      </c>
      <c r="F181" s="618" t="s">
        <v>2153</v>
      </c>
      <c r="G181" s="617" t="s">
        <v>517</v>
      </c>
      <c r="H181" s="617" t="s">
        <v>1114</v>
      </c>
      <c r="I181" s="617" t="s">
        <v>1115</v>
      </c>
      <c r="J181" s="617" t="s">
        <v>1116</v>
      </c>
      <c r="K181" s="617" t="s">
        <v>1117</v>
      </c>
      <c r="L181" s="619">
        <v>105.80999999999999</v>
      </c>
      <c r="M181" s="619">
        <v>37</v>
      </c>
      <c r="N181" s="620">
        <v>3914.97</v>
      </c>
    </row>
    <row r="182" spans="1:14" ht="14.4" customHeight="1" x14ac:dyDescent="0.3">
      <c r="A182" s="615" t="s">
        <v>471</v>
      </c>
      <c r="B182" s="616" t="s">
        <v>2151</v>
      </c>
      <c r="C182" s="617" t="s">
        <v>476</v>
      </c>
      <c r="D182" s="618" t="s">
        <v>2152</v>
      </c>
      <c r="E182" s="617" t="s">
        <v>481</v>
      </c>
      <c r="F182" s="618" t="s">
        <v>2153</v>
      </c>
      <c r="G182" s="617" t="s">
        <v>517</v>
      </c>
      <c r="H182" s="617" t="s">
        <v>1118</v>
      </c>
      <c r="I182" s="617" t="s">
        <v>1119</v>
      </c>
      <c r="J182" s="617" t="s">
        <v>1120</v>
      </c>
      <c r="K182" s="617" t="s">
        <v>1121</v>
      </c>
      <c r="L182" s="619">
        <v>40.602082751593755</v>
      </c>
      <c r="M182" s="619">
        <v>5</v>
      </c>
      <c r="N182" s="620">
        <v>203.01041375796876</v>
      </c>
    </row>
    <row r="183" spans="1:14" ht="14.4" customHeight="1" x14ac:dyDescent="0.3">
      <c r="A183" s="615" t="s">
        <v>471</v>
      </c>
      <c r="B183" s="616" t="s">
        <v>2151</v>
      </c>
      <c r="C183" s="617" t="s">
        <v>476</v>
      </c>
      <c r="D183" s="618" t="s">
        <v>2152</v>
      </c>
      <c r="E183" s="617" t="s">
        <v>481</v>
      </c>
      <c r="F183" s="618" t="s">
        <v>2153</v>
      </c>
      <c r="G183" s="617" t="s">
        <v>517</v>
      </c>
      <c r="H183" s="617" t="s">
        <v>1122</v>
      </c>
      <c r="I183" s="617" t="s">
        <v>817</v>
      </c>
      <c r="J183" s="617" t="s">
        <v>1123</v>
      </c>
      <c r="K183" s="617"/>
      <c r="L183" s="619">
        <v>143.50975124956375</v>
      </c>
      <c r="M183" s="619">
        <v>61</v>
      </c>
      <c r="N183" s="620">
        <v>8754.0948262233887</v>
      </c>
    </row>
    <row r="184" spans="1:14" ht="14.4" customHeight="1" x14ac:dyDescent="0.3">
      <c r="A184" s="615" t="s">
        <v>471</v>
      </c>
      <c r="B184" s="616" t="s">
        <v>2151</v>
      </c>
      <c r="C184" s="617" t="s">
        <v>476</v>
      </c>
      <c r="D184" s="618" t="s">
        <v>2152</v>
      </c>
      <c r="E184" s="617" t="s">
        <v>481</v>
      </c>
      <c r="F184" s="618" t="s">
        <v>2153</v>
      </c>
      <c r="G184" s="617" t="s">
        <v>517</v>
      </c>
      <c r="H184" s="617" t="s">
        <v>1124</v>
      </c>
      <c r="I184" s="617" t="s">
        <v>817</v>
      </c>
      <c r="J184" s="617" t="s">
        <v>1125</v>
      </c>
      <c r="K184" s="617"/>
      <c r="L184" s="619">
        <v>85.337051447182205</v>
      </c>
      <c r="M184" s="619">
        <v>23</v>
      </c>
      <c r="N184" s="620">
        <v>1962.7521832851908</v>
      </c>
    </row>
    <row r="185" spans="1:14" ht="14.4" customHeight="1" x14ac:dyDescent="0.3">
      <c r="A185" s="615" t="s">
        <v>471</v>
      </c>
      <c r="B185" s="616" t="s">
        <v>2151</v>
      </c>
      <c r="C185" s="617" t="s">
        <v>476</v>
      </c>
      <c r="D185" s="618" t="s">
        <v>2152</v>
      </c>
      <c r="E185" s="617" t="s">
        <v>481</v>
      </c>
      <c r="F185" s="618" t="s">
        <v>2153</v>
      </c>
      <c r="G185" s="617" t="s">
        <v>517</v>
      </c>
      <c r="H185" s="617" t="s">
        <v>1126</v>
      </c>
      <c r="I185" s="617" t="s">
        <v>1127</v>
      </c>
      <c r="J185" s="617" t="s">
        <v>1128</v>
      </c>
      <c r="K185" s="617" t="s">
        <v>1129</v>
      </c>
      <c r="L185" s="619">
        <v>198.12000000000009</v>
      </c>
      <c r="M185" s="619">
        <v>1</v>
      </c>
      <c r="N185" s="620">
        <v>198.12000000000009</v>
      </c>
    </row>
    <row r="186" spans="1:14" ht="14.4" customHeight="1" x14ac:dyDescent="0.3">
      <c r="A186" s="615" t="s">
        <v>471</v>
      </c>
      <c r="B186" s="616" t="s">
        <v>2151</v>
      </c>
      <c r="C186" s="617" t="s">
        <v>476</v>
      </c>
      <c r="D186" s="618" t="s">
        <v>2152</v>
      </c>
      <c r="E186" s="617" t="s">
        <v>481</v>
      </c>
      <c r="F186" s="618" t="s">
        <v>2153</v>
      </c>
      <c r="G186" s="617" t="s">
        <v>517</v>
      </c>
      <c r="H186" s="617" t="s">
        <v>1130</v>
      </c>
      <c r="I186" s="617" t="s">
        <v>1131</v>
      </c>
      <c r="J186" s="617" t="s">
        <v>1132</v>
      </c>
      <c r="K186" s="617" t="s">
        <v>1133</v>
      </c>
      <c r="L186" s="619">
        <v>46.369864542948243</v>
      </c>
      <c r="M186" s="619">
        <v>1</v>
      </c>
      <c r="N186" s="620">
        <v>46.369864542948243</v>
      </c>
    </row>
    <row r="187" spans="1:14" ht="14.4" customHeight="1" x14ac:dyDescent="0.3">
      <c r="A187" s="615" t="s">
        <v>471</v>
      </c>
      <c r="B187" s="616" t="s">
        <v>2151</v>
      </c>
      <c r="C187" s="617" t="s">
        <v>476</v>
      </c>
      <c r="D187" s="618" t="s">
        <v>2152</v>
      </c>
      <c r="E187" s="617" t="s">
        <v>481</v>
      </c>
      <c r="F187" s="618" t="s">
        <v>2153</v>
      </c>
      <c r="G187" s="617" t="s">
        <v>517</v>
      </c>
      <c r="H187" s="617" t="s">
        <v>1134</v>
      </c>
      <c r="I187" s="617" t="s">
        <v>1134</v>
      </c>
      <c r="J187" s="617" t="s">
        <v>1135</v>
      </c>
      <c r="K187" s="617" t="s">
        <v>1136</v>
      </c>
      <c r="L187" s="619">
        <v>163.46999999999997</v>
      </c>
      <c r="M187" s="619">
        <v>1</v>
      </c>
      <c r="N187" s="620">
        <v>163.46999999999997</v>
      </c>
    </row>
    <row r="188" spans="1:14" ht="14.4" customHeight="1" x14ac:dyDescent="0.3">
      <c r="A188" s="615" t="s">
        <v>471</v>
      </c>
      <c r="B188" s="616" t="s">
        <v>2151</v>
      </c>
      <c r="C188" s="617" t="s">
        <v>476</v>
      </c>
      <c r="D188" s="618" t="s">
        <v>2152</v>
      </c>
      <c r="E188" s="617" t="s">
        <v>481</v>
      </c>
      <c r="F188" s="618" t="s">
        <v>2153</v>
      </c>
      <c r="G188" s="617" t="s">
        <v>517</v>
      </c>
      <c r="H188" s="617" t="s">
        <v>1137</v>
      </c>
      <c r="I188" s="617" t="s">
        <v>1138</v>
      </c>
      <c r="J188" s="617" t="s">
        <v>1139</v>
      </c>
      <c r="K188" s="617" t="s">
        <v>1140</v>
      </c>
      <c r="L188" s="619">
        <v>51.869981394279847</v>
      </c>
      <c r="M188" s="619">
        <v>2</v>
      </c>
      <c r="N188" s="620">
        <v>103.73996278855969</v>
      </c>
    </row>
    <row r="189" spans="1:14" ht="14.4" customHeight="1" x14ac:dyDescent="0.3">
      <c r="A189" s="615" t="s">
        <v>471</v>
      </c>
      <c r="B189" s="616" t="s">
        <v>2151</v>
      </c>
      <c r="C189" s="617" t="s">
        <v>476</v>
      </c>
      <c r="D189" s="618" t="s">
        <v>2152</v>
      </c>
      <c r="E189" s="617" t="s">
        <v>481</v>
      </c>
      <c r="F189" s="618" t="s">
        <v>2153</v>
      </c>
      <c r="G189" s="617" t="s">
        <v>517</v>
      </c>
      <c r="H189" s="617" t="s">
        <v>1141</v>
      </c>
      <c r="I189" s="617" t="s">
        <v>1142</v>
      </c>
      <c r="J189" s="617" t="s">
        <v>1143</v>
      </c>
      <c r="K189" s="617" t="s">
        <v>1144</v>
      </c>
      <c r="L189" s="619">
        <v>112.49968366211166</v>
      </c>
      <c r="M189" s="619">
        <v>281</v>
      </c>
      <c r="N189" s="620">
        <v>31612.411109053377</v>
      </c>
    </row>
    <row r="190" spans="1:14" ht="14.4" customHeight="1" x14ac:dyDescent="0.3">
      <c r="A190" s="615" t="s">
        <v>471</v>
      </c>
      <c r="B190" s="616" t="s">
        <v>2151</v>
      </c>
      <c r="C190" s="617" t="s">
        <v>476</v>
      </c>
      <c r="D190" s="618" t="s">
        <v>2152</v>
      </c>
      <c r="E190" s="617" t="s">
        <v>481</v>
      </c>
      <c r="F190" s="618" t="s">
        <v>2153</v>
      </c>
      <c r="G190" s="617" t="s">
        <v>517</v>
      </c>
      <c r="H190" s="617" t="s">
        <v>1145</v>
      </c>
      <c r="I190" s="617" t="s">
        <v>1146</v>
      </c>
      <c r="J190" s="617" t="s">
        <v>1147</v>
      </c>
      <c r="K190" s="617" t="s">
        <v>1148</v>
      </c>
      <c r="L190" s="619">
        <v>105.029</v>
      </c>
      <c r="M190" s="619">
        <v>10</v>
      </c>
      <c r="N190" s="620">
        <v>1050.29</v>
      </c>
    </row>
    <row r="191" spans="1:14" ht="14.4" customHeight="1" x14ac:dyDescent="0.3">
      <c r="A191" s="615" t="s">
        <v>471</v>
      </c>
      <c r="B191" s="616" t="s">
        <v>2151</v>
      </c>
      <c r="C191" s="617" t="s">
        <v>476</v>
      </c>
      <c r="D191" s="618" t="s">
        <v>2152</v>
      </c>
      <c r="E191" s="617" t="s">
        <v>481</v>
      </c>
      <c r="F191" s="618" t="s">
        <v>2153</v>
      </c>
      <c r="G191" s="617" t="s">
        <v>517</v>
      </c>
      <c r="H191" s="617" t="s">
        <v>1149</v>
      </c>
      <c r="I191" s="617" t="s">
        <v>1150</v>
      </c>
      <c r="J191" s="617" t="s">
        <v>1151</v>
      </c>
      <c r="K191" s="617" t="s">
        <v>1152</v>
      </c>
      <c r="L191" s="619">
        <v>536.24172412344183</v>
      </c>
      <c r="M191" s="619">
        <v>10</v>
      </c>
      <c r="N191" s="620">
        <v>5362.4172412344178</v>
      </c>
    </row>
    <row r="192" spans="1:14" ht="14.4" customHeight="1" x14ac:dyDescent="0.3">
      <c r="A192" s="615" t="s">
        <v>471</v>
      </c>
      <c r="B192" s="616" t="s">
        <v>2151</v>
      </c>
      <c r="C192" s="617" t="s">
        <v>476</v>
      </c>
      <c r="D192" s="618" t="s">
        <v>2152</v>
      </c>
      <c r="E192" s="617" t="s">
        <v>481</v>
      </c>
      <c r="F192" s="618" t="s">
        <v>2153</v>
      </c>
      <c r="G192" s="617" t="s">
        <v>517</v>
      </c>
      <c r="H192" s="617" t="s">
        <v>1153</v>
      </c>
      <c r="I192" s="617" t="s">
        <v>1154</v>
      </c>
      <c r="J192" s="617" t="s">
        <v>1155</v>
      </c>
      <c r="K192" s="617" t="s">
        <v>1156</v>
      </c>
      <c r="L192" s="619">
        <v>131.07982622198747</v>
      </c>
      <c r="M192" s="619">
        <v>16</v>
      </c>
      <c r="N192" s="620">
        <v>2097.2772195517996</v>
      </c>
    </row>
    <row r="193" spans="1:14" ht="14.4" customHeight="1" x14ac:dyDescent="0.3">
      <c r="A193" s="615" t="s">
        <v>471</v>
      </c>
      <c r="B193" s="616" t="s">
        <v>2151</v>
      </c>
      <c r="C193" s="617" t="s">
        <v>476</v>
      </c>
      <c r="D193" s="618" t="s">
        <v>2152</v>
      </c>
      <c r="E193" s="617" t="s">
        <v>481</v>
      </c>
      <c r="F193" s="618" t="s">
        <v>2153</v>
      </c>
      <c r="G193" s="617" t="s">
        <v>517</v>
      </c>
      <c r="H193" s="617" t="s">
        <v>1157</v>
      </c>
      <c r="I193" s="617" t="s">
        <v>1158</v>
      </c>
      <c r="J193" s="617" t="s">
        <v>940</v>
      </c>
      <c r="K193" s="617" t="s">
        <v>1159</v>
      </c>
      <c r="L193" s="619">
        <v>326.48</v>
      </c>
      <c r="M193" s="619">
        <v>12</v>
      </c>
      <c r="N193" s="620">
        <v>3917.76</v>
      </c>
    </row>
    <row r="194" spans="1:14" ht="14.4" customHeight="1" x14ac:dyDescent="0.3">
      <c r="A194" s="615" t="s">
        <v>471</v>
      </c>
      <c r="B194" s="616" t="s">
        <v>2151</v>
      </c>
      <c r="C194" s="617" t="s">
        <v>476</v>
      </c>
      <c r="D194" s="618" t="s">
        <v>2152</v>
      </c>
      <c r="E194" s="617" t="s">
        <v>481</v>
      </c>
      <c r="F194" s="618" t="s">
        <v>2153</v>
      </c>
      <c r="G194" s="617" t="s">
        <v>517</v>
      </c>
      <c r="H194" s="617" t="s">
        <v>1160</v>
      </c>
      <c r="I194" s="617" t="s">
        <v>1161</v>
      </c>
      <c r="J194" s="617" t="s">
        <v>1162</v>
      </c>
      <c r="K194" s="617" t="s">
        <v>1163</v>
      </c>
      <c r="L194" s="619">
        <v>1024.101855764523</v>
      </c>
      <c r="M194" s="619">
        <v>15</v>
      </c>
      <c r="N194" s="620">
        <v>15361.527836467845</v>
      </c>
    </row>
    <row r="195" spans="1:14" ht="14.4" customHeight="1" x14ac:dyDescent="0.3">
      <c r="A195" s="615" t="s">
        <v>471</v>
      </c>
      <c r="B195" s="616" t="s">
        <v>2151</v>
      </c>
      <c r="C195" s="617" t="s">
        <v>476</v>
      </c>
      <c r="D195" s="618" t="s">
        <v>2152</v>
      </c>
      <c r="E195" s="617" t="s">
        <v>481</v>
      </c>
      <c r="F195" s="618" t="s">
        <v>2153</v>
      </c>
      <c r="G195" s="617" t="s">
        <v>517</v>
      </c>
      <c r="H195" s="617" t="s">
        <v>1164</v>
      </c>
      <c r="I195" s="617" t="s">
        <v>1165</v>
      </c>
      <c r="J195" s="617" t="s">
        <v>1166</v>
      </c>
      <c r="K195" s="617" t="s">
        <v>1167</v>
      </c>
      <c r="L195" s="619">
        <v>52.460000000000015</v>
      </c>
      <c r="M195" s="619">
        <v>20</v>
      </c>
      <c r="N195" s="620">
        <v>1049.2000000000003</v>
      </c>
    </row>
    <row r="196" spans="1:14" ht="14.4" customHeight="1" x14ac:dyDescent="0.3">
      <c r="A196" s="615" t="s">
        <v>471</v>
      </c>
      <c r="B196" s="616" t="s">
        <v>2151</v>
      </c>
      <c r="C196" s="617" t="s">
        <v>476</v>
      </c>
      <c r="D196" s="618" t="s">
        <v>2152</v>
      </c>
      <c r="E196" s="617" t="s">
        <v>481</v>
      </c>
      <c r="F196" s="618" t="s">
        <v>2153</v>
      </c>
      <c r="G196" s="617" t="s">
        <v>517</v>
      </c>
      <c r="H196" s="617" t="s">
        <v>1168</v>
      </c>
      <c r="I196" s="617" t="s">
        <v>1168</v>
      </c>
      <c r="J196" s="617" t="s">
        <v>1169</v>
      </c>
      <c r="K196" s="617" t="s">
        <v>1170</v>
      </c>
      <c r="L196" s="619">
        <v>92.000000000000014</v>
      </c>
      <c r="M196" s="619">
        <v>1</v>
      </c>
      <c r="N196" s="620">
        <v>92.000000000000014</v>
      </c>
    </row>
    <row r="197" spans="1:14" ht="14.4" customHeight="1" x14ac:dyDescent="0.3">
      <c r="A197" s="615" t="s">
        <v>471</v>
      </c>
      <c r="B197" s="616" t="s">
        <v>2151</v>
      </c>
      <c r="C197" s="617" t="s">
        <v>476</v>
      </c>
      <c r="D197" s="618" t="s">
        <v>2152</v>
      </c>
      <c r="E197" s="617" t="s">
        <v>481</v>
      </c>
      <c r="F197" s="618" t="s">
        <v>2153</v>
      </c>
      <c r="G197" s="617" t="s">
        <v>517</v>
      </c>
      <c r="H197" s="617" t="s">
        <v>1171</v>
      </c>
      <c r="I197" s="617" t="s">
        <v>817</v>
      </c>
      <c r="J197" s="617" t="s">
        <v>1172</v>
      </c>
      <c r="K197" s="617" t="s">
        <v>1173</v>
      </c>
      <c r="L197" s="619">
        <v>194.92592592592587</v>
      </c>
      <c r="M197" s="619">
        <v>27</v>
      </c>
      <c r="N197" s="620">
        <v>5262.9999999999982</v>
      </c>
    </row>
    <row r="198" spans="1:14" ht="14.4" customHeight="1" x14ac:dyDescent="0.3">
      <c r="A198" s="615" t="s">
        <v>471</v>
      </c>
      <c r="B198" s="616" t="s">
        <v>2151</v>
      </c>
      <c r="C198" s="617" t="s">
        <v>476</v>
      </c>
      <c r="D198" s="618" t="s">
        <v>2152</v>
      </c>
      <c r="E198" s="617" t="s">
        <v>481</v>
      </c>
      <c r="F198" s="618" t="s">
        <v>2153</v>
      </c>
      <c r="G198" s="617" t="s">
        <v>517</v>
      </c>
      <c r="H198" s="617" t="s">
        <v>1174</v>
      </c>
      <c r="I198" s="617" t="s">
        <v>1175</v>
      </c>
      <c r="J198" s="617" t="s">
        <v>1176</v>
      </c>
      <c r="K198" s="617" t="s">
        <v>1177</v>
      </c>
      <c r="L198" s="619">
        <v>935</v>
      </c>
      <c r="M198" s="619">
        <v>25</v>
      </c>
      <c r="N198" s="620">
        <v>23375</v>
      </c>
    </row>
    <row r="199" spans="1:14" ht="14.4" customHeight="1" x14ac:dyDescent="0.3">
      <c r="A199" s="615" t="s">
        <v>471</v>
      </c>
      <c r="B199" s="616" t="s">
        <v>2151</v>
      </c>
      <c r="C199" s="617" t="s">
        <v>476</v>
      </c>
      <c r="D199" s="618" t="s">
        <v>2152</v>
      </c>
      <c r="E199" s="617" t="s">
        <v>481</v>
      </c>
      <c r="F199" s="618" t="s">
        <v>2153</v>
      </c>
      <c r="G199" s="617" t="s">
        <v>517</v>
      </c>
      <c r="H199" s="617" t="s">
        <v>1178</v>
      </c>
      <c r="I199" s="617" t="s">
        <v>1179</v>
      </c>
      <c r="J199" s="617" t="s">
        <v>1180</v>
      </c>
      <c r="K199" s="617" t="s">
        <v>1181</v>
      </c>
      <c r="L199" s="619">
        <v>4756.6480000000001</v>
      </c>
      <c r="M199" s="619">
        <v>5</v>
      </c>
      <c r="N199" s="620">
        <v>23783.24</v>
      </c>
    </row>
    <row r="200" spans="1:14" ht="14.4" customHeight="1" x14ac:dyDescent="0.3">
      <c r="A200" s="615" t="s">
        <v>471</v>
      </c>
      <c r="B200" s="616" t="s">
        <v>2151</v>
      </c>
      <c r="C200" s="617" t="s">
        <v>476</v>
      </c>
      <c r="D200" s="618" t="s">
        <v>2152</v>
      </c>
      <c r="E200" s="617" t="s">
        <v>481</v>
      </c>
      <c r="F200" s="618" t="s">
        <v>2153</v>
      </c>
      <c r="G200" s="617" t="s">
        <v>517</v>
      </c>
      <c r="H200" s="617" t="s">
        <v>1182</v>
      </c>
      <c r="I200" s="617" t="s">
        <v>1183</v>
      </c>
      <c r="J200" s="617" t="s">
        <v>1184</v>
      </c>
      <c r="K200" s="617" t="s">
        <v>1185</v>
      </c>
      <c r="L200" s="619">
        <v>382.1102061903506</v>
      </c>
      <c r="M200" s="619">
        <v>78</v>
      </c>
      <c r="N200" s="620">
        <v>29804.596082847347</v>
      </c>
    </row>
    <row r="201" spans="1:14" ht="14.4" customHeight="1" x14ac:dyDescent="0.3">
      <c r="A201" s="615" t="s">
        <v>471</v>
      </c>
      <c r="B201" s="616" t="s">
        <v>2151</v>
      </c>
      <c r="C201" s="617" t="s">
        <v>476</v>
      </c>
      <c r="D201" s="618" t="s">
        <v>2152</v>
      </c>
      <c r="E201" s="617" t="s">
        <v>481</v>
      </c>
      <c r="F201" s="618" t="s">
        <v>2153</v>
      </c>
      <c r="G201" s="617" t="s">
        <v>517</v>
      </c>
      <c r="H201" s="617" t="s">
        <v>1186</v>
      </c>
      <c r="I201" s="617" t="s">
        <v>817</v>
      </c>
      <c r="J201" s="617" t="s">
        <v>1187</v>
      </c>
      <c r="K201" s="617"/>
      <c r="L201" s="619">
        <v>95.693387002563327</v>
      </c>
      <c r="M201" s="619">
        <v>6</v>
      </c>
      <c r="N201" s="620">
        <v>574.16032201537996</v>
      </c>
    </row>
    <row r="202" spans="1:14" ht="14.4" customHeight="1" x14ac:dyDescent="0.3">
      <c r="A202" s="615" t="s">
        <v>471</v>
      </c>
      <c r="B202" s="616" t="s">
        <v>2151</v>
      </c>
      <c r="C202" s="617" t="s">
        <v>476</v>
      </c>
      <c r="D202" s="618" t="s">
        <v>2152</v>
      </c>
      <c r="E202" s="617" t="s">
        <v>481</v>
      </c>
      <c r="F202" s="618" t="s">
        <v>2153</v>
      </c>
      <c r="G202" s="617" t="s">
        <v>517</v>
      </c>
      <c r="H202" s="617" t="s">
        <v>1188</v>
      </c>
      <c r="I202" s="617" t="s">
        <v>817</v>
      </c>
      <c r="J202" s="617" t="s">
        <v>1189</v>
      </c>
      <c r="K202" s="617"/>
      <c r="L202" s="619">
        <v>205.809573297871</v>
      </c>
      <c r="M202" s="619">
        <v>8</v>
      </c>
      <c r="N202" s="620">
        <v>1646.476586382968</v>
      </c>
    </row>
    <row r="203" spans="1:14" ht="14.4" customHeight="1" x14ac:dyDescent="0.3">
      <c r="A203" s="615" t="s">
        <v>471</v>
      </c>
      <c r="B203" s="616" t="s">
        <v>2151</v>
      </c>
      <c r="C203" s="617" t="s">
        <v>476</v>
      </c>
      <c r="D203" s="618" t="s">
        <v>2152</v>
      </c>
      <c r="E203" s="617" t="s">
        <v>481</v>
      </c>
      <c r="F203" s="618" t="s">
        <v>2153</v>
      </c>
      <c r="G203" s="617" t="s">
        <v>517</v>
      </c>
      <c r="H203" s="617" t="s">
        <v>1190</v>
      </c>
      <c r="I203" s="617" t="s">
        <v>1191</v>
      </c>
      <c r="J203" s="617" t="s">
        <v>1192</v>
      </c>
      <c r="K203" s="617" t="s">
        <v>1193</v>
      </c>
      <c r="L203" s="619">
        <v>54.790000000000035</v>
      </c>
      <c r="M203" s="619">
        <v>1</v>
      </c>
      <c r="N203" s="620">
        <v>54.790000000000035</v>
      </c>
    </row>
    <row r="204" spans="1:14" ht="14.4" customHeight="1" x14ac:dyDescent="0.3">
      <c r="A204" s="615" t="s">
        <v>471</v>
      </c>
      <c r="B204" s="616" t="s">
        <v>2151</v>
      </c>
      <c r="C204" s="617" t="s">
        <v>476</v>
      </c>
      <c r="D204" s="618" t="s">
        <v>2152</v>
      </c>
      <c r="E204" s="617" t="s">
        <v>481</v>
      </c>
      <c r="F204" s="618" t="s">
        <v>2153</v>
      </c>
      <c r="G204" s="617" t="s">
        <v>517</v>
      </c>
      <c r="H204" s="617" t="s">
        <v>1194</v>
      </c>
      <c r="I204" s="617" t="s">
        <v>1195</v>
      </c>
      <c r="J204" s="617" t="s">
        <v>1196</v>
      </c>
      <c r="K204" s="617" t="s">
        <v>1197</v>
      </c>
      <c r="L204" s="619">
        <v>50.20000000000001</v>
      </c>
      <c r="M204" s="619">
        <v>1</v>
      </c>
      <c r="N204" s="620">
        <v>50.20000000000001</v>
      </c>
    </row>
    <row r="205" spans="1:14" ht="14.4" customHeight="1" x14ac:dyDescent="0.3">
      <c r="A205" s="615" t="s">
        <v>471</v>
      </c>
      <c r="B205" s="616" t="s">
        <v>2151</v>
      </c>
      <c r="C205" s="617" t="s">
        <v>476</v>
      </c>
      <c r="D205" s="618" t="s">
        <v>2152</v>
      </c>
      <c r="E205" s="617" t="s">
        <v>481</v>
      </c>
      <c r="F205" s="618" t="s">
        <v>2153</v>
      </c>
      <c r="G205" s="617" t="s">
        <v>517</v>
      </c>
      <c r="H205" s="617" t="s">
        <v>1198</v>
      </c>
      <c r="I205" s="617" t="s">
        <v>817</v>
      </c>
      <c r="J205" s="617" t="s">
        <v>1199</v>
      </c>
      <c r="K205" s="617"/>
      <c r="L205" s="619">
        <v>409.46833333333331</v>
      </c>
      <c r="M205" s="619">
        <v>12</v>
      </c>
      <c r="N205" s="620">
        <v>4913.62</v>
      </c>
    </row>
    <row r="206" spans="1:14" ht="14.4" customHeight="1" x14ac:dyDescent="0.3">
      <c r="A206" s="615" t="s">
        <v>471</v>
      </c>
      <c r="B206" s="616" t="s">
        <v>2151</v>
      </c>
      <c r="C206" s="617" t="s">
        <v>476</v>
      </c>
      <c r="D206" s="618" t="s">
        <v>2152</v>
      </c>
      <c r="E206" s="617" t="s">
        <v>481</v>
      </c>
      <c r="F206" s="618" t="s">
        <v>2153</v>
      </c>
      <c r="G206" s="617" t="s">
        <v>517</v>
      </c>
      <c r="H206" s="617" t="s">
        <v>1200</v>
      </c>
      <c r="I206" s="617" t="s">
        <v>817</v>
      </c>
      <c r="J206" s="617" t="s">
        <v>1201</v>
      </c>
      <c r="K206" s="617"/>
      <c r="L206" s="619">
        <v>128.99813308462552</v>
      </c>
      <c r="M206" s="619">
        <v>2</v>
      </c>
      <c r="N206" s="620">
        <v>257.99626616925104</v>
      </c>
    </row>
    <row r="207" spans="1:14" ht="14.4" customHeight="1" x14ac:dyDescent="0.3">
      <c r="A207" s="615" t="s">
        <v>471</v>
      </c>
      <c r="B207" s="616" t="s">
        <v>2151</v>
      </c>
      <c r="C207" s="617" t="s">
        <v>476</v>
      </c>
      <c r="D207" s="618" t="s">
        <v>2152</v>
      </c>
      <c r="E207" s="617" t="s">
        <v>481</v>
      </c>
      <c r="F207" s="618" t="s">
        <v>2153</v>
      </c>
      <c r="G207" s="617" t="s">
        <v>517</v>
      </c>
      <c r="H207" s="617" t="s">
        <v>1202</v>
      </c>
      <c r="I207" s="617" t="s">
        <v>817</v>
      </c>
      <c r="J207" s="617" t="s">
        <v>1203</v>
      </c>
      <c r="K207" s="617"/>
      <c r="L207" s="619">
        <v>591.21382600688526</v>
      </c>
      <c r="M207" s="619">
        <v>1</v>
      </c>
      <c r="N207" s="620">
        <v>591.21382600688526</v>
      </c>
    </row>
    <row r="208" spans="1:14" ht="14.4" customHeight="1" x14ac:dyDescent="0.3">
      <c r="A208" s="615" t="s">
        <v>471</v>
      </c>
      <c r="B208" s="616" t="s">
        <v>2151</v>
      </c>
      <c r="C208" s="617" t="s">
        <v>476</v>
      </c>
      <c r="D208" s="618" t="s">
        <v>2152</v>
      </c>
      <c r="E208" s="617" t="s">
        <v>481</v>
      </c>
      <c r="F208" s="618" t="s">
        <v>2153</v>
      </c>
      <c r="G208" s="617" t="s">
        <v>517</v>
      </c>
      <c r="H208" s="617" t="s">
        <v>1204</v>
      </c>
      <c r="I208" s="617" t="s">
        <v>1205</v>
      </c>
      <c r="J208" s="617" t="s">
        <v>1206</v>
      </c>
      <c r="K208" s="617" t="s">
        <v>1207</v>
      </c>
      <c r="L208" s="619">
        <v>90.379438360992438</v>
      </c>
      <c r="M208" s="619">
        <v>3</v>
      </c>
      <c r="N208" s="620">
        <v>271.13831508297733</v>
      </c>
    </row>
    <row r="209" spans="1:14" ht="14.4" customHeight="1" x14ac:dyDescent="0.3">
      <c r="A209" s="615" t="s">
        <v>471</v>
      </c>
      <c r="B209" s="616" t="s">
        <v>2151</v>
      </c>
      <c r="C209" s="617" t="s">
        <v>476</v>
      </c>
      <c r="D209" s="618" t="s">
        <v>2152</v>
      </c>
      <c r="E209" s="617" t="s">
        <v>481</v>
      </c>
      <c r="F209" s="618" t="s">
        <v>2153</v>
      </c>
      <c r="G209" s="617" t="s">
        <v>517</v>
      </c>
      <c r="H209" s="617" t="s">
        <v>1208</v>
      </c>
      <c r="I209" s="617" t="s">
        <v>1209</v>
      </c>
      <c r="J209" s="617" t="s">
        <v>1210</v>
      </c>
      <c r="K209" s="617" t="s">
        <v>1211</v>
      </c>
      <c r="L209" s="619">
        <v>74.559999999999988</v>
      </c>
      <c r="M209" s="619">
        <v>1</v>
      </c>
      <c r="N209" s="620">
        <v>74.559999999999988</v>
      </c>
    </row>
    <row r="210" spans="1:14" ht="14.4" customHeight="1" x14ac:dyDescent="0.3">
      <c r="A210" s="615" t="s">
        <v>471</v>
      </c>
      <c r="B210" s="616" t="s">
        <v>2151</v>
      </c>
      <c r="C210" s="617" t="s">
        <v>476</v>
      </c>
      <c r="D210" s="618" t="s">
        <v>2152</v>
      </c>
      <c r="E210" s="617" t="s">
        <v>481</v>
      </c>
      <c r="F210" s="618" t="s">
        <v>2153</v>
      </c>
      <c r="G210" s="617" t="s">
        <v>517</v>
      </c>
      <c r="H210" s="617" t="s">
        <v>1212</v>
      </c>
      <c r="I210" s="617" t="s">
        <v>1213</v>
      </c>
      <c r="J210" s="617" t="s">
        <v>1214</v>
      </c>
      <c r="K210" s="617" t="s">
        <v>1215</v>
      </c>
      <c r="L210" s="619">
        <v>36.740000000000023</v>
      </c>
      <c r="M210" s="619">
        <v>1</v>
      </c>
      <c r="N210" s="620">
        <v>36.740000000000023</v>
      </c>
    </row>
    <row r="211" spans="1:14" ht="14.4" customHeight="1" x14ac:dyDescent="0.3">
      <c r="A211" s="615" t="s">
        <v>471</v>
      </c>
      <c r="B211" s="616" t="s">
        <v>2151</v>
      </c>
      <c r="C211" s="617" t="s">
        <v>476</v>
      </c>
      <c r="D211" s="618" t="s">
        <v>2152</v>
      </c>
      <c r="E211" s="617" t="s">
        <v>481</v>
      </c>
      <c r="F211" s="618" t="s">
        <v>2153</v>
      </c>
      <c r="G211" s="617" t="s">
        <v>517</v>
      </c>
      <c r="H211" s="617" t="s">
        <v>1216</v>
      </c>
      <c r="I211" s="617" t="s">
        <v>817</v>
      </c>
      <c r="J211" s="617" t="s">
        <v>1217</v>
      </c>
      <c r="K211" s="617"/>
      <c r="L211" s="619">
        <v>132.88946577427299</v>
      </c>
      <c r="M211" s="619">
        <v>40</v>
      </c>
      <c r="N211" s="620">
        <v>5315.5786309709192</v>
      </c>
    </row>
    <row r="212" spans="1:14" ht="14.4" customHeight="1" x14ac:dyDescent="0.3">
      <c r="A212" s="615" t="s">
        <v>471</v>
      </c>
      <c r="B212" s="616" t="s">
        <v>2151</v>
      </c>
      <c r="C212" s="617" t="s">
        <v>476</v>
      </c>
      <c r="D212" s="618" t="s">
        <v>2152</v>
      </c>
      <c r="E212" s="617" t="s">
        <v>481</v>
      </c>
      <c r="F212" s="618" t="s">
        <v>2153</v>
      </c>
      <c r="G212" s="617" t="s">
        <v>517</v>
      </c>
      <c r="H212" s="617" t="s">
        <v>1218</v>
      </c>
      <c r="I212" s="617" t="s">
        <v>817</v>
      </c>
      <c r="J212" s="617" t="s">
        <v>1219</v>
      </c>
      <c r="K212" s="617"/>
      <c r="L212" s="619">
        <v>114.39</v>
      </c>
      <c r="M212" s="619">
        <v>2</v>
      </c>
      <c r="N212" s="620">
        <v>228.78</v>
      </c>
    </row>
    <row r="213" spans="1:14" ht="14.4" customHeight="1" x14ac:dyDescent="0.3">
      <c r="A213" s="615" t="s">
        <v>471</v>
      </c>
      <c r="B213" s="616" t="s">
        <v>2151</v>
      </c>
      <c r="C213" s="617" t="s">
        <v>476</v>
      </c>
      <c r="D213" s="618" t="s">
        <v>2152</v>
      </c>
      <c r="E213" s="617" t="s">
        <v>481</v>
      </c>
      <c r="F213" s="618" t="s">
        <v>2153</v>
      </c>
      <c r="G213" s="617" t="s">
        <v>517</v>
      </c>
      <c r="H213" s="617" t="s">
        <v>1220</v>
      </c>
      <c r="I213" s="617" t="s">
        <v>817</v>
      </c>
      <c r="J213" s="617" t="s">
        <v>1221</v>
      </c>
      <c r="K213" s="617" t="s">
        <v>1222</v>
      </c>
      <c r="L213" s="619">
        <v>96.840000000000032</v>
      </c>
      <c r="M213" s="619">
        <v>2</v>
      </c>
      <c r="N213" s="620">
        <v>193.68000000000006</v>
      </c>
    </row>
    <row r="214" spans="1:14" ht="14.4" customHeight="1" x14ac:dyDescent="0.3">
      <c r="A214" s="615" t="s">
        <v>471</v>
      </c>
      <c r="B214" s="616" t="s">
        <v>2151</v>
      </c>
      <c r="C214" s="617" t="s">
        <v>476</v>
      </c>
      <c r="D214" s="618" t="s">
        <v>2152</v>
      </c>
      <c r="E214" s="617" t="s">
        <v>481</v>
      </c>
      <c r="F214" s="618" t="s">
        <v>2153</v>
      </c>
      <c r="G214" s="617" t="s">
        <v>517</v>
      </c>
      <c r="H214" s="617" t="s">
        <v>1223</v>
      </c>
      <c r="I214" s="617" t="s">
        <v>1224</v>
      </c>
      <c r="J214" s="617" t="s">
        <v>1225</v>
      </c>
      <c r="K214" s="617" t="s">
        <v>1226</v>
      </c>
      <c r="L214" s="619">
        <v>393.8</v>
      </c>
      <c r="M214" s="619">
        <v>5</v>
      </c>
      <c r="N214" s="620">
        <v>1969</v>
      </c>
    </row>
    <row r="215" spans="1:14" ht="14.4" customHeight="1" x14ac:dyDescent="0.3">
      <c r="A215" s="615" t="s">
        <v>471</v>
      </c>
      <c r="B215" s="616" t="s">
        <v>2151</v>
      </c>
      <c r="C215" s="617" t="s">
        <v>476</v>
      </c>
      <c r="D215" s="618" t="s">
        <v>2152</v>
      </c>
      <c r="E215" s="617" t="s">
        <v>481</v>
      </c>
      <c r="F215" s="618" t="s">
        <v>2153</v>
      </c>
      <c r="G215" s="617" t="s">
        <v>517</v>
      </c>
      <c r="H215" s="617" t="s">
        <v>1227</v>
      </c>
      <c r="I215" s="617" t="s">
        <v>1228</v>
      </c>
      <c r="J215" s="617" t="s">
        <v>1229</v>
      </c>
      <c r="K215" s="617" t="s">
        <v>1167</v>
      </c>
      <c r="L215" s="619">
        <v>103.56999999999998</v>
      </c>
      <c r="M215" s="619">
        <v>233</v>
      </c>
      <c r="N215" s="620">
        <v>24131.809999999994</v>
      </c>
    </row>
    <row r="216" spans="1:14" ht="14.4" customHeight="1" x14ac:dyDescent="0.3">
      <c r="A216" s="615" t="s">
        <v>471</v>
      </c>
      <c r="B216" s="616" t="s">
        <v>2151</v>
      </c>
      <c r="C216" s="617" t="s">
        <v>476</v>
      </c>
      <c r="D216" s="618" t="s">
        <v>2152</v>
      </c>
      <c r="E216" s="617" t="s">
        <v>481</v>
      </c>
      <c r="F216" s="618" t="s">
        <v>2153</v>
      </c>
      <c r="G216" s="617" t="s">
        <v>517</v>
      </c>
      <c r="H216" s="617" t="s">
        <v>1230</v>
      </c>
      <c r="I216" s="617" t="s">
        <v>1231</v>
      </c>
      <c r="J216" s="617" t="s">
        <v>1232</v>
      </c>
      <c r="K216" s="617" t="s">
        <v>1233</v>
      </c>
      <c r="L216" s="619">
        <v>170.59</v>
      </c>
      <c r="M216" s="619">
        <v>1</v>
      </c>
      <c r="N216" s="620">
        <v>170.59</v>
      </c>
    </row>
    <row r="217" spans="1:14" ht="14.4" customHeight="1" x14ac:dyDescent="0.3">
      <c r="A217" s="615" t="s">
        <v>471</v>
      </c>
      <c r="B217" s="616" t="s">
        <v>2151</v>
      </c>
      <c r="C217" s="617" t="s">
        <v>476</v>
      </c>
      <c r="D217" s="618" t="s">
        <v>2152</v>
      </c>
      <c r="E217" s="617" t="s">
        <v>481</v>
      </c>
      <c r="F217" s="618" t="s">
        <v>2153</v>
      </c>
      <c r="G217" s="617" t="s">
        <v>517</v>
      </c>
      <c r="H217" s="617" t="s">
        <v>1234</v>
      </c>
      <c r="I217" s="617" t="s">
        <v>817</v>
      </c>
      <c r="J217" s="617" t="s">
        <v>1235</v>
      </c>
      <c r="K217" s="617" t="s">
        <v>1236</v>
      </c>
      <c r="L217" s="619">
        <v>248.96510004759114</v>
      </c>
      <c r="M217" s="619">
        <v>2</v>
      </c>
      <c r="N217" s="620">
        <v>497.93020009518227</v>
      </c>
    </row>
    <row r="218" spans="1:14" ht="14.4" customHeight="1" x14ac:dyDescent="0.3">
      <c r="A218" s="615" t="s">
        <v>471</v>
      </c>
      <c r="B218" s="616" t="s">
        <v>2151</v>
      </c>
      <c r="C218" s="617" t="s">
        <v>476</v>
      </c>
      <c r="D218" s="618" t="s">
        <v>2152</v>
      </c>
      <c r="E218" s="617" t="s">
        <v>481</v>
      </c>
      <c r="F218" s="618" t="s">
        <v>2153</v>
      </c>
      <c r="G218" s="617" t="s">
        <v>517</v>
      </c>
      <c r="H218" s="617" t="s">
        <v>1237</v>
      </c>
      <c r="I218" s="617" t="s">
        <v>1238</v>
      </c>
      <c r="J218" s="617" t="s">
        <v>1239</v>
      </c>
      <c r="K218" s="617" t="s">
        <v>1240</v>
      </c>
      <c r="L218" s="619">
        <v>615.85000000000014</v>
      </c>
      <c r="M218" s="619">
        <v>2</v>
      </c>
      <c r="N218" s="620">
        <v>1231.7000000000003</v>
      </c>
    </row>
    <row r="219" spans="1:14" ht="14.4" customHeight="1" x14ac:dyDescent="0.3">
      <c r="A219" s="615" t="s">
        <v>471</v>
      </c>
      <c r="B219" s="616" t="s">
        <v>2151</v>
      </c>
      <c r="C219" s="617" t="s">
        <v>476</v>
      </c>
      <c r="D219" s="618" t="s">
        <v>2152</v>
      </c>
      <c r="E219" s="617" t="s">
        <v>481</v>
      </c>
      <c r="F219" s="618" t="s">
        <v>2153</v>
      </c>
      <c r="G219" s="617" t="s">
        <v>517</v>
      </c>
      <c r="H219" s="617" t="s">
        <v>1241</v>
      </c>
      <c r="I219" s="617" t="s">
        <v>1242</v>
      </c>
      <c r="J219" s="617" t="s">
        <v>1243</v>
      </c>
      <c r="K219" s="617" t="s">
        <v>1244</v>
      </c>
      <c r="L219" s="619">
        <v>157.86928530657022</v>
      </c>
      <c r="M219" s="619">
        <v>4</v>
      </c>
      <c r="N219" s="620">
        <v>631.47714122628088</v>
      </c>
    </row>
    <row r="220" spans="1:14" ht="14.4" customHeight="1" x14ac:dyDescent="0.3">
      <c r="A220" s="615" t="s">
        <v>471</v>
      </c>
      <c r="B220" s="616" t="s">
        <v>2151</v>
      </c>
      <c r="C220" s="617" t="s">
        <v>476</v>
      </c>
      <c r="D220" s="618" t="s">
        <v>2152</v>
      </c>
      <c r="E220" s="617" t="s">
        <v>481</v>
      </c>
      <c r="F220" s="618" t="s">
        <v>2153</v>
      </c>
      <c r="G220" s="617" t="s">
        <v>517</v>
      </c>
      <c r="H220" s="617" t="s">
        <v>1245</v>
      </c>
      <c r="I220" s="617" t="s">
        <v>1246</v>
      </c>
      <c r="J220" s="617" t="s">
        <v>661</v>
      </c>
      <c r="K220" s="617" t="s">
        <v>1247</v>
      </c>
      <c r="L220" s="619">
        <v>15.82</v>
      </c>
      <c r="M220" s="619">
        <v>4</v>
      </c>
      <c r="N220" s="620">
        <v>63.28</v>
      </c>
    </row>
    <row r="221" spans="1:14" ht="14.4" customHeight="1" x14ac:dyDescent="0.3">
      <c r="A221" s="615" t="s">
        <v>471</v>
      </c>
      <c r="B221" s="616" t="s">
        <v>2151</v>
      </c>
      <c r="C221" s="617" t="s">
        <v>476</v>
      </c>
      <c r="D221" s="618" t="s">
        <v>2152</v>
      </c>
      <c r="E221" s="617" t="s">
        <v>481</v>
      </c>
      <c r="F221" s="618" t="s">
        <v>2153</v>
      </c>
      <c r="G221" s="617" t="s">
        <v>517</v>
      </c>
      <c r="H221" s="617" t="s">
        <v>1248</v>
      </c>
      <c r="I221" s="617" t="s">
        <v>1249</v>
      </c>
      <c r="J221" s="617" t="s">
        <v>1250</v>
      </c>
      <c r="K221" s="617" t="s">
        <v>1251</v>
      </c>
      <c r="L221" s="619">
        <v>325.15994751399268</v>
      </c>
      <c r="M221" s="619">
        <v>35</v>
      </c>
      <c r="N221" s="620">
        <v>11380.598162989743</v>
      </c>
    </row>
    <row r="222" spans="1:14" ht="14.4" customHeight="1" x14ac:dyDescent="0.3">
      <c r="A222" s="615" t="s">
        <v>471</v>
      </c>
      <c r="B222" s="616" t="s">
        <v>2151</v>
      </c>
      <c r="C222" s="617" t="s">
        <v>476</v>
      </c>
      <c r="D222" s="618" t="s">
        <v>2152</v>
      </c>
      <c r="E222" s="617" t="s">
        <v>481</v>
      </c>
      <c r="F222" s="618" t="s">
        <v>2153</v>
      </c>
      <c r="G222" s="617" t="s">
        <v>517</v>
      </c>
      <c r="H222" s="617" t="s">
        <v>1252</v>
      </c>
      <c r="I222" s="617" t="s">
        <v>817</v>
      </c>
      <c r="J222" s="617" t="s">
        <v>1253</v>
      </c>
      <c r="K222" s="617"/>
      <c r="L222" s="619">
        <v>51.934605284882721</v>
      </c>
      <c r="M222" s="619">
        <v>1</v>
      </c>
      <c r="N222" s="620">
        <v>51.934605284882721</v>
      </c>
    </row>
    <row r="223" spans="1:14" ht="14.4" customHeight="1" x14ac:dyDescent="0.3">
      <c r="A223" s="615" t="s">
        <v>471</v>
      </c>
      <c r="B223" s="616" t="s">
        <v>2151</v>
      </c>
      <c r="C223" s="617" t="s">
        <v>476</v>
      </c>
      <c r="D223" s="618" t="s">
        <v>2152</v>
      </c>
      <c r="E223" s="617" t="s">
        <v>481</v>
      </c>
      <c r="F223" s="618" t="s">
        <v>2153</v>
      </c>
      <c r="G223" s="617" t="s">
        <v>517</v>
      </c>
      <c r="H223" s="617" t="s">
        <v>1254</v>
      </c>
      <c r="I223" s="617" t="s">
        <v>1255</v>
      </c>
      <c r="J223" s="617" t="s">
        <v>1256</v>
      </c>
      <c r="K223" s="617" t="s">
        <v>1257</v>
      </c>
      <c r="L223" s="619">
        <v>275.30989498554152</v>
      </c>
      <c r="M223" s="619">
        <v>31</v>
      </c>
      <c r="N223" s="620">
        <v>8534.6067445517874</v>
      </c>
    </row>
    <row r="224" spans="1:14" ht="14.4" customHeight="1" x14ac:dyDescent="0.3">
      <c r="A224" s="615" t="s">
        <v>471</v>
      </c>
      <c r="B224" s="616" t="s">
        <v>2151</v>
      </c>
      <c r="C224" s="617" t="s">
        <v>476</v>
      </c>
      <c r="D224" s="618" t="s">
        <v>2152</v>
      </c>
      <c r="E224" s="617" t="s">
        <v>481</v>
      </c>
      <c r="F224" s="618" t="s">
        <v>2153</v>
      </c>
      <c r="G224" s="617" t="s">
        <v>517</v>
      </c>
      <c r="H224" s="617" t="s">
        <v>1258</v>
      </c>
      <c r="I224" s="617" t="s">
        <v>1259</v>
      </c>
      <c r="J224" s="617" t="s">
        <v>1260</v>
      </c>
      <c r="K224" s="617" t="s">
        <v>1261</v>
      </c>
      <c r="L224" s="619">
        <v>33.443000000000005</v>
      </c>
      <c r="M224" s="619">
        <v>30</v>
      </c>
      <c r="N224" s="620">
        <v>1003.2900000000002</v>
      </c>
    </row>
    <row r="225" spans="1:14" ht="14.4" customHeight="1" x14ac:dyDescent="0.3">
      <c r="A225" s="615" t="s">
        <v>471</v>
      </c>
      <c r="B225" s="616" t="s">
        <v>2151</v>
      </c>
      <c r="C225" s="617" t="s">
        <v>476</v>
      </c>
      <c r="D225" s="618" t="s">
        <v>2152</v>
      </c>
      <c r="E225" s="617" t="s">
        <v>481</v>
      </c>
      <c r="F225" s="618" t="s">
        <v>2153</v>
      </c>
      <c r="G225" s="617" t="s">
        <v>517</v>
      </c>
      <c r="H225" s="617" t="s">
        <v>1262</v>
      </c>
      <c r="I225" s="617" t="s">
        <v>817</v>
      </c>
      <c r="J225" s="617" t="s">
        <v>1263</v>
      </c>
      <c r="K225" s="617"/>
      <c r="L225" s="619">
        <v>67.018834382304277</v>
      </c>
      <c r="M225" s="619">
        <v>13</v>
      </c>
      <c r="N225" s="620">
        <v>871.24484696995569</v>
      </c>
    </row>
    <row r="226" spans="1:14" ht="14.4" customHeight="1" x14ac:dyDescent="0.3">
      <c r="A226" s="615" t="s">
        <v>471</v>
      </c>
      <c r="B226" s="616" t="s">
        <v>2151</v>
      </c>
      <c r="C226" s="617" t="s">
        <v>476</v>
      </c>
      <c r="D226" s="618" t="s">
        <v>2152</v>
      </c>
      <c r="E226" s="617" t="s">
        <v>481</v>
      </c>
      <c r="F226" s="618" t="s">
        <v>2153</v>
      </c>
      <c r="G226" s="617" t="s">
        <v>517</v>
      </c>
      <c r="H226" s="617" t="s">
        <v>1264</v>
      </c>
      <c r="I226" s="617" t="s">
        <v>817</v>
      </c>
      <c r="J226" s="617" t="s">
        <v>1265</v>
      </c>
      <c r="K226" s="617"/>
      <c r="L226" s="619">
        <v>306.48082517019861</v>
      </c>
      <c r="M226" s="619">
        <v>2</v>
      </c>
      <c r="N226" s="620">
        <v>612.96165034039723</v>
      </c>
    </row>
    <row r="227" spans="1:14" ht="14.4" customHeight="1" x14ac:dyDescent="0.3">
      <c r="A227" s="615" t="s">
        <v>471</v>
      </c>
      <c r="B227" s="616" t="s">
        <v>2151</v>
      </c>
      <c r="C227" s="617" t="s">
        <v>476</v>
      </c>
      <c r="D227" s="618" t="s">
        <v>2152</v>
      </c>
      <c r="E227" s="617" t="s">
        <v>481</v>
      </c>
      <c r="F227" s="618" t="s">
        <v>2153</v>
      </c>
      <c r="G227" s="617" t="s">
        <v>517</v>
      </c>
      <c r="H227" s="617" t="s">
        <v>1266</v>
      </c>
      <c r="I227" s="617" t="s">
        <v>1267</v>
      </c>
      <c r="J227" s="617" t="s">
        <v>1268</v>
      </c>
      <c r="K227" s="617" t="s">
        <v>1269</v>
      </c>
      <c r="L227" s="619">
        <v>2070.8055668703323</v>
      </c>
      <c r="M227" s="619">
        <v>21</v>
      </c>
      <c r="N227" s="620">
        <v>43486.916904276979</v>
      </c>
    </row>
    <row r="228" spans="1:14" ht="14.4" customHeight="1" x14ac:dyDescent="0.3">
      <c r="A228" s="615" t="s">
        <v>471</v>
      </c>
      <c r="B228" s="616" t="s">
        <v>2151</v>
      </c>
      <c r="C228" s="617" t="s">
        <v>476</v>
      </c>
      <c r="D228" s="618" t="s">
        <v>2152</v>
      </c>
      <c r="E228" s="617" t="s">
        <v>481</v>
      </c>
      <c r="F228" s="618" t="s">
        <v>2153</v>
      </c>
      <c r="G228" s="617" t="s">
        <v>517</v>
      </c>
      <c r="H228" s="617" t="s">
        <v>1270</v>
      </c>
      <c r="I228" s="617" t="s">
        <v>1271</v>
      </c>
      <c r="J228" s="617" t="s">
        <v>1272</v>
      </c>
      <c r="K228" s="617" t="s">
        <v>1273</v>
      </c>
      <c r="L228" s="619">
        <v>6050.0099999999993</v>
      </c>
      <c r="M228" s="619">
        <v>3</v>
      </c>
      <c r="N228" s="620">
        <v>18150.03</v>
      </c>
    </row>
    <row r="229" spans="1:14" ht="14.4" customHeight="1" x14ac:dyDescent="0.3">
      <c r="A229" s="615" t="s">
        <v>471</v>
      </c>
      <c r="B229" s="616" t="s">
        <v>2151</v>
      </c>
      <c r="C229" s="617" t="s">
        <v>476</v>
      </c>
      <c r="D229" s="618" t="s">
        <v>2152</v>
      </c>
      <c r="E229" s="617" t="s">
        <v>481</v>
      </c>
      <c r="F229" s="618" t="s">
        <v>2153</v>
      </c>
      <c r="G229" s="617" t="s">
        <v>517</v>
      </c>
      <c r="H229" s="617" t="s">
        <v>1274</v>
      </c>
      <c r="I229" s="617" t="s">
        <v>1275</v>
      </c>
      <c r="J229" s="617" t="s">
        <v>1276</v>
      </c>
      <c r="K229" s="617" t="s">
        <v>1277</v>
      </c>
      <c r="L229" s="619">
        <v>1772.2117288937013</v>
      </c>
      <c r="M229" s="619">
        <v>1</v>
      </c>
      <c r="N229" s="620">
        <v>1772.2117288937013</v>
      </c>
    </row>
    <row r="230" spans="1:14" ht="14.4" customHeight="1" x14ac:dyDescent="0.3">
      <c r="A230" s="615" t="s">
        <v>471</v>
      </c>
      <c r="B230" s="616" t="s">
        <v>2151</v>
      </c>
      <c r="C230" s="617" t="s">
        <v>476</v>
      </c>
      <c r="D230" s="618" t="s">
        <v>2152</v>
      </c>
      <c r="E230" s="617" t="s">
        <v>481</v>
      </c>
      <c r="F230" s="618" t="s">
        <v>2153</v>
      </c>
      <c r="G230" s="617" t="s">
        <v>517</v>
      </c>
      <c r="H230" s="617" t="s">
        <v>1278</v>
      </c>
      <c r="I230" s="617" t="s">
        <v>1278</v>
      </c>
      <c r="J230" s="617" t="s">
        <v>1279</v>
      </c>
      <c r="K230" s="617" t="s">
        <v>1280</v>
      </c>
      <c r="L230" s="619">
        <v>86.61</v>
      </c>
      <c r="M230" s="619">
        <v>1</v>
      </c>
      <c r="N230" s="620">
        <v>86.61</v>
      </c>
    </row>
    <row r="231" spans="1:14" ht="14.4" customHeight="1" x14ac:dyDescent="0.3">
      <c r="A231" s="615" t="s">
        <v>471</v>
      </c>
      <c r="B231" s="616" t="s">
        <v>2151</v>
      </c>
      <c r="C231" s="617" t="s">
        <v>476</v>
      </c>
      <c r="D231" s="618" t="s">
        <v>2152</v>
      </c>
      <c r="E231" s="617" t="s">
        <v>481</v>
      </c>
      <c r="F231" s="618" t="s">
        <v>2153</v>
      </c>
      <c r="G231" s="617" t="s">
        <v>517</v>
      </c>
      <c r="H231" s="617" t="s">
        <v>1281</v>
      </c>
      <c r="I231" s="617" t="s">
        <v>1281</v>
      </c>
      <c r="J231" s="617" t="s">
        <v>1282</v>
      </c>
      <c r="K231" s="617" t="s">
        <v>523</v>
      </c>
      <c r="L231" s="619">
        <v>365.97084129649318</v>
      </c>
      <c r="M231" s="619">
        <v>5</v>
      </c>
      <c r="N231" s="620">
        <v>1829.8542064824658</v>
      </c>
    </row>
    <row r="232" spans="1:14" ht="14.4" customHeight="1" x14ac:dyDescent="0.3">
      <c r="A232" s="615" t="s">
        <v>471</v>
      </c>
      <c r="B232" s="616" t="s">
        <v>2151</v>
      </c>
      <c r="C232" s="617" t="s">
        <v>476</v>
      </c>
      <c r="D232" s="618" t="s">
        <v>2152</v>
      </c>
      <c r="E232" s="617" t="s">
        <v>481</v>
      </c>
      <c r="F232" s="618" t="s">
        <v>2153</v>
      </c>
      <c r="G232" s="617" t="s">
        <v>517</v>
      </c>
      <c r="H232" s="617" t="s">
        <v>1283</v>
      </c>
      <c r="I232" s="617" t="s">
        <v>1284</v>
      </c>
      <c r="J232" s="617" t="s">
        <v>1285</v>
      </c>
      <c r="K232" s="617" t="s">
        <v>1181</v>
      </c>
      <c r="L232" s="619">
        <v>2800</v>
      </c>
      <c r="M232" s="619">
        <v>10</v>
      </c>
      <c r="N232" s="620">
        <v>28000</v>
      </c>
    </row>
    <row r="233" spans="1:14" ht="14.4" customHeight="1" x14ac:dyDescent="0.3">
      <c r="A233" s="615" t="s">
        <v>471</v>
      </c>
      <c r="B233" s="616" t="s">
        <v>2151</v>
      </c>
      <c r="C233" s="617" t="s">
        <v>476</v>
      </c>
      <c r="D233" s="618" t="s">
        <v>2152</v>
      </c>
      <c r="E233" s="617" t="s">
        <v>481</v>
      </c>
      <c r="F233" s="618" t="s">
        <v>2153</v>
      </c>
      <c r="G233" s="617" t="s">
        <v>517</v>
      </c>
      <c r="H233" s="617" t="s">
        <v>1286</v>
      </c>
      <c r="I233" s="617" t="s">
        <v>1287</v>
      </c>
      <c r="J233" s="617" t="s">
        <v>1288</v>
      </c>
      <c r="K233" s="617" t="s">
        <v>1289</v>
      </c>
      <c r="L233" s="619">
        <v>74.22</v>
      </c>
      <c r="M233" s="619">
        <v>4</v>
      </c>
      <c r="N233" s="620">
        <v>296.88</v>
      </c>
    </row>
    <row r="234" spans="1:14" ht="14.4" customHeight="1" x14ac:dyDescent="0.3">
      <c r="A234" s="615" t="s">
        <v>471</v>
      </c>
      <c r="B234" s="616" t="s">
        <v>2151</v>
      </c>
      <c r="C234" s="617" t="s">
        <v>476</v>
      </c>
      <c r="D234" s="618" t="s">
        <v>2152</v>
      </c>
      <c r="E234" s="617" t="s">
        <v>481</v>
      </c>
      <c r="F234" s="618" t="s">
        <v>2153</v>
      </c>
      <c r="G234" s="617" t="s">
        <v>517</v>
      </c>
      <c r="H234" s="617" t="s">
        <v>1290</v>
      </c>
      <c r="I234" s="617" t="s">
        <v>1291</v>
      </c>
      <c r="J234" s="617" t="s">
        <v>1292</v>
      </c>
      <c r="K234" s="617" t="s">
        <v>1293</v>
      </c>
      <c r="L234" s="619">
        <v>142.35000000000005</v>
      </c>
      <c r="M234" s="619">
        <v>4</v>
      </c>
      <c r="N234" s="620">
        <v>569.4000000000002</v>
      </c>
    </row>
    <row r="235" spans="1:14" ht="14.4" customHeight="1" x14ac:dyDescent="0.3">
      <c r="A235" s="615" t="s">
        <v>471</v>
      </c>
      <c r="B235" s="616" t="s">
        <v>2151</v>
      </c>
      <c r="C235" s="617" t="s">
        <v>476</v>
      </c>
      <c r="D235" s="618" t="s">
        <v>2152</v>
      </c>
      <c r="E235" s="617" t="s">
        <v>481</v>
      </c>
      <c r="F235" s="618" t="s">
        <v>2153</v>
      </c>
      <c r="G235" s="617" t="s">
        <v>517</v>
      </c>
      <c r="H235" s="617" t="s">
        <v>1294</v>
      </c>
      <c r="I235" s="617" t="s">
        <v>1295</v>
      </c>
      <c r="J235" s="617" t="s">
        <v>1296</v>
      </c>
      <c r="K235" s="617" t="s">
        <v>1297</v>
      </c>
      <c r="L235" s="619">
        <v>3651.9999605853409</v>
      </c>
      <c r="M235" s="619">
        <v>7</v>
      </c>
      <c r="N235" s="620">
        <v>25563.999724097386</v>
      </c>
    </row>
    <row r="236" spans="1:14" ht="14.4" customHeight="1" x14ac:dyDescent="0.3">
      <c r="A236" s="615" t="s">
        <v>471</v>
      </c>
      <c r="B236" s="616" t="s">
        <v>2151</v>
      </c>
      <c r="C236" s="617" t="s">
        <v>476</v>
      </c>
      <c r="D236" s="618" t="s">
        <v>2152</v>
      </c>
      <c r="E236" s="617" t="s">
        <v>481</v>
      </c>
      <c r="F236" s="618" t="s">
        <v>2153</v>
      </c>
      <c r="G236" s="617" t="s">
        <v>517</v>
      </c>
      <c r="H236" s="617" t="s">
        <v>1298</v>
      </c>
      <c r="I236" s="617" t="s">
        <v>1299</v>
      </c>
      <c r="J236" s="617" t="s">
        <v>1300</v>
      </c>
      <c r="K236" s="617" t="s">
        <v>863</v>
      </c>
      <c r="L236" s="619">
        <v>53.379777989550789</v>
      </c>
      <c r="M236" s="619">
        <v>1</v>
      </c>
      <c r="N236" s="620">
        <v>53.379777989550789</v>
      </c>
    </row>
    <row r="237" spans="1:14" ht="14.4" customHeight="1" x14ac:dyDescent="0.3">
      <c r="A237" s="615" t="s">
        <v>471</v>
      </c>
      <c r="B237" s="616" t="s">
        <v>2151</v>
      </c>
      <c r="C237" s="617" t="s">
        <v>476</v>
      </c>
      <c r="D237" s="618" t="s">
        <v>2152</v>
      </c>
      <c r="E237" s="617" t="s">
        <v>481</v>
      </c>
      <c r="F237" s="618" t="s">
        <v>2153</v>
      </c>
      <c r="G237" s="617" t="s">
        <v>517</v>
      </c>
      <c r="H237" s="617" t="s">
        <v>1301</v>
      </c>
      <c r="I237" s="617" t="s">
        <v>817</v>
      </c>
      <c r="J237" s="617" t="s">
        <v>1302</v>
      </c>
      <c r="K237" s="617"/>
      <c r="L237" s="619">
        <v>70.326585650134518</v>
      </c>
      <c r="M237" s="619">
        <v>3</v>
      </c>
      <c r="N237" s="620">
        <v>210.97975695040356</v>
      </c>
    </row>
    <row r="238" spans="1:14" ht="14.4" customHeight="1" x14ac:dyDescent="0.3">
      <c r="A238" s="615" t="s">
        <v>471</v>
      </c>
      <c r="B238" s="616" t="s">
        <v>2151</v>
      </c>
      <c r="C238" s="617" t="s">
        <v>476</v>
      </c>
      <c r="D238" s="618" t="s">
        <v>2152</v>
      </c>
      <c r="E238" s="617" t="s">
        <v>481</v>
      </c>
      <c r="F238" s="618" t="s">
        <v>2153</v>
      </c>
      <c r="G238" s="617" t="s">
        <v>517</v>
      </c>
      <c r="H238" s="617" t="s">
        <v>1303</v>
      </c>
      <c r="I238" s="617" t="s">
        <v>1304</v>
      </c>
      <c r="J238" s="617" t="s">
        <v>1305</v>
      </c>
      <c r="K238" s="617" t="s">
        <v>1167</v>
      </c>
      <c r="L238" s="619">
        <v>36.408571428571427</v>
      </c>
      <c r="M238" s="619">
        <v>35</v>
      </c>
      <c r="N238" s="620">
        <v>1274.3</v>
      </c>
    </row>
    <row r="239" spans="1:14" ht="14.4" customHeight="1" x14ac:dyDescent="0.3">
      <c r="A239" s="615" t="s">
        <v>471</v>
      </c>
      <c r="B239" s="616" t="s">
        <v>2151</v>
      </c>
      <c r="C239" s="617" t="s">
        <v>476</v>
      </c>
      <c r="D239" s="618" t="s">
        <v>2152</v>
      </c>
      <c r="E239" s="617" t="s">
        <v>481</v>
      </c>
      <c r="F239" s="618" t="s">
        <v>2153</v>
      </c>
      <c r="G239" s="617" t="s">
        <v>517</v>
      </c>
      <c r="H239" s="617" t="s">
        <v>1306</v>
      </c>
      <c r="I239" s="617" t="s">
        <v>817</v>
      </c>
      <c r="J239" s="617" t="s">
        <v>1307</v>
      </c>
      <c r="K239" s="617"/>
      <c r="L239" s="619">
        <v>82.689999999999955</v>
      </c>
      <c r="M239" s="619">
        <v>1</v>
      </c>
      <c r="N239" s="620">
        <v>82.689999999999955</v>
      </c>
    </row>
    <row r="240" spans="1:14" ht="14.4" customHeight="1" x14ac:dyDescent="0.3">
      <c r="A240" s="615" t="s">
        <v>471</v>
      </c>
      <c r="B240" s="616" t="s">
        <v>2151</v>
      </c>
      <c r="C240" s="617" t="s">
        <v>476</v>
      </c>
      <c r="D240" s="618" t="s">
        <v>2152</v>
      </c>
      <c r="E240" s="617" t="s">
        <v>481</v>
      </c>
      <c r="F240" s="618" t="s">
        <v>2153</v>
      </c>
      <c r="G240" s="617" t="s">
        <v>517</v>
      </c>
      <c r="H240" s="617" t="s">
        <v>1308</v>
      </c>
      <c r="I240" s="617" t="s">
        <v>1309</v>
      </c>
      <c r="J240" s="617" t="s">
        <v>1310</v>
      </c>
      <c r="K240" s="617" t="s">
        <v>1311</v>
      </c>
      <c r="L240" s="619">
        <v>83.13</v>
      </c>
      <c r="M240" s="619">
        <v>1</v>
      </c>
      <c r="N240" s="620">
        <v>83.13</v>
      </c>
    </row>
    <row r="241" spans="1:14" ht="14.4" customHeight="1" x14ac:dyDescent="0.3">
      <c r="A241" s="615" t="s">
        <v>471</v>
      </c>
      <c r="B241" s="616" t="s">
        <v>2151</v>
      </c>
      <c r="C241" s="617" t="s">
        <v>476</v>
      </c>
      <c r="D241" s="618" t="s">
        <v>2152</v>
      </c>
      <c r="E241" s="617" t="s">
        <v>481</v>
      </c>
      <c r="F241" s="618" t="s">
        <v>2153</v>
      </c>
      <c r="G241" s="617" t="s">
        <v>517</v>
      </c>
      <c r="H241" s="617" t="s">
        <v>1312</v>
      </c>
      <c r="I241" s="617" t="s">
        <v>1313</v>
      </c>
      <c r="J241" s="617" t="s">
        <v>1314</v>
      </c>
      <c r="K241" s="617" t="s">
        <v>1315</v>
      </c>
      <c r="L241" s="619">
        <v>46.540035568224937</v>
      </c>
      <c r="M241" s="619">
        <v>9</v>
      </c>
      <c r="N241" s="620">
        <v>418.86032011402443</v>
      </c>
    </row>
    <row r="242" spans="1:14" ht="14.4" customHeight="1" x14ac:dyDescent="0.3">
      <c r="A242" s="615" t="s">
        <v>471</v>
      </c>
      <c r="B242" s="616" t="s">
        <v>2151</v>
      </c>
      <c r="C242" s="617" t="s">
        <v>476</v>
      </c>
      <c r="D242" s="618" t="s">
        <v>2152</v>
      </c>
      <c r="E242" s="617" t="s">
        <v>481</v>
      </c>
      <c r="F242" s="618" t="s">
        <v>2153</v>
      </c>
      <c r="G242" s="617" t="s">
        <v>517</v>
      </c>
      <c r="H242" s="617" t="s">
        <v>1316</v>
      </c>
      <c r="I242" s="617" t="s">
        <v>1317</v>
      </c>
      <c r="J242" s="617" t="s">
        <v>1318</v>
      </c>
      <c r="K242" s="617" t="s">
        <v>1319</v>
      </c>
      <c r="L242" s="619">
        <v>59.899999999999984</v>
      </c>
      <c r="M242" s="619">
        <v>2</v>
      </c>
      <c r="N242" s="620">
        <v>119.79999999999997</v>
      </c>
    </row>
    <row r="243" spans="1:14" ht="14.4" customHeight="1" x14ac:dyDescent="0.3">
      <c r="A243" s="615" t="s">
        <v>471</v>
      </c>
      <c r="B243" s="616" t="s">
        <v>2151</v>
      </c>
      <c r="C243" s="617" t="s">
        <v>476</v>
      </c>
      <c r="D243" s="618" t="s">
        <v>2152</v>
      </c>
      <c r="E243" s="617" t="s">
        <v>481</v>
      </c>
      <c r="F243" s="618" t="s">
        <v>2153</v>
      </c>
      <c r="G243" s="617" t="s">
        <v>517</v>
      </c>
      <c r="H243" s="617" t="s">
        <v>1320</v>
      </c>
      <c r="I243" s="617" t="s">
        <v>1321</v>
      </c>
      <c r="J243" s="617" t="s">
        <v>1322</v>
      </c>
      <c r="K243" s="617" t="s">
        <v>1323</v>
      </c>
      <c r="L243" s="619">
        <v>59.900000000000006</v>
      </c>
      <c r="M243" s="619">
        <v>2</v>
      </c>
      <c r="N243" s="620">
        <v>119.80000000000001</v>
      </c>
    </row>
    <row r="244" spans="1:14" ht="14.4" customHeight="1" x14ac:dyDescent="0.3">
      <c r="A244" s="615" t="s">
        <v>471</v>
      </c>
      <c r="B244" s="616" t="s">
        <v>2151</v>
      </c>
      <c r="C244" s="617" t="s">
        <v>476</v>
      </c>
      <c r="D244" s="618" t="s">
        <v>2152</v>
      </c>
      <c r="E244" s="617" t="s">
        <v>481</v>
      </c>
      <c r="F244" s="618" t="s">
        <v>2153</v>
      </c>
      <c r="G244" s="617" t="s">
        <v>517</v>
      </c>
      <c r="H244" s="617" t="s">
        <v>1324</v>
      </c>
      <c r="I244" s="617" t="s">
        <v>1325</v>
      </c>
      <c r="J244" s="617" t="s">
        <v>1326</v>
      </c>
      <c r="K244" s="617" t="s">
        <v>1327</v>
      </c>
      <c r="L244" s="619">
        <v>63.64999999999997</v>
      </c>
      <c r="M244" s="619">
        <v>2</v>
      </c>
      <c r="N244" s="620">
        <v>127.29999999999994</v>
      </c>
    </row>
    <row r="245" spans="1:14" ht="14.4" customHeight="1" x14ac:dyDescent="0.3">
      <c r="A245" s="615" t="s">
        <v>471</v>
      </c>
      <c r="B245" s="616" t="s">
        <v>2151</v>
      </c>
      <c r="C245" s="617" t="s">
        <v>476</v>
      </c>
      <c r="D245" s="618" t="s">
        <v>2152</v>
      </c>
      <c r="E245" s="617" t="s">
        <v>481</v>
      </c>
      <c r="F245" s="618" t="s">
        <v>2153</v>
      </c>
      <c r="G245" s="617" t="s">
        <v>517</v>
      </c>
      <c r="H245" s="617" t="s">
        <v>1328</v>
      </c>
      <c r="I245" s="617" t="s">
        <v>817</v>
      </c>
      <c r="J245" s="617" t="s">
        <v>1329</v>
      </c>
      <c r="K245" s="617"/>
      <c r="L245" s="619">
        <v>134.08937909353122</v>
      </c>
      <c r="M245" s="619">
        <v>3</v>
      </c>
      <c r="N245" s="620">
        <v>402.26813728059369</v>
      </c>
    </row>
    <row r="246" spans="1:14" ht="14.4" customHeight="1" x14ac:dyDescent="0.3">
      <c r="A246" s="615" t="s">
        <v>471</v>
      </c>
      <c r="B246" s="616" t="s">
        <v>2151</v>
      </c>
      <c r="C246" s="617" t="s">
        <v>476</v>
      </c>
      <c r="D246" s="618" t="s">
        <v>2152</v>
      </c>
      <c r="E246" s="617" t="s">
        <v>481</v>
      </c>
      <c r="F246" s="618" t="s">
        <v>2153</v>
      </c>
      <c r="G246" s="617" t="s">
        <v>517</v>
      </c>
      <c r="H246" s="617" t="s">
        <v>1330</v>
      </c>
      <c r="I246" s="617" t="s">
        <v>1331</v>
      </c>
      <c r="J246" s="617" t="s">
        <v>1332</v>
      </c>
      <c r="K246" s="617" t="s">
        <v>1333</v>
      </c>
      <c r="L246" s="619">
        <v>68.149999999999991</v>
      </c>
      <c r="M246" s="619">
        <v>11</v>
      </c>
      <c r="N246" s="620">
        <v>749.64999999999986</v>
      </c>
    </row>
    <row r="247" spans="1:14" ht="14.4" customHeight="1" x14ac:dyDescent="0.3">
      <c r="A247" s="615" t="s">
        <v>471</v>
      </c>
      <c r="B247" s="616" t="s">
        <v>2151</v>
      </c>
      <c r="C247" s="617" t="s">
        <v>476</v>
      </c>
      <c r="D247" s="618" t="s">
        <v>2152</v>
      </c>
      <c r="E247" s="617" t="s">
        <v>481</v>
      </c>
      <c r="F247" s="618" t="s">
        <v>2153</v>
      </c>
      <c r="G247" s="617" t="s">
        <v>517</v>
      </c>
      <c r="H247" s="617" t="s">
        <v>1334</v>
      </c>
      <c r="I247" s="617" t="s">
        <v>1335</v>
      </c>
      <c r="J247" s="617" t="s">
        <v>1336</v>
      </c>
      <c r="K247" s="617" t="s">
        <v>1337</v>
      </c>
      <c r="L247" s="619">
        <v>617.98</v>
      </c>
      <c r="M247" s="619">
        <v>1</v>
      </c>
      <c r="N247" s="620">
        <v>617.98</v>
      </c>
    </row>
    <row r="248" spans="1:14" ht="14.4" customHeight="1" x14ac:dyDescent="0.3">
      <c r="A248" s="615" t="s">
        <v>471</v>
      </c>
      <c r="B248" s="616" t="s">
        <v>2151</v>
      </c>
      <c r="C248" s="617" t="s">
        <v>476</v>
      </c>
      <c r="D248" s="618" t="s">
        <v>2152</v>
      </c>
      <c r="E248" s="617" t="s">
        <v>481</v>
      </c>
      <c r="F248" s="618" t="s">
        <v>2153</v>
      </c>
      <c r="G248" s="617" t="s">
        <v>517</v>
      </c>
      <c r="H248" s="617" t="s">
        <v>1338</v>
      </c>
      <c r="I248" s="617" t="s">
        <v>1339</v>
      </c>
      <c r="J248" s="617" t="s">
        <v>1340</v>
      </c>
      <c r="K248" s="617" t="s">
        <v>1341</v>
      </c>
      <c r="L248" s="619">
        <v>539.39</v>
      </c>
      <c r="M248" s="619">
        <v>1</v>
      </c>
      <c r="N248" s="620">
        <v>539.39</v>
      </c>
    </row>
    <row r="249" spans="1:14" ht="14.4" customHeight="1" x14ac:dyDescent="0.3">
      <c r="A249" s="615" t="s">
        <v>471</v>
      </c>
      <c r="B249" s="616" t="s">
        <v>2151</v>
      </c>
      <c r="C249" s="617" t="s">
        <v>476</v>
      </c>
      <c r="D249" s="618" t="s">
        <v>2152</v>
      </c>
      <c r="E249" s="617" t="s">
        <v>481</v>
      </c>
      <c r="F249" s="618" t="s">
        <v>2153</v>
      </c>
      <c r="G249" s="617" t="s">
        <v>517</v>
      </c>
      <c r="H249" s="617" t="s">
        <v>1342</v>
      </c>
      <c r="I249" s="617" t="s">
        <v>1343</v>
      </c>
      <c r="J249" s="617" t="s">
        <v>1344</v>
      </c>
      <c r="K249" s="617" t="s">
        <v>1345</v>
      </c>
      <c r="L249" s="619">
        <v>105.41</v>
      </c>
      <c r="M249" s="619">
        <v>20</v>
      </c>
      <c r="N249" s="620">
        <v>2108.1999999999998</v>
      </c>
    </row>
    <row r="250" spans="1:14" ht="14.4" customHeight="1" x14ac:dyDescent="0.3">
      <c r="A250" s="615" t="s">
        <v>471</v>
      </c>
      <c r="B250" s="616" t="s">
        <v>2151</v>
      </c>
      <c r="C250" s="617" t="s">
        <v>476</v>
      </c>
      <c r="D250" s="618" t="s">
        <v>2152</v>
      </c>
      <c r="E250" s="617" t="s">
        <v>481</v>
      </c>
      <c r="F250" s="618" t="s">
        <v>2153</v>
      </c>
      <c r="G250" s="617" t="s">
        <v>517</v>
      </c>
      <c r="H250" s="617" t="s">
        <v>1346</v>
      </c>
      <c r="I250" s="617" t="s">
        <v>1346</v>
      </c>
      <c r="J250" s="617" t="s">
        <v>1347</v>
      </c>
      <c r="K250" s="617" t="s">
        <v>1348</v>
      </c>
      <c r="L250" s="619">
        <v>606.50971005303427</v>
      </c>
      <c r="M250" s="619">
        <v>2</v>
      </c>
      <c r="N250" s="620">
        <v>1213.0194201060685</v>
      </c>
    </row>
    <row r="251" spans="1:14" ht="14.4" customHeight="1" x14ac:dyDescent="0.3">
      <c r="A251" s="615" t="s">
        <v>471</v>
      </c>
      <c r="B251" s="616" t="s">
        <v>2151</v>
      </c>
      <c r="C251" s="617" t="s">
        <v>476</v>
      </c>
      <c r="D251" s="618" t="s">
        <v>2152</v>
      </c>
      <c r="E251" s="617" t="s">
        <v>481</v>
      </c>
      <c r="F251" s="618" t="s">
        <v>2153</v>
      </c>
      <c r="G251" s="617" t="s">
        <v>517</v>
      </c>
      <c r="H251" s="617" t="s">
        <v>1349</v>
      </c>
      <c r="I251" s="617" t="s">
        <v>1350</v>
      </c>
      <c r="J251" s="617" t="s">
        <v>1351</v>
      </c>
      <c r="K251" s="617" t="s">
        <v>1167</v>
      </c>
      <c r="L251" s="619">
        <v>80.458750000000023</v>
      </c>
      <c r="M251" s="619">
        <v>80</v>
      </c>
      <c r="N251" s="620">
        <v>6436.7000000000016</v>
      </c>
    </row>
    <row r="252" spans="1:14" ht="14.4" customHeight="1" x14ac:dyDescent="0.3">
      <c r="A252" s="615" t="s">
        <v>471</v>
      </c>
      <c r="B252" s="616" t="s">
        <v>2151</v>
      </c>
      <c r="C252" s="617" t="s">
        <v>476</v>
      </c>
      <c r="D252" s="618" t="s">
        <v>2152</v>
      </c>
      <c r="E252" s="617" t="s">
        <v>481</v>
      </c>
      <c r="F252" s="618" t="s">
        <v>2153</v>
      </c>
      <c r="G252" s="617" t="s">
        <v>517</v>
      </c>
      <c r="H252" s="617" t="s">
        <v>1352</v>
      </c>
      <c r="I252" s="617" t="s">
        <v>817</v>
      </c>
      <c r="J252" s="617" t="s">
        <v>1353</v>
      </c>
      <c r="K252" s="617" t="s">
        <v>1354</v>
      </c>
      <c r="L252" s="619">
        <v>1554.65</v>
      </c>
      <c r="M252" s="619">
        <v>1</v>
      </c>
      <c r="N252" s="620">
        <v>1554.65</v>
      </c>
    </row>
    <row r="253" spans="1:14" ht="14.4" customHeight="1" x14ac:dyDescent="0.3">
      <c r="A253" s="615" t="s">
        <v>471</v>
      </c>
      <c r="B253" s="616" t="s">
        <v>2151</v>
      </c>
      <c r="C253" s="617" t="s">
        <v>476</v>
      </c>
      <c r="D253" s="618" t="s">
        <v>2152</v>
      </c>
      <c r="E253" s="617" t="s">
        <v>481</v>
      </c>
      <c r="F253" s="618" t="s">
        <v>2153</v>
      </c>
      <c r="G253" s="617" t="s">
        <v>517</v>
      </c>
      <c r="H253" s="617" t="s">
        <v>1355</v>
      </c>
      <c r="I253" s="617" t="s">
        <v>817</v>
      </c>
      <c r="J253" s="617" t="s">
        <v>1356</v>
      </c>
      <c r="K253" s="617" t="s">
        <v>1357</v>
      </c>
      <c r="L253" s="619">
        <v>64.63333333333334</v>
      </c>
      <c r="M253" s="619">
        <v>7</v>
      </c>
      <c r="N253" s="620">
        <v>452.43333333333334</v>
      </c>
    </row>
    <row r="254" spans="1:14" ht="14.4" customHeight="1" x14ac:dyDescent="0.3">
      <c r="A254" s="615" t="s">
        <v>471</v>
      </c>
      <c r="B254" s="616" t="s">
        <v>2151</v>
      </c>
      <c r="C254" s="617" t="s">
        <v>476</v>
      </c>
      <c r="D254" s="618" t="s">
        <v>2152</v>
      </c>
      <c r="E254" s="617" t="s">
        <v>481</v>
      </c>
      <c r="F254" s="618" t="s">
        <v>2153</v>
      </c>
      <c r="G254" s="617" t="s">
        <v>517</v>
      </c>
      <c r="H254" s="617" t="s">
        <v>1358</v>
      </c>
      <c r="I254" s="617" t="s">
        <v>817</v>
      </c>
      <c r="J254" s="617" t="s">
        <v>1359</v>
      </c>
      <c r="K254" s="617"/>
      <c r="L254" s="619">
        <v>179.95000000000002</v>
      </c>
      <c r="M254" s="619">
        <v>1</v>
      </c>
      <c r="N254" s="620">
        <v>179.95000000000002</v>
      </c>
    </row>
    <row r="255" spans="1:14" ht="14.4" customHeight="1" x14ac:dyDescent="0.3">
      <c r="A255" s="615" t="s">
        <v>471</v>
      </c>
      <c r="B255" s="616" t="s">
        <v>2151</v>
      </c>
      <c r="C255" s="617" t="s">
        <v>476</v>
      </c>
      <c r="D255" s="618" t="s">
        <v>2152</v>
      </c>
      <c r="E255" s="617" t="s">
        <v>481</v>
      </c>
      <c r="F255" s="618" t="s">
        <v>2153</v>
      </c>
      <c r="G255" s="617" t="s">
        <v>517</v>
      </c>
      <c r="H255" s="617" t="s">
        <v>1360</v>
      </c>
      <c r="I255" s="617" t="s">
        <v>817</v>
      </c>
      <c r="J255" s="617" t="s">
        <v>1361</v>
      </c>
      <c r="K255" s="617" t="s">
        <v>1362</v>
      </c>
      <c r="L255" s="619">
        <v>396.75</v>
      </c>
      <c r="M255" s="619">
        <v>6</v>
      </c>
      <c r="N255" s="620">
        <v>2380.5</v>
      </c>
    </row>
    <row r="256" spans="1:14" ht="14.4" customHeight="1" x14ac:dyDescent="0.3">
      <c r="A256" s="615" t="s">
        <v>471</v>
      </c>
      <c r="B256" s="616" t="s">
        <v>2151</v>
      </c>
      <c r="C256" s="617" t="s">
        <v>476</v>
      </c>
      <c r="D256" s="618" t="s">
        <v>2152</v>
      </c>
      <c r="E256" s="617" t="s">
        <v>481</v>
      </c>
      <c r="F256" s="618" t="s">
        <v>2153</v>
      </c>
      <c r="G256" s="617" t="s">
        <v>517</v>
      </c>
      <c r="H256" s="617" t="s">
        <v>1363</v>
      </c>
      <c r="I256" s="617" t="s">
        <v>1363</v>
      </c>
      <c r="J256" s="617" t="s">
        <v>1364</v>
      </c>
      <c r="K256" s="617" t="s">
        <v>1365</v>
      </c>
      <c r="L256" s="619">
        <v>992.01129400339926</v>
      </c>
      <c r="M256" s="619">
        <v>58</v>
      </c>
      <c r="N256" s="620">
        <v>57536.655052197159</v>
      </c>
    </row>
    <row r="257" spans="1:14" ht="14.4" customHeight="1" x14ac:dyDescent="0.3">
      <c r="A257" s="615" t="s">
        <v>471</v>
      </c>
      <c r="B257" s="616" t="s">
        <v>2151</v>
      </c>
      <c r="C257" s="617" t="s">
        <v>476</v>
      </c>
      <c r="D257" s="618" t="s">
        <v>2152</v>
      </c>
      <c r="E257" s="617" t="s">
        <v>481</v>
      </c>
      <c r="F257" s="618" t="s">
        <v>2153</v>
      </c>
      <c r="G257" s="617" t="s">
        <v>517</v>
      </c>
      <c r="H257" s="617" t="s">
        <v>1366</v>
      </c>
      <c r="I257" s="617" t="s">
        <v>817</v>
      </c>
      <c r="J257" s="617" t="s">
        <v>1367</v>
      </c>
      <c r="K257" s="617"/>
      <c r="L257" s="619">
        <v>149.22369755933346</v>
      </c>
      <c r="M257" s="619">
        <v>5</v>
      </c>
      <c r="N257" s="620">
        <v>746.1184877966673</v>
      </c>
    </row>
    <row r="258" spans="1:14" ht="14.4" customHeight="1" x14ac:dyDescent="0.3">
      <c r="A258" s="615" t="s">
        <v>471</v>
      </c>
      <c r="B258" s="616" t="s">
        <v>2151</v>
      </c>
      <c r="C258" s="617" t="s">
        <v>476</v>
      </c>
      <c r="D258" s="618" t="s">
        <v>2152</v>
      </c>
      <c r="E258" s="617" t="s">
        <v>481</v>
      </c>
      <c r="F258" s="618" t="s">
        <v>2153</v>
      </c>
      <c r="G258" s="617" t="s">
        <v>517</v>
      </c>
      <c r="H258" s="617" t="s">
        <v>1368</v>
      </c>
      <c r="I258" s="617" t="s">
        <v>817</v>
      </c>
      <c r="J258" s="617" t="s">
        <v>1369</v>
      </c>
      <c r="K258" s="617"/>
      <c r="L258" s="619">
        <v>59.341796707511044</v>
      </c>
      <c r="M258" s="619">
        <v>2</v>
      </c>
      <c r="N258" s="620">
        <v>118.68359341502209</v>
      </c>
    </row>
    <row r="259" spans="1:14" ht="14.4" customHeight="1" x14ac:dyDescent="0.3">
      <c r="A259" s="615" t="s">
        <v>471</v>
      </c>
      <c r="B259" s="616" t="s">
        <v>2151</v>
      </c>
      <c r="C259" s="617" t="s">
        <v>476</v>
      </c>
      <c r="D259" s="618" t="s">
        <v>2152</v>
      </c>
      <c r="E259" s="617" t="s">
        <v>481</v>
      </c>
      <c r="F259" s="618" t="s">
        <v>2153</v>
      </c>
      <c r="G259" s="617" t="s">
        <v>517</v>
      </c>
      <c r="H259" s="617" t="s">
        <v>1370</v>
      </c>
      <c r="I259" s="617" t="s">
        <v>1371</v>
      </c>
      <c r="J259" s="617" t="s">
        <v>1372</v>
      </c>
      <c r="K259" s="617" t="s">
        <v>1373</v>
      </c>
      <c r="L259" s="619">
        <v>16.170185185185183</v>
      </c>
      <c r="M259" s="619">
        <v>54</v>
      </c>
      <c r="N259" s="620">
        <v>873.18999999999994</v>
      </c>
    </row>
    <row r="260" spans="1:14" ht="14.4" customHeight="1" x14ac:dyDescent="0.3">
      <c r="A260" s="615" t="s">
        <v>471</v>
      </c>
      <c r="B260" s="616" t="s">
        <v>2151</v>
      </c>
      <c r="C260" s="617" t="s">
        <v>476</v>
      </c>
      <c r="D260" s="618" t="s">
        <v>2152</v>
      </c>
      <c r="E260" s="617" t="s">
        <v>481</v>
      </c>
      <c r="F260" s="618" t="s">
        <v>2153</v>
      </c>
      <c r="G260" s="617" t="s">
        <v>517</v>
      </c>
      <c r="H260" s="617" t="s">
        <v>1374</v>
      </c>
      <c r="I260" s="617" t="s">
        <v>817</v>
      </c>
      <c r="J260" s="617" t="s">
        <v>1375</v>
      </c>
      <c r="K260" s="617"/>
      <c r="L260" s="619">
        <v>77.735262625778972</v>
      </c>
      <c r="M260" s="619">
        <v>15</v>
      </c>
      <c r="N260" s="620">
        <v>1166.0289393866847</v>
      </c>
    </row>
    <row r="261" spans="1:14" ht="14.4" customHeight="1" x14ac:dyDescent="0.3">
      <c r="A261" s="615" t="s">
        <v>471</v>
      </c>
      <c r="B261" s="616" t="s">
        <v>2151</v>
      </c>
      <c r="C261" s="617" t="s">
        <v>476</v>
      </c>
      <c r="D261" s="618" t="s">
        <v>2152</v>
      </c>
      <c r="E261" s="617" t="s">
        <v>481</v>
      </c>
      <c r="F261" s="618" t="s">
        <v>2153</v>
      </c>
      <c r="G261" s="617" t="s">
        <v>517</v>
      </c>
      <c r="H261" s="617" t="s">
        <v>1376</v>
      </c>
      <c r="I261" s="617" t="s">
        <v>1377</v>
      </c>
      <c r="J261" s="617" t="s">
        <v>1378</v>
      </c>
      <c r="K261" s="617" t="s">
        <v>1379</v>
      </c>
      <c r="L261" s="619">
        <v>368.91</v>
      </c>
      <c r="M261" s="619">
        <v>2</v>
      </c>
      <c r="N261" s="620">
        <v>737.82</v>
      </c>
    </row>
    <row r="262" spans="1:14" ht="14.4" customHeight="1" x14ac:dyDescent="0.3">
      <c r="A262" s="615" t="s">
        <v>471</v>
      </c>
      <c r="B262" s="616" t="s">
        <v>2151</v>
      </c>
      <c r="C262" s="617" t="s">
        <v>476</v>
      </c>
      <c r="D262" s="618" t="s">
        <v>2152</v>
      </c>
      <c r="E262" s="617" t="s">
        <v>481</v>
      </c>
      <c r="F262" s="618" t="s">
        <v>2153</v>
      </c>
      <c r="G262" s="617" t="s">
        <v>517</v>
      </c>
      <c r="H262" s="617" t="s">
        <v>1380</v>
      </c>
      <c r="I262" s="617" t="s">
        <v>817</v>
      </c>
      <c r="J262" s="617" t="s">
        <v>1381</v>
      </c>
      <c r="K262" s="617" t="s">
        <v>1382</v>
      </c>
      <c r="L262" s="619">
        <v>221.2168812398707</v>
      </c>
      <c r="M262" s="619">
        <v>1</v>
      </c>
      <c r="N262" s="620">
        <v>221.2168812398707</v>
      </c>
    </row>
    <row r="263" spans="1:14" ht="14.4" customHeight="1" x14ac:dyDescent="0.3">
      <c r="A263" s="615" t="s">
        <v>471</v>
      </c>
      <c r="B263" s="616" t="s">
        <v>2151</v>
      </c>
      <c r="C263" s="617" t="s">
        <v>476</v>
      </c>
      <c r="D263" s="618" t="s">
        <v>2152</v>
      </c>
      <c r="E263" s="617" t="s">
        <v>481</v>
      </c>
      <c r="F263" s="618" t="s">
        <v>2153</v>
      </c>
      <c r="G263" s="617" t="s">
        <v>517</v>
      </c>
      <c r="H263" s="617" t="s">
        <v>1383</v>
      </c>
      <c r="I263" s="617" t="s">
        <v>1384</v>
      </c>
      <c r="J263" s="617" t="s">
        <v>1385</v>
      </c>
      <c r="K263" s="617" t="s">
        <v>1386</v>
      </c>
      <c r="L263" s="619">
        <v>91.580000000000013</v>
      </c>
      <c r="M263" s="619">
        <v>2</v>
      </c>
      <c r="N263" s="620">
        <v>183.16000000000003</v>
      </c>
    </row>
    <row r="264" spans="1:14" ht="14.4" customHeight="1" x14ac:dyDescent="0.3">
      <c r="A264" s="615" t="s">
        <v>471</v>
      </c>
      <c r="B264" s="616" t="s">
        <v>2151</v>
      </c>
      <c r="C264" s="617" t="s">
        <v>476</v>
      </c>
      <c r="D264" s="618" t="s">
        <v>2152</v>
      </c>
      <c r="E264" s="617" t="s">
        <v>481</v>
      </c>
      <c r="F264" s="618" t="s">
        <v>2153</v>
      </c>
      <c r="G264" s="617" t="s">
        <v>517</v>
      </c>
      <c r="H264" s="617" t="s">
        <v>1387</v>
      </c>
      <c r="I264" s="617" t="s">
        <v>1388</v>
      </c>
      <c r="J264" s="617" t="s">
        <v>1389</v>
      </c>
      <c r="K264" s="617" t="s">
        <v>1390</v>
      </c>
      <c r="L264" s="619">
        <v>61.819999999999979</v>
      </c>
      <c r="M264" s="619">
        <v>1</v>
      </c>
      <c r="N264" s="620">
        <v>61.819999999999979</v>
      </c>
    </row>
    <row r="265" spans="1:14" ht="14.4" customHeight="1" x14ac:dyDescent="0.3">
      <c r="A265" s="615" t="s">
        <v>471</v>
      </c>
      <c r="B265" s="616" t="s">
        <v>2151</v>
      </c>
      <c r="C265" s="617" t="s">
        <v>476</v>
      </c>
      <c r="D265" s="618" t="s">
        <v>2152</v>
      </c>
      <c r="E265" s="617" t="s">
        <v>481</v>
      </c>
      <c r="F265" s="618" t="s">
        <v>2153</v>
      </c>
      <c r="G265" s="617" t="s">
        <v>517</v>
      </c>
      <c r="H265" s="617" t="s">
        <v>1391</v>
      </c>
      <c r="I265" s="617" t="s">
        <v>817</v>
      </c>
      <c r="J265" s="617" t="s">
        <v>1392</v>
      </c>
      <c r="K265" s="617"/>
      <c r="L265" s="619">
        <v>88.44591226939086</v>
      </c>
      <c r="M265" s="619">
        <v>1</v>
      </c>
      <c r="N265" s="620">
        <v>88.44591226939086</v>
      </c>
    </row>
    <row r="266" spans="1:14" ht="14.4" customHeight="1" x14ac:dyDescent="0.3">
      <c r="A266" s="615" t="s">
        <v>471</v>
      </c>
      <c r="B266" s="616" t="s">
        <v>2151</v>
      </c>
      <c r="C266" s="617" t="s">
        <v>476</v>
      </c>
      <c r="D266" s="618" t="s">
        <v>2152</v>
      </c>
      <c r="E266" s="617" t="s">
        <v>481</v>
      </c>
      <c r="F266" s="618" t="s">
        <v>2153</v>
      </c>
      <c r="G266" s="617" t="s">
        <v>517</v>
      </c>
      <c r="H266" s="617" t="s">
        <v>1393</v>
      </c>
      <c r="I266" s="617" t="s">
        <v>1394</v>
      </c>
      <c r="J266" s="617" t="s">
        <v>1395</v>
      </c>
      <c r="K266" s="617" t="s">
        <v>1396</v>
      </c>
      <c r="L266" s="619">
        <v>152.26500000000004</v>
      </c>
      <c r="M266" s="619">
        <v>2</v>
      </c>
      <c r="N266" s="620">
        <v>304.53000000000009</v>
      </c>
    </row>
    <row r="267" spans="1:14" ht="14.4" customHeight="1" x14ac:dyDescent="0.3">
      <c r="A267" s="615" t="s">
        <v>471</v>
      </c>
      <c r="B267" s="616" t="s">
        <v>2151</v>
      </c>
      <c r="C267" s="617" t="s">
        <v>476</v>
      </c>
      <c r="D267" s="618" t="s">
        <v>2152</v>
      </c>
      <c r="E267" s="617" t="s">
        <v>481</v>
      </c>
      <c r="F267" s="618" t="s">
        <v>2153</v>
      </c>
      <c r="G267" s="617" t="s">
        <v>517</v>
      </c>
      <c r="H267" s="617" t="s">
        <v>1397</v>
      </c>
      <c r="I267" s="617" t="s">
        <v>1398</v>
      </c>
      <c r="J267" s="617" t="s">
        <v>1399</v>
      </c>
      <c r="K267" s="617" t="s">
        <v>1400</v>
      </c>
      <c r="L267" s="619">
        <v>44.19</v>
      </c>
      <c r="M267" s="619">
        <v>7</v>
      </c>
      <c r="N267" s="620">
        <v>309.33</v>
      </c>
    </row>
    <row r="268" spans="1:14" ht="14.4" customHeight="1" x14ac:dyDescent="0.3">
      <c r="A268" s="615" t="s">
        <v>471</v>
      </c>
      <c r="B268" s="616" t="s">
        <v>2151</v>
      </c>
      <c r="C268" s="617" t="s">
        <v>476</v>
      </c>
      <c r="D268" s="618" t="s">
        <v>2152</v>
      </c>
      <c r="E268" s="617" t="s">
        <v>481</v>
      </c>
      <c r="F268" s="618" t="s">
        <v>2153</v>
      </c>
      <c r="G268" s="617" t="s">
        <v>517</v>
      </c>
      <c r="H268" s="617" t="s">
        <v>1401</v>
      </c>
      <c r="I268" s="617" t="s">
        <v>817</v>
      </c>
      <c r="J268" s="617" t="s">
        <v>1402</v>
      </c>
      <c r="K268" s="617" t="s">
        <v>1403</v>
      </c>
      <c r="L268" s="619">
        <v>128.64160000000001</v>
      </c>
      <c r="M268" s="619">
        <v>1</v>
      </c>
      <c r="N268" s="620">
        <v>128.64160000000001</v>
      </c>
    </row>
    <row r="269" spans="1:14" ht="14.4" customHeight="1" x14ac:dyDescent="0.3">
      <c r="A269" s="615" t="s">
        <v>471</v>
      </c>
      <c r="B269" s="616" t="s">
        <v>2151</v>
      </c>
      <c r="C269" s="617" t="s">
        <v>476</v>
      </c>
      <c r="D269" s="618" t="s">
        <v>2152</v>
      </c>
      <c r="E269" s="617" t="s">
        <v>481</v>
      </c>
      <c r="F269" s="618" t="s">
        <v>2153</v>
      </c>
      <c r="G269" s="617" t="s">
        <v>517</v>
      </c>
      <c r="H269" s="617" t="s">
        <v>1404</v>
      </c>
      <c r="I269" s="617" t="s">
        <v>1405</v>
      </c>
      <c r="J269" s="617" t="s">
        <v>1406</v>
      </c>
      <c r="K269" s="617" t="s">
        <v>1407</v>
      </c>
      <c r="L269" s="619">
        <v>175.73</v>
      </c>
      <c r="M269" s="619">
        <v>3</v>
      </c>
      <c r="N269" s="620">
        <v>527.18999999999994</v>
      </c>
    </row>
    <row r="270" spans="1:14" ht="14.4" customHeight="1" x14ac:dyDescent="0.3">
      <c r="A270" s="615" t="s">
        <v>471</v>
      </c>
      <c r="B270" s="616" t="s">
        <v>2151</v>
      </c>
      <c r="C270" s="617" t="s">
        <v>476</v>
      </c>
      <c r="D270" s="618" t="s">
        <v>2152</v>
      </c>
      <c r="E270" s="617" t="s">
        <v>481</v>
      </c>
      <c r="F270" s="618" t="s">
        <v>2153</v>
      </c>
      <c r="G270" s="617" t="s">
        <v>517</v>
      </c>
      <c r="H270" s="617" t="s">
        <v>1408</v>
      </c>
      <c r="I270" s="617" t="s">
        <v>1408</v>
      </c>
      <c r="J270" s="617" t="s">
        <v>1409</v>
      </c>
      <c r="K270" s="617" t="s">
        <v>856</v>
      </c>
      <c r="L270" s="619">
        <v>110.80666666666666</v>
      </c>
      <c r="M270" s="619">
        <v>3</v>
      </c>
      <c r="N270" s="620">
        <v>332.41999999999996</v>
      </c>
    </row>
    <row r="271" spans="1:14" ht="14.4" customHeight="1" x14ac:dyDescent="0.3">
      <c r="A271" s="615" t="s">
        <v>471</v>
      </c>
      <c r="B271" s="616" t="s">
        <v>2151</v>
      </c>
      <c r="C271" s="617" t="s">
        <v>476</v>
      </c>
      <c r="D271" s="618" t="s">
        <v>2152</v>
      </c>
      <c r="E271" s="617" t="s">
        <v>481</v>
      </c>
      <c r="F271" s="618" t="s">
        <v>2153</v>
      </c>
      <c r="G271" s="617" t="s">
        <v>517</v>
      </c>
      <c r="H271" s="617" t="s">
        <v>1410</v>
      </c>
      <c r="I271" s="617" t="s">
        <v>817</v>
      </c>
      <c r="J271" s="617" t="s">
        <v>1411</v>
      </c>
      <c r="K271" s="617"/>
      <c r="L271" s="619">
        <v>108.62999999999994</v>
      </c>
      <c r="M271" s="619">
        <v>2</v>
      </c>
      <c r="N271" s="620">
        <v>217.25999999999988</v>
      </c>
    </row>
    <row r="272" spans="1:14" ht="14.4" customHeight="1" x14ac:dyDescent="0.3">
      <c r="A272" s="615" t="s">
        <v>471</v>
      </c>
      <c r="B272" s="616" t="s">
        <v>2151</v>
      </c>
      <c r="C272" s="617" t="s">
        <v>476</v>
      </c>
      <c r="D272" s="618" t="s">
        <v>2152</v>
      </c>
      <c r="E272" s="617" t="s">
        <v>481</v>
      </c>
      <c r="F272" s="618" t="s">
        <v>2153</v>
      </c>
      <c r="G272" s="617" t="s">
        <v>517</v>
      </c>
      <c r="H272" s="617" t="s">
        <v>1412</v>
      </c>
      <c r="I272" s="617" t="s">
        <v>1412</v>
      </c>
      <c r="J272" s="617" t="s">
        <v>1413</v>
      </c>
      <c r="K272" s="617" t="s">
        <v>1414</v>
      </c>
      <c r="L272" s="619">
        <v>247.5</v>
      </c>
      <c r="M272" s="619">
        <v>2</v>
      </c>
      <c r="N272" s="620">
        <v>495</v>
      </c>
    </row>
    <row r="273" spans="1:14" ht="14.4" customHeight="1" x14ac:dyDescent="0.3">
      <c r="A273" s="615" t="s">
        <v>471</v>
      </c>
      <c r="B273" s="616" t="s">
        <v>2151</v>
      </c>
      <c r="C273" s="617" t="s">
        <v>476</v>
      </c>
      <c r="D273" s="618" t="s">
        <v>2152</v>
      </c>
      <c r="E273" s="617" t="s">
        <v>481</v>
      </c>
      <c r="F273" s="618" t="s">
        <v>2153</v>
      </c>
      <c r="G273" s="617" t="s">
        <v>517</v>
      </c>
      <c r="H273" s="617" t="s">
        <v>1415</v>
      </c>
      <c r="I273" s="617" t="s">
        <v>1416</v>
      </c>
      <c r="J273" s="617" t="s">
        <v>1417</v>
      </c>
      <c r="K273" s="617" t="s">
        <v>1418</v>
      </c>
      <c r="L273" s="619">
        <v>502.62284157145194</v>
      </c>
      <c r="M273" s="619">
        <v>1</v>
      </c>
      <c r="N273" s="620">
        <v>502.62284157145194</v>
      </c>
    </row>
    <row r="274" spans="1:14" ht="14.4" customHeight="1" x14ac:dyDescent="0.3">
      <c r="A274" s="615" t="s">
        <v>471</v>
      </c>
      <c r="B274" s="616" t="s">
        <v>2151</v>
      </c>
      <c r="C274" s="617" t="s">
        <v>476</v>
      </c>
      <c r="D274" s="618" t="s">
        <v>2152</v>
      </c>
      <c r="E274" s="617" t="s">
        <v>481</v>
      </c>
      <c r="F274" s="618" t="s">
        <v>2153</v>
      </c>
      <c r="G274" s="617" t="s">
        <v>517</v>
      </c>
      <c r="H274" s="617" t="s">
        <v>1419</v>
      </c>
      <c r="I274" s="617" t="s">
        <v>1419</v>
      </c>
      <c r="J274" s="617" t="s">
        <v>1420</v>
      </c>
      <c r="K274" s="617" t="s">
        <v>1421</v>
      </c>
      <c r="L274" s="619">
        <v>132.58000795995173</v>
      </c>
      <c r="M274" s="619">
        <v>1</v>
      </c>
      <c r="N274" s="620">
        <v>132.58000795995173</v>
      </c>
    </row>
    <row r="275" spans="1:14" ht="14.4" customHeight="1" x14ac:dyDescent="0.3">
      <c r="A275" s="615" t="s">
        <v>471</v>
      </c>
      <c r="B275" s="616" t="s">
        <v>2151</v>
      </c>
      <c r="C275" s="617" t="s">
        <v>476</v>
      </c>
      <c r="D275" s="618" t="s">
        <v>2152</v>
      </c>
      <c r="E275" s="617" t="s">
        <v>481</v>
      </c>
      <c r="F275" s="618" t="s">
        <v>2153</v>
      </c>
      <c r="G275" s="617" t="s">
        <v>517</v>
      </c>
      <c r="H275" s="617" t="s">
        <v>1422</v>
      </c>
      <c r="I275" s="617" t="s">
        <v>817</v>
      </c>
      <c r="J275" s="617" t="s">
        <v>1423</v>
      </c>
      <c r="K275" s="617"/>
      <c r="L275" s="619">
        <v>322.12110339806298</v>
      </c>
      <c r="M275" s="619">
        <v>1</v>
      </c>
      <c r="N275" s="620">
        <v>322.12110339806298</v>
      </c>
    </row>
    <row r="276" spans="1:14" ht="14.4" customHeight="1" x14ac:dyDescent="0.3">
      <c r="A276" s="615" t="s">
        <v>471</v>
      </c>
      <c r="B276" s="616" t="s">
        <v>2151</v>
      </c>
      <c r="C276" s="617" t="s">
        <v>476</v>
      </c>
      <c r="D276" s="618" t="s">
        <v>2152</v>
      </c>
      <c r="E276" s="617" t="s">
        <v>481</v>
      </c>
      <c r="F276" s="618" t="s">
        <v>2153</v>
      </c>
      <c r="G276" s="617" t="s">
        <v>517</v>
      </c>
      <c r="H276" s="617" t="s">
        <v>1424</v>
      </c>
      <c r="I276" s="617" t="s">
        <v>817</v>
      </c>
      <c r="J276" s="617" t="s">
        <v>1425</v>
      </c>
      <c r="K276" s="617"/>
      <c r="L276" s="619">
        <v>58.080465532858021</v>
      </c>
      <c r="M276" s="619">
        <v>78</v>
      </c>
      <c r="N276" s="620">
        <v>4530.2763115629259</v>
      </c>
    </row>
    <row r="277" spans="1:14" ht="14.4" customHeight="1" x14ac:dyDescent="0.3">
      <c r="A277" s="615" t="s">
        <v>471</v>
      </c>
      <c r="B277" s="616" t="s">
        <v>2151</v>
      </c>
      <c r="C277" s="617" t="s">
        <v>476</v>
      </c>
      <c r="D277" s="618" t="s">
        <v>2152</v>
      </c>
      <c r="E277" s="617" t="s">
        <v>481</v>
      </c>
      <c r="F277" s="618" t="s">
        <v>2153</v>
      </c>
      <c r="G277" s="617" t="s">
        <v>517</v>
      </c>
      <c r="H277" s="617" t="s">
        <v>1426</v>
      </c>
      <c r="I277" s="617" t="s">
        <v>1427</v>
      </c>
      <c r="J277" s="617" t="s">
        <v>1428</v>
      </c>
      <c r="K277" s="617" t="s">
        <v>1429</v>
      </c>
      <c r="L277" s="619">
        <v>10700.8</v>
      </c>
      <c r="M277" s="619">
        <v>1</v>
      </c>
      <c r="N277" s="620">
        <v>10700.8</v>
      </c>
    </row>
    <row r="278" spans="1:14" ht="14.4" customHeight="1" x14ac:dyDescent="0.3">
      <c r="A278" s="615" t="s">
        <v>471</v>
      </c>
      <c r="B278" s="616" t="s">
        <v>2151</v>
      </c>
      <c r="C278" s="617" t="s">
        <v>476</v>
      </c>
      <c r="D278" s="618" t="s">
        <v>2152</v>
      </c>
      <c r="E278" s="617" t="s">
        <v>481</v>
      </c>
      <c r="F278" s="618" t="s">
        <v>2153</v>
      </c>
      <c r="G278" s="617" t="s">
        <v>517</v>
      </c>
      <c r="H278" s="617" t="s">
        <v>1430</v>
      </c>
      <c r="I278" s="617" t="s">
        <v>1430</v>
      </c>
      <c r="J278" s="617" t="s">
        <v>1431</v>
      </c>
      <c r="K278" s="617" t="s">
        <v>1432</v>
      </c>
      <c r="L278" s="619">
        <v>95.823336276184222</v>
      </c>
      <c r="M278" s="619">
        <v>15</v>
      </c>
      <c r="N278" s="620">
        <v>1437.3500441427634</v>
      </c>
    </row>
    <row r="279" spans="1:14" ht="14.4" customHeight="1" x14ac:dyDescent="0.3">
      <c r="A279" s="615" t="s">
        <v>471</v>
      </c>
      <c r="B279" s="616" t="s">
        <v>2151</v>
      </c>
      <c r="C279" s="617" t="s">
        <v>476</v>
      </c>
      <c r="D279" s="618" t="s">
        <v>2152</v>
      </c>
      <c r="E279" s="617" t="s">
        <v>481</v>
      </c>
      <c r="F279" s="618" t="s">
        <v>2153</v>
      </c>
      <c r="G279" s="617" t="s">
        <v>517</v>
      </c>
      <c r="H279" s="617" t="s">
        <v>1433</v>
      </c>
      <c r="I279" s="617" t="s">
        <v>1433</v>
      </c>
      <c r="J279" s="617" t="s">
        <v>569</v>
      </c>
      <c r="K279" s="617" t="s">
        <v>1434</v>
      </c>
      <c r="L279" s="619">
        <v>63.77</v>
      </c>
      <c r="M279" s="619">
        <v>10</v>
      </c>
      <c r="N279" s="620">
        <v>637.70000000000005</v>
      </c>
    </row>
    <row r="280" spans="1:14" ht="14.4" customHeight="1" x14ac:dyDescent="0.3">
      <c r="A280" s="615" t="s">
        <v>471</v>
      </c>
      <c r="B280" s="616" t="s">
        <v>2151</v>
      </c>
      <c r="C280" s="617" t="s">
        <v>476</v>
      </c>
      <c r="D280" s="618" t="s">
        <v>2152</v>
      </c>
      <c r="E280" s="617" t="s">
        <v>481</v>
      </c>
      <c r="F280" s="618" t="s">
        <v>2153</v>
      </c>
      <c r="G280" s="617" t="s">
        <v>517</v>
      </c>
      <c r="H280" s="617" t="s">
        <v>1435</v>
      </c>
      <c r="I280" s="617" t="s">
        <v>1435</v>
      </c>
      <c r="J280" s="617" t="s">
        <v>1436</v>
      </c>
      <c r="K280" s="617" t="s">
        <v>1437</v>
      </c>
      <c r="L280" s="619">
        <v>179.91</v>
      </c>
      <c r="M280" s="619">
        <v>1</v>
      </c>
      <c r="N280" s="620">
        <v>179.91</v>
      </c>
    </row>
    <row r="281" spans="1:14" ht="14.4" customHeight="1" x14ac:dyDescent="0.3">
      <c r="A281" s="615" t="s">
        <v>471</v>
      </c>
      <c r="B281" s="616" t="s">
        <v>2151</v>
      </c>
      <c r="C281" s="617" t="s">
        <v>476</v>
      </c>
      <c r="D281" s="618" t="s">
        <v>2152</v>
      </c>
      <c r="E281" s="617" t="s">
        <v>481</v>
      </c>
      <c r="F281" s="618" t="s">
        <v>2153</v>
      </c>
      <c r="G281" s="617" t="s">
        <v>517</v>
      </c>
      <c r="H281" s="617" t="s">
        <v>1438</v>
      </c>
      <c r="I281" s="617" t="s">
        <v>817</v>
      </c>
      <c r="J281" s="617" t="s">
        <v>1439</v>
      </c>
      <c r="K281" s="617"/>
      <c r="L281" s="619">
        <v>30.082500000000003</v>
      </c>
      <c r="M281" s="619">
        <v>64</v>
      </c>
      <c r="N281" s="620">
        <v>1925.2800000000002</v>
      </c>
    </row>
    <row r="282" spans="1:14" ht="14.4" customHeight="1" x14ac:dyDescent="0.3">
      <c r="A282" s="615" t="s">
        <v>471</v>
      </c>
      <c r="B282" s="616" t="s">
        <v>2151</v>
      </c>
      <c r="C282" s="617" t="s">
        <v>476</v>
      </c>
      <c r="D282" s="618" t="s">
        <v>2152</v>
      </c>
      <c r="E282" s="617" t="s">
        <v>481</v>
      </c>
      <c r="F282" s="618" t="s">
        <v>2153</v>
      </c>
      <c r="G282" s="617" t="s">
        <v>517</v>
      </c>
      <c r="H282" s="617" t="s">
        <v>1440</v>
      </c>
      <c r="I282" s="617" t="s">
        <v>817</v>
      </c>
      <c r="J282" s="617" t="s">
        <v>1441</v>
      </c>
      <c r="K282" s="617"/>
      <c r="L282" s="619">
        <v>37.700079833325539</v>
      </c>
      <c r="M282" s="619">
        <v>20</v>
      </c>
      <c r="N282" s="620">
        <v>754.00159666651075</v>
      </c>
    </row>
    <row r="283" spans="1:14" ht="14.4" customHeight="1" x14ac:dyDescent="0.3">
      <c r="A283" s="615" t="s">
        <v>471</v>
      </c>
      <c r="B283" s="616" t="s">
        <v>2151</v>
      </c>
      <c r="C283" s="617" t="s">
        <v>476</v>
      </c>
      <c r="D283" s="618" t="s">
        <v>2152</v>
      </c>
      <c r="E283" s="617" t="s">
        <v>481</v>
      </c>
      <c r="F283" s="618" t="s">
        <v>2153</v>
      </c>
      <c r="G283" s="617" t="s">
        <v>517</v>
      </c>
      <c r="H283" s="617" t="s">
        <v>1442</v>
      </c>
      <c r="I283" s="617" t="s">
        <v>1442</v>
      </c>
      <c r="J283" s="617" t="s">
        <v>1443</v>
      </c>
      <c r="K283" s="617" t="s">
        <v>1444</v>
      </c>
      <c r="L283" s="619">
        <v>534.14864136171593</v>
      </c>
      <c r="M283" s="619">
        <v>1</v>
      </c>
      <c r="N283" s="620">
        <v>534.14864136171593</v>
      </c>
    </row>
    <row r="284" spans="1:14" ht="14.4" customHeight="1" x14ac:dyDescent="0.3">
      <c r="A284" s="615" t="s">
        <v>471</v>
      </c>
      <c r="B284" s="616" t="s">
        <v>2151</v>
      </c>
      <c r="C284" s="617" t="s">
        <v>476</v>
      </c>
      <c r="D284" s="618" t="s">
        <v>2152</v>
      </c>
      <c r="E284" s="617" t="s">
        <v>481</v>
      </c>
      <c r="F284" s="618" t="s">
        <v>2153</v>
      </c>
      <c r="G284" s="617" t="s">
        <v>517</v>
      </c>
      <c r="H284" s="617" t="s">
        <v>1445</v>
      </c>
      <c r="I284" s="617" t="s">
        <v>1446</v>
      </c>
      <c r="J284" s="617" t="s">
        <v>1447</v>
      </c>
      <c r="K284" s="617" t="s">
        <v>1448</v>
      </c>
      <c r="L284" s="619">
        <v>55.29</v>
      </c>
      <c r="M284" s="619">
        <v>1</v>
      </c>
      <c r="N284" s="620">
        <v>55.29</v>
      </c>
    </row>
    <row r="285" spans="1:14" ht="14.4" customHeight="1" x14ac:dyDescent="0.3">
      <c r="A285" s="615" t="s">
        <v>471</v>
      </c>
      <c r="B285" s="616" t="s">
        <v>2151</v>
      </c>
      <c r="C285" s="617" t="s">
        <v>476</v>
      </c>
      <c r="D285" s="618" t="s">
        <v>2152</v>
      </c>
      <c r="E285" s="617" t="s">
        <v>481</v>
      </c>
      <c r="F285" s="618" t="s">
        <v>2153</v>
      </c>
      <c r="G285" s="617" t="s">
        <v>517</v>
      </c>
      <c r="H285" s="617" t="s">
        <v>1449</v>
      </c>
      <c r="I285" s="617" t="s">
        <v>817</v>
      </c>
      <c r="J285" s="617" t="s">
        <v>1450</v>
      </c>
      <c r="K285" s="617" t="s">
        <v>1451</v>
      </c>
      <c r="L285" s="619">
        <v>90.362838407501812</v>
      </c>
      <c r="M285" s="619">
        <v>1</v>
      </c>
      <c r="N285" s="620">
        <v>90.362838407501812</v>
      </c>
    </row>
    <row r="286" spans="1:14" ht="14.4" customHeight="1" x14ac:dyDescent="0.3">
      <c r="A286" s="615" t="s">
        <v>471</v>
      </c>
      <c r="B286" s="616" t="s">
        <v>2151</v>
      </c>
      <c r="C286" s="617" t="s">
        <v>476</v>
      </c>
      <c r="D286" s="618" t="s">
        <v>2152</v>
      </c>
      <c r="E286" s="617" t="s">
        <v>481</v>
      </c>
      <c r="F286" s="618" t="s">
        <v>2153</v>
      </c>
      <c r="G286" s="617" t="s">
        <v>517</v>
      </c>
      <c r="H286" s="617" t="s">
        <v>1452</v>
      </c>
      <c r="I286" s="617" t="s">
        <v>1452</v>
      </c>
      <c r="J286" s="617" t="s">
        <v>836</v>
      </c>
      <c r="K286" s="617" t="s">
        <v>1453</v>
      </c>
      <c r="L286" s="619">
        <v>130.72999999999999</v>
      </c>
      <c r="M286" s="619">
        <v>2</v>
      </c>
      <c r="N286" s="620">
        <v>261.45999999999998</v>
      </c>
    </row>
    <row r="287" spans="1:14" ht="14.4" customHeight="1" x14ac:dyDescent="0.3">
      <c r="A287" s="615" t="s">
        <v>471</v>
      </c>
      <c r="B287" s="616" t="s">
        <v>2151</v>
      </c>
      <c r="C287" s="617" t="s">
        <v>476</v>
      </c>
      <c r="D287" s="618" t="s">
        <v>2152</v>
      </c>
      <c r="E287" s="617" t="s">
        <v>481</v>
      </c>
      <c r="F287" s="618" t="s">
        <v>2153</v>
      </c>
      <c r="G287" s="617" t="s">
        <v>517</v>
      </c>
      <c r="H287" s="617" t="s">
        <v>1454</v>
      </c>
      <c r="I287" s="617" t="s">
        <v>1454</v>
      </c>
      <c r="J287" s="617" t="s">
        <v>1455</v>
      </c>
      <c r="K287" s="617" t="s">
        <v>1456</v>
      </c>
      <c r="L287" s="619">
        <v>44</v>
      </c>
      <c r="M287" s="619">
        <v>13</v>
      </c>
      <c r="N287" s="620">
        <v>572</v>
      </c>
    </row>
    <row r="288" spans="1:14" ht="14.4" customHeight="1" x14ac:dyDescent="0.3">
      <c r="A288" s="615" t="s">
        <v>471</v>
      </c>
      <c r="B288" s="616" t="s">
        <v>2151</v>
      </c>
      <c r="C288" s="617" t="s">
        <v>476</v>
      </c>
      <c r="D288" s="618" t="s">
        <v>2152</v>
      </c>
      <c r="E288" s="617" t="s">
        <v>481</v>
      </c>
      <c r="F288" s="618" t="s">
        <v>2153</v>
      </c>
      <c r="G288" s="617" t="s">
        <v>517</v>
      </c>
      <c r="H288" s="617" t="s">
        <v>1457</v>
      </c>
      <c r="I288" s="617" t="s">
        <v>1457</v>
      </c>
      <c r="J288" s="617" t="s">
        <v>1458</v>
      </c>
      <c r="K288" s="617" t="s">
        <v>1459</v>
      </c>
      <c r="L288" s="619">
        <v>77.72</v>
      </c>
      <c r="M288" s="619">
        <v>1</v>
      </c>
      <c r="N288" s="620">
        <v>77.72</v>
      </c>
    </row>
    <row r="289" spans="1:14" ht="14.4" customHeight="1" x14ac:dyDescent="0.3">
      <c r="A289" s="615" t="s">
        <v>471</v>
      </c>
      <c r="B289" s="616" t="s">
        <v>2151</v>
      </c>
      <c r="C289" s="617" t="s">
        <v>476</v>
      </c>
      <c r="D289" s="618" t="s">
        <v>2152</v>
      </c>
      <c r="E289" s="617" t="s">
        <v>481</v>
      </c>
      <c r="F289" s="618" t="s">
        <v>2153</v>
      </c>
      <c r="G289" s="617" t="s">
        <v>517</v>
      </c>
      <c r="H289" s="617" t="s">
        <v>1460</v>
      </c>
      <c r="I289" s="617" t="s">
        <v>1460</v>
      </c>
      <c r="J289" s="617" t="s">
        <v>1461</v>
      </c>
      <c r="K289" s="617" t="s">
        <v>1462</v>
      </c>
      <c r="L289" s="619">
        <v>431.69008983271215</v>
      </c>
      <c r="M289" s="619">
        <v>10</v>
      </c>
      <c r="N289" s="620">
        <v>4316.9008983271215</v>
      </c>
    </row>
    <row r="290" spans="1:14" ht="14.4" customHeight="1" x14ac:dyDescent="0.3">
      <c r="A290" s="615" t="s">
        <v>471</v>
      </c>
      <c r="B290" s="616" t="s">
        <v>2151</v>
      </c>
      <c r="C290" s="617" t="s">
        <v>476</v>
      </c>
      <c r="D290" s="618" t="s">
        <v>2152</v>
      </c>
      <c r="E290" s="617" t="s">
        <v>481</v>
      </c>
      <c r="F290" s="618" t="s">
        <v>2153</v>
      </c>
      <c r="G290" s="617" t="s">
        <v>517</v>
      </c>
      <c r="H290" s="617" t="s">
        <v>1463</v>
      </c>
      <c r="I290" s="617" t="s">
        <v>1463</v>
      </c>
      <c r="J290" s="617" t="s">
        <v>1464</v>
      </c>
      <c r="K290" s="617" t="s">
        <v>1465</v>
      </c>
      <c r="L290" s="619">
        <v>431.90000000000003</v>
      </c>
      <c r="M290" s="619">
        <v>8</v>
      </c>
      <c r="N290" s="620">
        <v>3455.2000000000003</v>
      </c>
    </row>
    <row r="291" spans="1:14" ht="14.4" customHeight="1" x14ac:dyDescent="0.3">
      <c r="A291" s="615" t="s">
        <v>471</v>
      </c>
      <c r="B291" s="616" t="s">
        <v>2151</v>
      </c>
      <c r="C291" s="617" t="s">
        <v>476</v>
      </c>
      <c r="D291" s="618" t="s">
        <v>2152</v>
      </c>
      <c r="E291" s="617" t="s">
        <v>481</v>
      </c>
      <c r="F291" s="618" t="s">
        <v>2153</v>
      </c>
      <c r="G291" s="617" t="s">
        <v>517</v>
      </c>
      <c r="H291" s="617" t="s">
        <v>1466</v>
      </c>
      <c r="I291" s="617" t="s">
        <v>1466</v>
      </c>
      <c r="J291" s="617" t="s">
        <v>1467</v>
      </c>
      <c r="K291" s="617" t="s">
        <v>1468</v>
      </c>
      <c r="L291" s="619">
        <v>178.36504082348225</v>
      </c>
      <c r="M291" s="619">
        <v>9</v>
      </c>
      <c r="N291" s="620">
        <v>1605.2853674113403</v>
      </c>
    </row>
    <row r="292" spans="1:14" ht="14.4" customHeight="1" x14ac:dyDescent="0.3">
      <c r="A292" s="615" t="s">
        <v>471</v>
      </c>
      <c r="B292" s="616" t="s">
        <v>2151</v>
      </c>
      <c r="C292" s="617" t="s">
        <v>476</v>
      </c>
      <c r="D292" s="618" t="s">
        <v>2152</v>
      </c>
      <c r="E292" s="617" t="s">
        <v>481</v>
      </c>
      <c r="F292" s="618" t="s">
        <v>2153</v>
      </c>
      <c r="G292" s="617" t="s">
        <v>517</v>
      </c>
      <c r="H292" s="617" t="s">
        <v>1469</v>
      </c>
      <c r="I292" s="617" t="s">
        <v>1470</v>
      </c>
      <c r="J292" s="617" t="s">
        <v>1471</v>
      </c>
      <c r="K292" s="617"/>
      <c r="L292" s="619">
        <v>163.57000689864887</v>
      </c>
      <c r="M292" s="619">
        <v>7</v>
      </c>
      <c r="N292" s="620">
        <v>1144.9900482905421</v>
      </c>
    </row>
    <row r="293" spans="1:14" ht="14.4" customHeight="1" x14ac:dyDescent="0.3">
      <c r="A293" s="615" t="s">
        <v>471</v>
      </c>
      <c r="B293" s="616" t="s">
        <v>2151</v>
      </c>
      <c r="C293" s="617" t="s">
        <v>476</v>
      </c>
      <c r="D293" s="618" t="s">
        <v>2152</v>
      </c>
      <c r="E293" s="617" t="s">
        <v>481</v>
      </c>
      <c r="F293" s="618" t="s">
        <v>2153</v>
      </c>
      <c r="G293" s="617" t="s">
        <v>517</v>
      </c>
      <c r="H293" s="617" t="s">
        <v>1472</v>
      </c>
      <c r="I293" s="617" t="s">
        <v>1472</v>
      </c>
      <c r="J293" s="617" t="s">
        <v>1473</v>
      </c>
      <c r="K293" s="617" t="s">
        <v>1474</v>
      </c>
      <c r="L293" s="619">
        <v>169.57</v>
      </c>
      <c r="M293" s="619">
        <v>1</v>
      </c>
      <c r="N293" s="620">
        <v>169.57</v>
      </c>
    </row>
    <row r="294" spans="1:14" ht="14.4" customHeight="1" x14ac:dyDescent="0.3">
      <c r="A294" s="615" t="s">
        <v>471</v>
      </c>
      <c r="B294" s="616" t="s">
        <v>2151</v>
      </c>
      <c r="C294" s="617" t="s">
        <v>476</v>
      </c>
      <c r="D294" s="618" t="s">
        <v>2152</v>
      </c>
      <c r="E294" s="617" t="s">
        <v>481</v>
      </c>
      <c r="F294" s="618" t="s">
        <v>2153</v>
      </c>
      <c r="G294" s="617" t="s">
        <v>517</v>
      </c>
      <c r="H294" s="617" t="s">
        <v>1475</v>
      </c>
      <c r="I294" s="617" t="s">
        <v>1475</v>
      </c>
      <c r="J294" s="617" t="s">
        <v>1476</v>
      </c>
      <c r="K294" s="617" t="s">
        <v>1477</v>
      </c>
      <c r="L294" s="619">
        <v>264.99</v>
      </c>
      <c r="M294" s="619">
        <v>1</v>
      </c>
      <c r="N294" s="620">
        <v>264.99</v>
      </c>
    </row>
    <row r="295" spans="1:14" ht="14.4" customHeight="1" x14ac:dyDescent="0.3">
      <c r="A295" s="615" t="s">
        <v>471</v>
      </c>
      <c r="B295" s="616" t="s">
        <v>2151</v>
      </c>
      <c r="C295" s="617" t="s">
        <v>476</v>
      </c>
      <c r="D295" s="618" t="s">
        <v>2152</v>
      </c>
      <c r="E295" s="617" t="s">
        <v>481</v>
      </c>
      <c r="F295" s="618" t="s">
        <v>2153</v>
      </c>
      <c r="G295" s="617" t="s">
        <v>517</v>
      </c>
      <c r="H295" s="617" t="s">
        <v>1478</v>
      </c>
      <c r="I295" s="617" t="s">
        <v>817</v>
      </c>
      <c r="J295" s="617" t="s">
        <v>1479</v>
      </c>
      <c r="K295" s="617"/>
      <c r="L295" s="619">
        <v>71.830000142714596</v>
      </c>
      <c r="M295" s="619">
        <v>21</v>
      </c>
      <c r="N295" s="620">
        <v>1508.4300029970066</v>
      </c>
    </row>
    <row r="296" spans="1:14" ht="14.4" customHeight="1" x14ac:dyDescent="0.3">
      <c r="A296" s="615" t="s">
        <v>471</v>
      </c>
      <c r="B296" s="616" t="s">
        <v>2151</v>
      </c>
      <c r="C296" s="617" t="s">
        <v>476</v>
      </c>
      <c r="D296" s="618" t="s">
        <v>2152</v>
      </c>
      <c r="E296" s="617" t="s">
        <v>481</v>
      </c>
      <c r="F296" s="618" t="s">
        <v>2153</v>
      </c>
      <c r="G296" s="617" t="s">
        <v>517</v>
      </c>
      <c r="H296" s="617" t="s">
        <v>1480</v>
      </c>
      <c r="I296" s="617" t="s">
        <v>1480</v>
      </c>
      <c r="J296" s="617" t="s">
        <v>1481</v>
      </c>
      <c r="K296" s="617" t="s">
        <v>1482</v>
      </c>
      <c r="L296" s="619">
        <v>1063.2400000000002</v>
      </c>
      <c r="M296" s="619">
        <v>1</v>
      </c>
      <c r="N296" s="620">
        <v>1063.2400000000002</v>
      </c>
    </row>
    <row r="297" spans="1:14" ht="14.4" customHeight="1" x14ac:dyDescent="0.3">
      <c r="A297" s="615" t="s">
        <v>471</v>
      </c>
      <c r="B297" s="616" t="s">
        <v>2151</v>
      </c>
      <c r="C297" s="617" t="s">
        <v>476</v>
      </c>
      <c r="D297" s="618" t="s">
        <v>2152</v>
      </c>
      <c r="E297" s="617" t="s">
        <v>481</v>
      </c>
      <c r="F297" s="618" t="s">
        <v>2153</v>
      </c>
      <c r="G297" s="617" t="s">
        <v>517</v>
      </c>
      <c r="H297" s="617" t="s">
        <v>1483</v>
      </c>
      <c r="I297" s="617" t="s">
        <v>817</v>
      </c>
      <c r="J297" s="617" t="s">
        <v>1484</v>
      </c>
      <c r="K297" s="617"/>
      <c r="L297" s="619">
        <v>31.9919955836972</v>
      </c>
      <c r="M297" s="619">
        <v>25</v>
      </c>
      <c r="N297" s="620">
        <v>799.79988959242996</v>
      </c>
    </row>
    <row r="298" spans="1:14" ht="14.4" customHeight="1" x14ac:dyDescent="0.3">
      <c r="A298" s="615" t="s">
        <v>471</v>
      </c>
      <c r="B298" s="616" t="s">
        <v>2151</v>
      </c>
      <c r="C298" s="617" t="s">
        <v>476</v>
      </c>
      <c r="D298" s="618" t="s">
        <v>2152</v>
      </c>
      <c r="E298" s="617" t="s">
        <v>481</v>
      </c>
      <c r="F298" s="618" t="s">
        <v>2153</v>
      </c>
      <c r="G298" s="617" t="s">
        <v>517</v>
      </c>
      <c r="H298" s="617" t="s">
        <v>1485</v>
      </c>
      <c r="I298" s="617" t="s">
        <v>817</v>
      </c>
      <c r="J298" s="617" t="s">
        <v>1486</v>
      </c>
      <c r="K298" s="617"/>
      <c r="L298" s="619">
        <v>229.91006793934889</v>
      </c>
      <c r="M298" s="619">
        <v>4</v>
      </c>
      <c r="N298" s="620">
        <v>919.64027175739557</v>
      </c>
    </row>
    <row r="299" spans="1:14" ht="14.4" customHeight="1" x14ac:dyDescent="0.3">
      <c r="A299" s="615" t="s">
        <v>471</v>
      </c>
      <c r="B299" s="616" t="s">
        <v>2151</v>
      </c>
      <c r="C299" s="617" t="s">
        <v>476</v>
      </c>
      <c r="D299" s="618" t="s">
        <v>2152</v>
      </c>
      <c r="E299" s="617" t="s">
        <v>481</v>
      </c>
      <c r="F299" s="618" t="s">
        <v>2153</v>
      </c>
      <c r="G299" s="617" t="s">
        <v>517</v>
      </c>
      <c r="H299" s="617" t="s">
        <v>1487</v>
      </c>
      <c r="I299" s="617" t="s">
        <v>817</v>
      </c>
      <c r="J299" s="617" t="s">
        <v>1488</v>
      </c>
      <c r="K299" s="617"/>
      <c r="L299" s="619">
        <v>58.676666666666669</v>
      </c>
      <c r="M299" s="619">
        <v>3</v>
      </c>
      <c r="N299" s="620">
        <v>176.03</v>
      </c>
    </row>
    <row r="300" spans="1:14" ht="14.4" customHeight="1" x14ac:dyDescent="0.3">
      <c r="A300" s="615" t="s">
        <v>471</v>
      </c>
      <c r="B300" s="616" t="s">
        <v>2151</v>
      </c>
      <c r="C300" s="617" t="s">
        <v>476</v>
      </c>
      <c r="D300" s="618" t="s">
        <v>2152</v>
      </c>
      <c r="E300" s="617" t="s">
        <v>481</v>
      </c>
      <c r="F300" s="618" t="s">
        <v>2153</v>
      </c>
      <c r="G300" s="617" t="s">
        <v>517</v>
      </c>
      <c r="H300" s="617" t="s">
        <v>1489</v>
      </c>
      <c r="I300" s="617" t="s">
        <v>1489</v>
      </c>
      <c r="J300" s="617" t="s">
        <v>711</v>
      </c>
      <c r="K300" s="617" t="s">
        <v>1490</v>
      </c>
      <c r="L300" s="619">
        <v>248.25</v>
      </c>
      <c r="M300" s="619">
        <v>2</v>
      </c>
      <c r="N300" s="620">
        <v>496.5</v>
      </c>
    </row>
    <row r="301" spans="1:14" ht="14.4" customHeight="1" x14ac:dyDescent="0.3">
      <c r="A301" s="615" t="s">
        <v>471</v>
      </c>
      <c r="B301" s="616" t="s">
        <v>2151</v>
      </c>
      <c r="C301" s="617" t="s">
        <v>476</v>
      </c>
      <c r="D301" s="618" t="s">
        <v>2152</v>
      </c>
      <c r="E301" s="617" t="s">
        <v>481</v>
      </c>
      <c r="F301" s="618" t="s">
        <v>2153</v>
      </c>
      <c r="G301" s="617" t="s">
        <v>517</v>
      </c>
      <c r="H301" s="617" t="s">
        <v>1491</v>
      </c>
      <c r="I301" s="617" t="s">
        <v>1491</v>
      </c>
      <c r="J301" s="617" t="s">
        <v>1492</v>
      </c>
      <c r="K301" s="617" t="s">
        <v>1493</v>
      </c>
      <c r="L301" s="619">
        <v>56.489999999999945</v>
      </c>
      <c r="M301" s="619">
        <v>1</v>
      </c>
      <c r="N301" s="620">
        <v>56.489999999999945</v>
      </c>
    </row>
    <row r="302" spans="1:14" ht="14.4" customHeight="1" x14ac:dyDescent="0.3">
      <c r="A302" s="615" t="s">
        <v>471</v>
      </c>
      <c r="B302" s="616" t="s">
        <v>2151</v>
      </c>
      <c r="C302" s="617" t="s">
        <v>476</v>
      </c>
      <c r="D302" s="618" t="s">
        <v>2152</v>
      </c>
      <c r="E302" s="617" t="s">
        <v>481</v>
      </c>
      <c r="F302" s="618" t="s">
        <v>2153</v>
      </c>
      <c r="G302" s="617" t="s">
        <v>517</v>
      </c>
      <c r="H302" s="617" t="s">
        <v>1494</v>
      </c>
      <c r="I302" s="617" t="s">
        <v>1494</v>
      </c>
      <c r="J302" s="617" t="s">
        <v>1495</v>
      </c>
      <c r="K302" s="617" t="s">
        <v>658</v>
      </c>
      <c r="L302" s="619">
        <v>62.209830998406503</v>
      </c>
      <c r="M302" s="619">
        <v>17</v>
      </c>
      <c r="N302" s="620">
        <v>1057.5671269729105</v>
      </c>
    </row>
    <row r="303" spans="1:14" ht="14.4" customHeight="1" x14ac:dyDescent="0.3">
      <c r="A303" s="615" t="s">
        <v>471</v>
      </c>
      <c r="B303" s="616" t="s">
        <v>2151</v>
      </c>
      <c r="C303" s="617" t="s">
        <v>476</v>
      </c>
      <c r="D303" s="618" t="s">
        <v>2152</v>
      </c>
      <c r="E303" s="617" t="s">
        <v>481</v>
      </c>
      <c r="F303" s="618" t="s">
        <v>2153</v>
      </c>
      <c r="G303" s="617" t="s">
        <v>517</v>
      </c>
      <c r="H303" s="617" t="s">
        <v>1496</v>
      </c>
      <c r="I303" s="617" t="s">
        <v>1496</v>
      </c>
      <c r="J303" s="617" t="s">
        <v>1497</v>
      </c>
      <c r="K303" s="617" t="s">
        <v>1498</v>
      </c>
      <c r="L303" s="619">
        <v>72.545714285714268</v>
      </c>
      <c r="M303" s="619">
        <v>7</v>
      </c>
      <c r="N303" s="620">
        <v>507.81999999999988</v>
      </c>
    </row>
    <row r="304" spans="1:14" ht="14.4" customHeight="1" x14ac:dyDescent="0.3">
      <c r="A304" s="615" t="s">
        <v>471</v>
      </c>
      <c r="B304" s="616" t="s">
        <v>2151</v>
      </c>
      <c r="C304" s="617" t="s">
        <v>476</v>
      </c>
      <c r="D304" s="618" t="s">
        <v>2152</v>
      </c>
      <c r="E304" s="617" t="s">
        <v>481</v>
      </c>
      <c r="F304" s="618" t="s">
        <v>2153</v>
      </c>
      <c r="G304" s="617" t="s">
        <v>517</v>
      </c>
      <c r="H304" s="617" t="s">
        <v>1499</v>
      </c>
      <c r="I304" s="617" t="s">
        <v>1499</v>
      </c>
      <c r="J304" s="617" t="s">
        <v>1500</v>
      </c>
      <c r="K304" s="617" t="s">
        <v>1501</v>
      </c>
      <c r="L304" s="619">
        <v>108.39999878803403</v>
      </c>
      <c r="M304" s="619">
        <v>4</v>
      </c>
      <c r="N304" s="620">
        <v>433.5999951521361</v>
      </c>
    </row>
    <row r="305" spans="1:14" ht="14.4" customHeight="1" x14ac:dyDescent="0.3">
      <c r="A305" s="615" t="s">
        <v>471</v>
      </c>
      <c r="B305" s="616" t="s">
        <v>2151</v>
      </c>
      <c r="C305" s="617" t="s">
        <v>476</v>
      </c>
      <c r="D305" s="618" t="s">
        <v>2152</v>
      </c>
      <c r="E305" s="617" t="s">
        <v>481</v>
      </c>
      <c r="F305" s="618" t="s">
        <v>2153</v>
      </c>
      <c r="G305" s="617" t="s">
        <v>517</v>
      </c>
      <c r="H305" s="617" t="s">
        <v>1502</v>
      </c>
      <c r="I305" s="617" t="s">
        <v>1502</v>
      </c>
      <c r="J305" s="617" t="s">
        <v>1503</v>
      </c>
      <c r="K305" s="617" t="s">
        <v>1504</v>
      </c>
      <c r="L305" s="619">
        <v>264.98904936705742</v>
      </c>
      <c r="M305" s="619">
        <v>167</v>
      </c>
      <c r="N305" s="620">
        <v>44253.171244298588</v>
      </c>
    </row>
    <row r="306" spans="1:14" ht="14.4" customHeight="1" x14ac:dyDescent="0.3">
      <c r="A306" s="615" t="s">
        <v>471</v>
      </c>
      <c r="B306" s="616" t="s">
        <v>2151</v>
      </c>
      <c r="C306" s="617" t="s">
        <v>476</v>
      </c>
      <c r="D306" s="618" t="s">
        <v>2152</v>
      </c>
      <c r="E306" s="617" t="s">
        <v>481</v>
      </c>
      <c r="F306" s="618" t="s">
        <v>2153</v>
      </c>
      <c r="G306" s="617" t="s">
        <v>517</v>
      </c>
      <c r="H306" s="617" t="s">
        <v>1505</v>
      </c>
      <c r="I306" s="617" t="s">
        <v>1505</v>
      </c>
      <c r="J306" s="617" t="s">
        <v>1506</v>
      </c>
      <c r="K306" s="617" t="s">
        <v>1507</v>
      </c>
      <c r="L306" s="619">
        <v>1264.2199999999998</v>
      </c>
      <c r="M306" s="619">
        <v>1</v>
      </c>
      <c r="N306" s="620">
        <v>1264.2199999999998</v>
      </c>
    </row>
    <row r="307" spans="1:14" ht="14.4" customHeight="1" x14ac:dyDescent="0.3">
      <c r="A307" s="615" t="s">
        <v>471</v>
      </c>
      <c r="B307" s="616" t="s">
        <v>2151</v>
      </c>
      <c r="C307" s="617" t="s">
        <v>476</v>
      </c>
      <c r="D307" s="618" t="s">
        <v>2152</v>
      </c>
      <c r="E307" s="617" t="s">
        <v>481</v>
      </c>
      <c r="F307" s="618" t="s">
        <v>2153</v>
      </c>
      <c r="G307" s="617" t="s">
        <v>517</v>
      </c>
      <c r="H307" s="617" t="s">
        <v>1508</v>
      </c>
      <c r="I307" s="617" t="s">
        <v>1508</v>
      </c>
      <c r="J307" s="617" t="s">
        <v>1509</v>
      </c>
      <c r="K307" s="617" t="s">
        <v>1510</v>
      </c>
      <c r="L307" s="619">
        <v>220.29975149845941</v>
      </c>
      <c r="M307" s="619">
        <v>54</v>
      </c>
      <c r="N307" s="620">
        <v>11896.186580916808</v>
      </c>
    </row>
    <row r="308" spans="1:14" ht="14.4" customHeight="1" x14ac:dyDescent="0.3">
      <c r="A308" s="615" t="s">
        <v>471</v>
      </c>
      <c r="B308" s="616" t="s">
        <v>2151</v>
      </c>
      <c r="C308" s="617" t="s">
        <v>476</v>
      </c>
      <c r="D308" s="618" t="s">
        <v>2152</v>
      </c>
      <c r="E308" s="617" t="s">
        <v>481</v>
      </c>
      <c r="F308" s="618" t="s">
        <v>2153</v>
      </c>
      <c r="G308" s="617" t="s">
        <v>517</v>
      </c>
      <c r="H308" s="617" t="s">
        <v>1511</v>
      </c>
      <c r="I308" s="617" t="s">
        <v>1511</v>
      </c>
      <c r="J308" s="617" t="s">
        <v>1512</v>
      </c>
      <c r="K308" s="617" t="s">
        <v>1513</v>
      </c>
      <c r="L308" s="619">
        <v>372.79999999999995</v>
      </c>
      <c r="M308" s="619">
        <v>12</v>
      </c>
      <c r="N308" s="620">
        <v>4473.5999999999995</v>
      </c>
    </row>
    <row r="309" spans="1:14" ht="14.4" customHeight="1" x14ac:dyDescent="0.3">
      <c r="A309" s="615" t="s">
        <v>471</v>
      </c>
      <c r="B309" s="616" t="s">
        <v>2151</v>
      </c>
      <c r="C309" s="617" t="s">
        <v>476</v>
      </c>
      <c r="D309" s="618" t="s">
        <v>2152</v>
      </c>
      <c r="E309" s="617" t="s">
        <v>481</v>
      </c>
      <c r="F309" s="618" t="s">
        <v>2153</v>
      </c>
      <c r="G309" s="617" t="s">
        <v>517</v>
      </c>
      <c r="H309" s="617" t="s">
        <v>1514</v>
      </c>
      <c r="I309" s="617" t="s">
        <v>1514</v>
      </c>
      <c r="J309" s="617" t="s">
        <v>992</v>
      </c>
      <c r="K309" s="617" t="s">
        <v>993</v>
      </c>
      <c r="L309" s="619">
        <v>47.609908747861958</v>
      </c>
      <c r="M309" s="619">
        <v>23</v>
      </c>
      <c r="N309" s="620">
        <v>1095.027901200825</v>
      </c>
    </row>
    <row r="310" spans="1:14" ht="14.4" customHeight="1" x14ac:dyDescent="0.3">
      <c r="A310" s="615" t="s">
        <v>471</v>
      </c>
      <c r="B310" s="616" t="s">
        <v>2151</v>
      </c>
      <c r="C310" s="617" t="s">
        <v>476</v>
      </c>
      <c r="D310" s="618" t="s">
        <v>2152</v>
      </c>
      <c r="E310" s="617" t="s">
        <v>481</v>
      </c>
      <c r="F310" s="618" t="s">
        <v>2153</v>
      </c>
      <c r="G310" s="617" t="s">
        <v>517</v>
      </c>
      <c r="H310" s="617" t="s">
        <v>1515</v>
      </c>
      <c r="I310" s="617" t="s">
        <v>817</v>
      </c>
      <c r="J310" s="617" t="s">
        <v>1516</v>
      </c>
      <c r="K310" s="617"/>
      <c r="L310" s="619">
        <v>255.58799809506513</v>
      </c>
      <c r="M310" s="619">
        <v>1</v>
      </c>
      <c r="N310" s="620">
        <v>255.58799809506513</v>
      </c>
    </row>
    <row r="311" spans="1:14" ht="14.4" customHeight="1" x14ac:dyDescent="0.3">
      <c r="A311" s="615" t="s">
        <v>471</v>
      </c>
      <c r="B311" s="616" t="s">
        <v>2151</v>
      </c>
      <c r="C311" s="617" t="s">
        <v>476</v>
      </c>
      <c r="D311" s="618" t="s">
        <v>2152</v>
      </c>
      <c r="E311" s="617" t="s">
        <v>481</v>
      </c>
      <c r="F311" s="618" t="s">
        <v>2153</v>
      </c>
      <c r="G311" s="617" t="s">
        <v>517</v>
      </c>
      <c r="H311" s="617" t="s">
        <v>1517</v>
      </c>
      <c r="I311" s="617" t="s">
        <v>1517</v>
      </c>
      <c r="J311" s="617" t="s">
        <v>661</v>
      </c>
      <c r="K311" s="617" t="s">
        <v>1518</v>
      </c>
      <c r="L311" s="619">
        <v>72.914999999999992</v>
      </c>
      <c r="M311" s="619">
        <v>4</v>
      </c>
      <c r="N311" s="620">
        <v>291.65999999999997</v>
      </c>
    </row>
    <row r="312" spans="1:14" ht="14.4" customHeight="1" x14ac:dyDescent="0.3">
      <c r="A312" s="615" t="s">
        <v>471</v>
      </c>
      <c r="B312" s="616" t="s">
        <v>2151</v>
      </c>
      <c r="C312" s="617" t="s">
        <v>476</v>
      </c>
      <c r="D312" s="618" t="s">
        <v>2152</v>
      </c>
      <c r="E312" s="617" t="s">
        <v>481</v>
      </c>
      <c r="F312" s="618" t="s">
        <v>2153</v>
      </c>
      <c r="G312" s="617" t="s">
        <v>517</v>
      </c>
      <c r="H312" s="617" t="s">
        <v>1519</v>
      </c>
      <c r="I312" s="617" t="s">
        <v>817</v>
      </c>
      <c r="J312" s="617" t="s">
        <v>1520</v>
      </c>
      <c r="K312" s="617"/>
      <c r="L312" s="619">
        <v>62.779889925985017</v>
      </c>
      <c r="M312" s="619">
        <v>8</v>
      </c>
      <c r="N312" s="620">
        <v>502.23911940788014</v>
      </c>
    </row>
    <row r="313" spans="1:14" ht="14.4" customHeight="1" x14ac:dyDescent="0.3">
      <c r="A313" s="615" t="s">
        <v>471</v>
      </c>
      <c r="B313" s="616" t="s">
        <v>2151</v>
      </c>
      <c r="C313" s="617" t="s">
        <v>476</v>
      </c>
      <c r="D313" s="618" t="s">
        <v>2152</v>
      </c>
      <c r="E313" s="617" t="s">
        <v>481</v>
      </c>
      <c r="F313" s="618" t="s">
        <v>2153</v>
      </c>
      <c r="G313" s="617" t="s">
        <v>517</v>
      </c>
      <c r="H313" s="617" t="s">
        <v>1521</v>
      </c>
      <c r="I313" s="617" t="s">
        <v>1521</v>
      </c>
      <c r="J313" s="617" t="s">
        <v>1522</v>
      </c>
      <c r="K313" s="617" t="s">
        <v>1523</v>
      </c>
      <c r="L313" s="619">
        <v>48.58</v>
      </c>
      <c r="M313" s="619">
        <v>1</v>
      </c>
      <c r="N313" s="620">
        <v>48.58</v>
      </c>
    </row>
    <row r="314" spans="1:14" ht="14.4" customHeight="1" x14ac:dyDescent="0.3">
      <c r="A314" s="615" t="s">
        <v>471</v>
      </c>
      <c r="B314" s="616" t="s">
        <v>2151</v>
      </c>
      <c r="C314" s="617" t="s">
        <v>476</v>
      </c>
      <c r="D314" s="618" t="s">
        <v>2152</v>
      </c>
      <c r="E314" s="617" t="s">
        <v>481</v>
      </c>
      <c r="F314" s="618" t="s">
        <v>2153</v>
      </c>
      <c r="G314" s="617" t="s">
        <v>517</v>
      </c>
      <c r="H314" s="617" t="s">
        <v>1524</v>
      </c>
      <c r="I314" s="617" t="s">
        <v>1524</v>
      </c>
      <c r="J314" s="617" t="s">
        <v>519</v>
      </c>
      <c r="K314" s="617" t="s">
        <v>1525</v>
      </c>
      <c r="L314" s="619">
        <v>282.14999999999998</v>
      </c>
      <c r="M314" s="619">
        <v>4</v>
      </c>
      <c r="N314" s="620">
        <v>1128.5999999999999</v>
      </c>
    </row>
    <row r="315" spans="1:14" ht="14.4" customHeight="1" x14ac:dyDescent="0.3">
      <c r="A315" s="615" t="s">
        <v>471</v>
      </c>
      <c r="B315" s="616" t="s">
        <v>2151</v>
      </c>
      <c r="C315" s="617" t="s">
        <v>476</v>
      </c>
      <c r="D315" s="618" t="s">
        <v>2152</v>
      </c>
      <c r="E315" s="617" t="s">
        <v>481</v>
      </c>
      <c r="F315" s="618" t="s">
        <v>2153</v>
      </c>
      <c r="G315" s="617" t="s">
        <v>517</v>
      </c>
      <c r="H315" s="617" t="s">
        <v>1526</v>
      </c>
      <c r="I315" s="617" t="s">
        <v>1526</v>
      </c>
      <c r="J315" s="617" t="s">
        <v>1500</v>
      </c>
      <c r="K315" s="617" t="s">
        <v>1527</v>
      </c>
      <c r="L315" s="619">
        <v>182.55866497330641</v>
      </c>
      <c r="M315" s="619">
        <v>4</v>
      </c>
      <c r="N315" s="620">
        <v>730.23465989322563</v>
      </c>
    </row>
    <row r="316" spans="1:14" ht="14.4" customHeight="1" x14ac:dyDescent="0.3">
      <c r="A316" s="615" t="s">
        <v>471</v>
      </c>
      <c r="B316" s="616" t="s">
        <v>2151</v>
      </c>
      <c r="C316" s="617" t="s">
        <v>476</v>
      </c>
      <c r="D316" s="618" t="s">
        <v>2152</v>
      </c>
      <c r="E316" s="617" t="s">
        <v>481</v>
      </c>
      <c r="F316" s="618" t="s">
        <v>2153</v>
      </c>
      <c r="G316" s="617" t="s">
        <v>517</v>
      </c>
      <c r="H316" s="617" t="s">
        <v>1528</v>
      </c>
      <c r="I316" s="617" t="s">
        <v>817</v>
      </c>
      <c r="J316" s="617" t="s">
        <v>1529</v>
      </c>
      <c r="K316" s="617"/>
      <c r="L316" s="619">
        <v>250.28000000000003</v>
      </c>
      <c r="M316" s="619">
        <v>1</v>
      </c>
      <c r="N316" s="620">
        <v>250.28000000000003</v>
      </c>
    </row>
    <row r="317" spans="1:14" ht="14.4" customHeight="1" x14ac:dyDescent="0.3">
      <c r="A317" s="615" t="s">
        <v>471</v>
      </c>
      <c r="B317" s="616" t="s">
        <v>2151</v>
      </c>
      <c r="C317" s="617" t="s">
        <v>476</v>
      </c>
      <c r="D317" s="618" t="s">
        <v>2152</v>
      </c>
      <c r="E317" s="617" t="s">
        <v>481</v>
      </c>
      <c r="F317" s="618" t="s">
        <v>2153</v>
      </c>
      <c r="G317" s="617" t="s">
        <v>517</v>
      </c>
      <c r="H317" s="617" t="s">
        <v>1530</v>
      </c>
      <c r="I317" s="617" t="s">
        <v>560</v>
      </c>
      <c r="J317" s="617" t="s">
        <v>1531</v>
      </c>
      <c r="K317" s="617" t="s">
        <v>1532</v>
      </c>
      <c r="L317" s="619">
        <v>255.96583623731561</v>
      </c>
      <c r="M317" s="619">
        <v>1</v>
      </c>
      <c r="N317" s="620">
        <v>255.96583623731561</v>
      </c>
    </row>
    <row r="318" spans="1:14" ht="14.4" customHeight="1" x14ac:dyDescent="0.3">
      <c r="A318" s="615" t="s">
        <v>471</v>
      </c>
      <c r="B318" s="616" t="s">
        <v>2151</v>
      </c>
      <c r="C318" s="617" t="s">
        <v>476</v>
      </c>
      <c r="D318" s="618" t="s">
        <v>2152</v>
      </c>
      <c r="E318" s="617" t="s">
        <v>481</v>
      </c>
      <c r="F318" s="618" t="s">
        <v>2153</v>
      </c>
      <c r="G318" s="617" t="s">
        <v>517</v>
      </c>
      <c r="H318" s="617" t="s">
        <v>1533</v>
      </c>
      <c r="I318" s="617" t="s">
        <v>1533</v>
      </c>
      <c r="J318" s="617" t="s">
        <v>1534</v>
      </c>
      <c r="K318" s="617" t="s">
        <v>1535</v>
      </c>
      <c r="L318" s="619">
        <v>81.900000000000006</v>
      </c>
      <c r="M318" s="619">
        <v>1</v>
      </c>
      <c r="N318" s="620">
        <v>81.900000000000006</v>
      </c>
    </row>
    <row r="319" spans="1:14" ht="14.4" customHeight="1" x14ac:dyDescent="0.3">
      <c r="A319" s="615" t="s">
        <v>471</v>
      </c>
      <c r="B319" s="616" t="s">
        <v>2151</v>
      </c>
      <c r="C319" s="617" t="s">
        <v>476</v>
      </c>
      <c r="D319" s="618" t="s">
        <v>2152</v>
      </c>
      <c r="E319" s="617" t="s">
        <v>481</v>
      </c>
      <c r="F319" s="618" t="s">
        <v>2153</v>
      </c>
      <c r="G319" s="617" t="s">
        <v>517</v>
      </c>
      <c r="H319" s="617" t="s">
        <v>1536</v>
      </c>
      <c r="I319" s="617" t="s">
        <v>1536</v>
      </c>
      <c r="J319" s="617" t="s">
        <v>1409</v>
      </c>
      <c r="K319" s="617" t="s">
        <v>1537</v>
      </c>
      <c r="L319" s="619">
        <v>50.23</v>
      </c>
      <c r="M319" s="619">
        <v>1</v>
      </c>
      <c r="N319" s="620">
        <v>50.23</v>
      </c>
    </row>
    <row r="320" spans="1:14" ht="14.4" customHeight="1" x14ac:dyDescent="0.3">
      <c r="A320" s="615" t="s">
        <v>471</v>
      </c>
      <c r="B320" s="616" t="s">
        <v>2151</v>
      </c>
      <c r="C320" s="617" t="s">
        <v>476</v>
      </c>
      <c r="D320" s="618" t="s">
        <v>2152</v>
      </c>
      <c r="E320" s="617" t="s">
        <v>481</v>
      </c>
      <c r="F320" s="618" t="s">
        <v>2153</v>
      </c>
      <c r="G320" s="617" t="s">
        <v>517</v>
      </c>
      <c r="H320" s="617" t="s">
        <v>1538</v>
      </c>
      <c r="I320" s="617" t="s">
        <v>1538</v>
      </c>
      <c r="J320" s="617" t="s">
        <v>519</v>
      </c>
      <c r="K320" s="617" t="s">
        <v>1539</v>
      </c>
      <c r="L320" s="619">
        <v>193.78</v>
      </c>
      <c r="M320" s="619">
        <v>5</v>
      </c>
      <c r="N320" s="620">
        <v>968.9</v>
      </c>
    </row>
    <row r="321" spans="1:14" ht="14.4" customHeight="1" x14ac:dyDescent="0.3">
      <c r="A321" s="615" t="s">
        <v>471</v>
      </c>
      <c r="B321" s="616" t="s">
        <v>2151</v>
      </c>
      <c r="C321" s="617" t="s">
        <v>476</v>
      </c>
      <c r="D321" s="618" t="s">
        <v>2152</v>
      </c>
      <c r="E321" s="617" t="s">
        <v>481</v>
      </c>
      <c r="F321" s="618" t="s">
        <v>2153</v>
      </c>
      <c r="G321" s="617" t="s">
        <v>517</v>
      </c>
      <c r="H321" s="617" t="s">
        <v>1540</v>
      </c>
      <c r="I321" s="617" t="s">
        <v>1540</v>
      </c>
      <c r="J321" s="617" t="s">
        <v>1541</v>
      </c>
      <c r="K321" s="617" t="s">
        <v>1542</v>
      </c>
      <c r="L321" s="619">
        <v>180.20000000000002</v>
      </c>
      <c r="M321" s="619">
        <v>1</v>
      </c>
      <c r="N321" s="620">
        <v>180.20000000000002</v>
      </c>
    </row>
    <row r="322" spans="1:14" ht="14.4" customHeight="1" x14ac:dyDescent="0.3">
      <c r="A322" s="615" t="s">
        <v>471</v>
      </c>
      <c r="B322" s="616" t="s">
        <v>2151</v>
      </c>
      <c r="C322" s="617" t="s">
        <v>476</v>
      </c>
      <c r="D322" s="618" t="s">
        <v>2152</v>
      </c>
      <c r="E322" s="617" t="s">
        <v>481</v>
      </c>
      <c r="F322" s="618" t="s">
        <v>2153</v>
      </c>
      <c r="G322" s="617" t="s">
        <v>517</v>
      </c>
      <c r="H322" s="617" t="s">
        <v>1543</v>
      </c>
      <c r="I322" s="617" t="s">
        <v>1544</v>
      </c>
      <c r="J322" s="617" t="s">
        <v>1545</v>
      </c>
      <c r="K322" s="617" t="s">
        <v>1546</v>
      </c>
      <c r="L322" s="619">
        <v>66.400000000000006</v>
      </c>
      <c r="M322" s="619">
        <v>1</v>
      </c>
      <c r="N322" s="620">
        <v>66.400000000000006</v>
      </c>
    </row>
    <row r="323" spans="1:14" ht="14.4" customHeight="1" x14ac:dyDescent="0.3">
      <c r="A323" s="615" t="s">
        <v>471</v>
      </c>
      <c r="B323" s="616" t="s">
        <v>2151</v>
      </c>
      <c r="C323" s="617" t="s">
        <v>476</v>
      </c>
      <c r="D323" s="618" t="s">
        <v>2152</v>
      </c>
      <c r="E323" s="617" t="s">
        <v>481</v>
      </c>
      <c r="F323" s="618" t="s">
        <v>2153</v>
      </c>
      <c r="G323" s="617" t="s">
        <v>517</v>
      </c>
      <c r="H323" s="617" t="s">
        <v>1547</v>
      </c>
      <c r="I323" s="617" t="s">
        <v>1547</v>
      </c>
      <c r="J323" s="617" t="s">
        <v>1548</v>
      </c>
      <c r="K323" s="617" t="s">
        <v>1549</v>
      </c>
      <c r="L323" s="619">
        <v>167.66</v>
      </c>
      <c r="M323" s="619">
        <v>1</v>
      </c>
      <c r="N323" s="620">
        <v>167.66</v>
      </c>
    </row>
    <row r="324" spans="1:14" ht="14.4" customHeight="1" x14ac:dyDescent="0.3">
      <c r="A324" s="615" t="s">
        <v>471</v>
      </c>
      <c r="B324" s="616" t="s">
        <v>2151</v>
      </c>
      <c r="C324" s="617" t="s">
        <v>476</v>
      </c>
      <c r="D324" s="618" t="s">
        <v>2152</v>
      </c>
      <c r="E324" s="617" t="s">
        <v>481</v>
      </c>
      <c r="F324" s="618" t="s">
        <v>2153</v>
      </c>
      <c r="G324" s="617" t="s">
        <v>517</v>
      </c>
      <c r="H324" s="617" t="s">
        <v>1550</v>
      </c>
      <c r="I324" s="617" t="s">
        <v>1550</v>
      </c>
      <c r="J324" s="617" t="s">
        <v>1551</v>
      </c>
      <c r="K324" s="617" t="s">
        <v>1552</v>
      </c>
      <c r="L324" s="619">
        <v>1359.4222649828209</v>
      </c>
      <c r="M324" s="619">
        <v>15</v>
      </c>
      <c r="N324" s="620">
        <v>20391.333974742312</v>
      </c>
    </row>
    <row r="325" spans="1:14" ht="14.4" customHeight="1" x14ac:dyDescent="0.3">
      <c r="A325" s="615" t="s">
        <v>471</v>
      </c>
      <c r="B325" s="616" t="s">
        <v>2151</v>
      </c>
      <c r="C325" s="617" t="s">
        <v>476</v>
      </c>
      <c r="D325" s="618" t="s">
        <v>2152</v>
      </c>
      <c r="E325" s="617" t="s">
        <v>481</v>
      </c>
      <c r="F325" s="618" t="s">
        <v>2153</v>
      </c>
      <c r="G325" s="617" t="s">
        <v>517</v>
      </c>
      <c r="H325" s="617" t="s">
        <v>1553</v>
      </c>
      <c r="I325" s="617" t="s">
        <v>817</v>
      </c>
      <c r="J325" s="617" t="s">
        <v>1554</v>
      </c>
      <c r="K325" s="617"/>
      <c r="L325" s="619">
        <v>88.499999999999986</v>
      </c>
      <c r="M325" s="619">
        <v>14</v>
      </c>
      <c r="N325" s="620">
        <v>1238.9999999999998</v>
      </c>
    </row>
    <row r="326" spans="1:14" ht="14.4" customHeight="1" x14ac:dyDescent="0.3">
      <c r="A326" s="615" t="s">
        <v>471</v>
      </c>
      <c r="B326" s="616" t="s">
        <v>2151</v>
      </c>
      <c r="C326" s="617" t="s">
        <v>476</v>
      </c>
      <c r="D326" s="618" t="s">
        <v>2152</v>
      </c>
      <c r="E326" s="617" t="s">
        <v>481</v>
      </c>
      <c r="F326" s="618" t="s">
        <v>2153</v>
      </c>
      <c r="G326" s="617" t="s">
        <v>517</v>
      </c>
      <c r="H326" s="617" t="s">
        <v>1555</v>
      </c>
      <c r="I326" s="617" t="s">
        <v>1555</v>
      </c>
      <c r="J326" s="617" t="s">
        <v>1556</v>
      </c>
      <c r="K326" s="617" t="s">
        <v>1557</v>
      </c>
      <c r="L326" s="619">
        <v>622.43095365129659</v>
      </c>
      <c r="M326" s="619">
        <v>315</v>
      </c>
      <c r="N326" s="620">
        <v>196065.75040015843</v>
      </c>
    </row>
    <row r="327" spans="1:14" ht="14.4" customHeight="1" x14ac:dyDescent="0.3">
      <c r="A327" s="615" t="s">
        <v>471</v>
      </c>
      <c r="B327" s="616" t="s">
        <v>2151</v>
      </c>
      <c r="C327" s="617" t="s">
        <v>476</v>
      </c>
      <c r="D327" s="618" t="s">
        <v>2152</v>
      </c>
      <c r="E327" s="617" t="s">
        <v>481</v>
      </c>
      <c r="F327" s="618" t="s">
        <v>2153</v>
      </c>
      <c r="G327" s="617" t="s">
        <v>517</v>
      </c>
      <c r="H327" s="617" t="s">
        <v>1558</v>
      </c>
      <c r="I327" s="617" t="s">
        <v>1558</v>
      </c>
      <c r="J327" s="617" t="s">
        <v>1559</v>
      </c>
      <c r="K327" s="617" t="s">
        <v>1560</v>
      </c>
      <c r="L327" s="619">
        <v>94.439999999999912</v>
      </c>
      <c r="M327" s="619">
        <v>1</v>
      </c>
      <c r="N327" s="620">
        <v>94.439999999999912</v>
      </c>
    </row>
    <row r="328" spans="1:14" ht="14.4" customHeight="1" x14ac:dyDescent="0.3">
      <c r="A328" s="615" t="s">
        <v>471</v>
      </c>
      <c r="B328" s="616" t="s">
        <v>2151</v>
      </c>
      <c r="C328" s="617" t="s">
        <v>476</v>
      </c>
      <c r="D328" s="618" t="s">
        <v>2152</v>
      </c>
      <c r="E328" s="617" t="s">
        <v>481</v>
      </c>
      <c r="F328" s="618" t="s">
        <v>2153</v>
      </c>
      <c r="G328" s="617" t="s">
        <v>517</v>
      </c>
      <c r="H328" s="617" t="s">
        <v>1561</v>
      </c>
      <c r="I328" s="617" t="s">
        <v>1561</v>
      </c>
      <c r="J328" s="617" t="s">
        <v>661</v>
      </c>
      <c r="K328" s="617" t="s">
        <v>1518</v>
      </c>
      <c r="L328" s="619">
        <v>72.879624360616432</v>
      </c>
      <c r="M328" s="619">
        <v>3</v>
      </c>
      <c r="N328" s="620">
        <v>218.63887308184928</v>
      </c>
    </row>
    <row r="329" spans="1:14" ht="14.4" customHeight="1" x14ac:dyDescent="0.3">
      <c r="A329" s="615" t="s">
        <v>471</v>
      </c>
      <c r="B329" s="616" t="s">
        <v>2151</v>
      </c>
      <c r="C329" s="617" t="s">
        <v>476</v>
      </c>
      <c r="D329" s="618" t="s">
        <v>2152</v>
      </c>
      <c r="E329" s="617" t="s">
        <v>481</v>
      </c>
      <c r="F329" s="618" t="s">
        <v>2153</v>
      </c>
      <c r="G329" s="617" t="s">
        <v>517</v>
      </c>
      <c r="H329" s="617" t="s">
        <v>1562</v>
      </c>
      <c r="I329" s="617" t="s">
        <v>1562</v>
      </c>
      <c r="J329" s="617" t="s">
        <v>1563</v>
      </c>
      <c r="K329" s="617" t="s">
        <v>1564</v>
      </c>
      <c r="L329" s="619">
        <v>11.318999999999997</v>
      </c>
      <c r="M329" s="619">
        <v>6</v>
      </c>
      <c r="N329" s="620">
        <v>67.913999999999987</v>
      </c>
    </row>
    <row r="330" spans="1:14" ht="14.4" customHeight="1" x14ac:dyDescent="0.3">
      <c r="A330" s="615" t="s">
        <v>471</v>
      </c>
      <c r="B330" s="616" t="s">
        <v>2151</v>
      </c>
      <c r="C330" s="617" t="s">
        <v>476</v>
      </c>
      <c r="D330" s="618" t="s">
        <v>2152</v>
      </c>
      <c r="E330" s="617" t="s">
        <v>481</v>
      </c>
      <c r="F330" s="618" t="s">
        <v>2153</v>
      </c>
      <c r="G330" s="617" t="s">
        <v>517</v>
      </c>
      <c r="H330" s="617" t="s">
        <v>1565</v>
      </c>
      <c r="I330" s="617" t="s">
        <v>1565</v>
      </c>
      <c r="J330" s="617" t="s">
        <v>1566</v>
      </c>
      <c r="K330" s="617" t="s">
        <v>1567</v>
      </c>
      <c r="L330" s="619">
        <v>292.41871453831817</v>
      </c>
      <c r="M330" s="619">
        <v>5</v>
      </c>
      <c r="N330" s="620">
        <v>1462.0935726915909</v>
      </c>
    </row>
    <row r="331" spans="1:14" ht="14.4" customHeight="1" x14ac:dyDescent="0.3">
      <c r="A331" s="615" t="s">
        <v>471</v>
      </c>
      <c r="B331" s="616" t="s">
        <v>2151</v>
      </c>
      <c r="C331" s="617" t="s">
        <v>476</v>
      </c>
      <c r="D331" s="618" t="s">
        <v>2152</v>
      </c>
      <c r="E331" s="617" t="s">
        <v>481</v>
      </c>
      <c r="F331" s="618" t="s">
        <v>2153</v>
      </c>
      <c r="G331" s="617" t="s">
        <v>517</v>
      </c>
      <c r="H331" s="617" t="s">
        <v>1568</v>
      </c>
      <c r="I331" s="617" t="s">
        <v>1569</v>
      </c>
      <c r="J331" s="617" t="s">
        <v>1570</v>
      </c>
      <c r="K331" s="617" t="s">
        <v>1571</v>
      </c>
      <c r="L331" s="619">
        <v>473.97</v>
      </c>
      <c r="M331" s="619">
        <v>1</v>
      </c>
      <c r="N331" s="620">
        <v>473.97</v>
      </c>
    </row>
    <row r="332" spans="1:14" ht="14.4" customHeight="1" x14ac:dyDescent="0.3">
      <c r="A332" s="615" t="s">
        <v>471</v>
      </c>
      <c r="B332" s="616" t="s">
        <v>2151</v>
      </c>
      <c r="C332" s="617" t="s">
        <v>476</v>
      </c>
      <c r="D332" s="618" t="s">
        <v>2152</v>
      </c>
      <c r="E332" s="617" t="s">
        <v>481</v>
      </c>
      <c r="F332" s="618" t="s">
        <v>2153</v>
      </c>
      <c r="G332" s="617" t="s">
        <v>517</v>
      </c>
      <c r="H332" s="617" t="s">
        <v>1572</v>
      </c>
      <c r="I332" s="617" t="s">
        <v>1573</v>
      </c>
      <c r="J332" s="617" t="s">
        <v>1574</v>
      </c>
      <c r="K332" s="617" t="s">
        <v>1575</v>
      </c>
      <c r="L332" s="619">
        <v>372.67000000000019</v>
      </c>
      <c r="M332" s="619">
        <v>1</v>
      </c>
      <c r="N332" s="620">
        <v>372.67000000000019</v>
      </c>
    </row>
    <row r="333" spans="1:14" ht="14.4" customHeight="1" x14ac:dyDescent="0.3">
      <c r="A333" s="615" t="s">
        <v>471</v>
      </c>
      <c r="B333" s="616" t="s">
        <v>2151</v>
      </c>
      <c r="C333" s="617" t="s">
        <v>476</v>
      </c>
      <c r="D333" s="618" t="s">
        <v>2152</v>
      </c>
      <c r="E333" s="617" t="s">
        <v>481</v>
      </c>
      <c r="F333" s="618" t="s">
        <v>2153</v>
      </c>
      <c r="G333" s="617" t="s">
        <v>1576</v>
      </c>
      <c r="H333" s="617" t="s">
        <v>1577</v>
      </c>
      <c r="I333" s="617" t="s">
        <v>1577</v>
      </c>
      <c r="J333" s="617" t="s">
        <v>1578</v>
      </c>
      <c r="K333" s="617" t="s">
        <v>1579</v>
      </c>
      <c r="L333" s="619">
        <v>14.879999999999999</v>
      </c>
      <c r="M333" s="619">
        <v>1</v>
      </c>
      <c r="N333" s="620">
        <v>14.879999999999999</v>
      </c>
    </row>
    <row r="334" spans="1:14" ht="14.4" customHeight="1" x14ac:dyDescent="0.3">
      <c r="A334" s="615" t="s">
        <v>471</v>
      </c>
      <c r="B334" s="616" t="s">
        <v>2151</v>
      </c>
      <c r="C334" s="617" t="s">
        <v>476</v>
      </c>
      <c r="D334" s="618" t="s">
        <v>2152</v>
      </c>
      <c r="E334" s="617" t="s">
        <v>481</v>
      </c>
      <c r="F334" s="618" t="s">
        <v>2153</v>
      </c>
      <c r="G334" s="617" t="s">
        <v>1576</v>
      </c>
      <c r="H334" s="617" t="s">
        <v>1580</v>
      </c>
      <c r="I334" s="617" t="s">
        <v>1581</v>
      </c>
      <c r="J334" s="617" t="s">
        <v>1582</v>
      </c>
      <c r="K334" s="617" t="s">
        <v>1583</v>
      </c>
      <c r="L334" s="619">
        <v>34.749999999999993</v>
      </c>
      <c r="M334" s="619">
        <v>36</v>
      </c>
      <c r="N334" s="620">
        <v>1250.9999999999998</v>
      </c>
    </row>
    <row r="335" spans="1:14" ht="14.4" customHeight="1" x14ac:dyDescent="0.3">
      <c r="A335" s="615" t="s">
        <v>471</v>
      </c>
      <c r="B335" s="616" t="s">
        <v>2151</v>
      </c>
      <c r="C335" s="617" t="s">
        <v>476</v>
      </c>
      <c r="D335" s="618" t="s">
        <v>2152</v>
      </c>
      <c r="E335" s="617" t="s">
        <v>481</v>
      </c>
      <c r="F335" s="618" t="s">
        <v>2153</v>
      </c>
      <c r="G335" s="617" t="s">
        <v>1576</v>
      </c>
      <c r="H335" s="617" t="s">
        <v>1584</v>
      </c>
      <c r="I335" s="617" t="s">
        <v>1585</v>
      </c>
      <c r="J335" s="617" t="s">
        <v>511</v>
      </c>
      <c r="K335" s="617" t="s">
        <v>512</v>
      </c>
      <c r="L335" s="619">
        <v>105.05999999999997</v>
      </c>
      <c r="M335" s="619">
        <v>2</v>
      </c>
      <c r="N335" s="620">
        <v>210.11999999999995</v>
      </c>
    </row>
    <row r="336" spans="1:14" ht="14.4" customHeight="1" x14ac:dyDescent="0.3">
      <c r="A336" s="615" t="s">
        <v>471</v>
      </c>
      <c r="B336" s="616" t="s">
        <v>2151</v>
      </c>
      <c r="C336" s="617" t="s">
        <v>476</v>
      </c>
      <c r="D336" s="618" t="s">
        <v>2152</v>
      </c>
      <c r="E336" s="617" t="s">
        <v>481</v>
      </c>
      <c r="F336" s="618" t="s">
        <v>2153</v>
      </c>
      <c r="G336" s="617" t="s">
        <v>1576</v>
      </c>
      <c r="H336" s="617" t="s">
        <v>1586</v>
      </c>
      <c r="I336" s="617" t="s">
        <v>1587</v>
      </c>
      <c r="J336" s="617" t="s">
        <v>1588</v>
      </c>
      <c r="K336" s="617" t="s">
        <v>1589</v>
      </c>
      <c r="L336" s="619">
        <v>45.19</v>
      </c>
      <c r="M336" s="619">
        <v>1</v>
      </c>
      <c r="N336" s="620">
        <v>45.19</v>
      </c>
    </row>
    <row r="337" spans="1:14" ht="14.4" customHeight="1" x14ac:dyDescent="0.3">
      <c r="A337" s="615" t="s">
        <v>471</v>
      </c>
      <c r="B337" s="616" t="s">
        <v>2151</v>
      </c>
      <c r="C337" s="617" t="s">
        <v>476</v>
      </c>
      <c r="D337" s="618" t="s">
        <v>2152</v>
      </c>
      <c r="E337" s="617" t="s">
        <v>481</v>
      </c>
      <c r="F337" s="618" t="s">
        <v>2153</v>
      </c>
      <c r="G337" s="617" t="s">
        <v>1576</v>
      </c>
      <c r="H337" s="617" t="s">
        <v>1590</v>
      </c>
      <c r="I337" s="617" t="s">
        <v>1591</v>
      </c>
      <c r="J337" s="617" t="s">
        <v>1592</v>
      </c>
      <c r="K337" s="617" t="s">
        <v>1593</v>
      </c>
      <c r="L337" s="619">
        <v>98.600000000000023</v>
      </c>
      <c r="M337" s="619">
        <v>1</v>
      </c>
      <c r="N337" s="620">
        <v>98.600000000000023</v>
      </c>
    </row>
    <row r="338" spans="1:14" ht="14.4" customHeight="1" x14ac:dyDescent="0.3">
      <c r="A338" s="615" t="s">
        <v>471</v>
      </c>
      <c r="B338" s="616" t="s">
        <v>2151</v>
      </c>
      <c r="C338" s="617" t="s">
        <v>476</v>
      </c>
      <c r="D338" s="618" t="s">
        <v>2152</v>
      </c>
      <c r="E338" s="617" t="s">
        <v>481</v>
      </c>
      <c r="F338" s="618" t="s">
        <v>2153</v>
      </c>
      <c r="G338" s="617" t="s">
        <v>1576</v>
      </c>
      <c r="H338" s="617" t="s">
        <v>1594</v>
      </c>
      <c r="I338" s="617" t="s">
        <v>1595</v>
      </c>
      <c r="J338" s="617" t="s">
        <v>1596</v>
      </c>
      <c r="K338" s="617" t="s">
        <v>1477</v>
      </c>
      <c r="L338" s="619">
        <v>29.300162050858336</v>
      </c>
      <c r="M338" s="619">
        <v>1</v>
      </c>
      <c r="N338" s="620">
        <v>29.300162050858336</v>
      </c>
    </row>
    <row r="339" spans="1:14" ht="14.4" customHeight="1" x14ac:dyDescent="0.3">
      <c r="A339" s="615" t="s">
        <v>471</v>
      </c>
      <c r="B339" s="616" t="s">
        <v>2151</v>
      </c>
      <c r="C339" s="617" t="s">
        <v>476</v>
      </c>
      <c r="D339" s="618" t="s">
        <v>2152</v>
      </c>
      <c r="E339" s="617" t="s">
        <v>481</v>
      </c>
      <c r="F339" s="618" t="s">
        <v>2153</v>
      </c>
      <c r="G339" s="617" t="s">
        <v>1576</v>
      </c>
      <c r="H339" s="617" t="s">
        <v>1597</v>
      </c>
      <c r="I339" s="617" t="s">
        <v>1598</v>
      </c>
      <c r="J339" s="617" t="s">
        <v>1599</v>
      </c>
      <c r="K339" s="617" t="s">
        <v>1600</v>
      </c>
      <c r="L339" s="619">
        <v>54.68</v>
      </c>
      <c r="M339" s="619">
        <v>1</v>
      </c>
      <c r="N339" s="620">
        <v>54.68</v>
      </c>
    </row>
    <row r="340" spans="1:14" ht="14.4" customHeight="1" x14ac:dyDescent="0.3">
      <c r="A340" s="615" t="s">
        <v>471</v>
      </c>
      <c r="B340" s="616" t="s">
        <v>2151</v>
      </c>
      <c r="C340" s="617" t="s">
        <v>476</v>
      </c>
      <c r="D340" s="618" t="s">
        <v>2152</v>
      </c>
      <c r="E340" s="617" t="s">
        <v>481</v>
      </c>
      <c r="F340" s="618" t="s">
        <v>2153</v>
      </c>
      <c r="G340" s="617" t="s">
        <v>1576</v>
      </c>
      <c r="H340" s="617" t="s">
        <v>1601</v>
      </c>
      <c r="I340" s="617" t="s">
        <v>1602</v>
      </c>
      <c r="J340" s="617" t="s">
        <v>1603</v>
      </c>
      <c r="K340" s="617" t="s">
        <v>1604</v>
      </c>
      <c r="L340" s="619">
        <v>46.82</v>
      </c>
      <c r="M340" s="619">
        <v>1</v>
      </c>
      <c r="N340" s="620">
        <v>46.82</v>
      </c>
    </row>
    <row r="341" spans="1:14" ht="14.4" customHeight="1" x14ac:dyDescent="0.3">
      <c r="A341" s="615" t="s">
        <v>471</v>
      </c>
      <c r="B341" s="616" t="s">
        <v>2151</v>
      </c>
      <c r="C341" s="617" t="s">
        <v>476</v>
      </c>
      <c r="D341" s="618" t="s">
        <v>2152</v>
      </c>
      <c r="E341" s="617" t="s">
        <v>481</v>
      </c>
      <c r="F341" s="618" t="s">
        <v>2153</v>
      </c>
      <c r="G341" s="617" t="s">
        <v>1576</v>
      </c>
      <c r="H341" s="617" t="s">
        <v>1605</v>
      </c>
      <c r="I341" s="617" t="s">
        <v>1606</v>
      </c>
      <c r="J341" s="617" t="s">
        <v>1607</v>
      </c>
      <c r="K341" s="617" t="s">
        <v>1608</v>
      </c>
      <c r="L341" s="619">
        <v>117.48941356516919</v>
      </c>
      <c r="M341" s="619">
        <v>5</v>
      </c>
      <c r="N341" s="620">
        <v>587.44706782584592</v>
      </c>
    </row>
    <row r="342" spans="1:14" ht="14.4" customHeight="1" x14ac:dyDescent="0.3">
      <c r="A342" s="615" t="s">
        <v>471</v>
      </c>
      <c r="B342" s="616" t="s">
        <v>2151</v>
      </c>
      <c r="C342" s="617" t="s">
        <v>476</v>
      </c>
      <c r="D342" s="618" t="s">
        <v>2152</v>
      </c>
      <c r="E342" s="617" t="s">
        <v>481</v>
      </c>
      <c r="F342" s="618" t="s">
        <v>2153</v>
      </c>
      <c r="G342" s="617" t="s">
        <v>1576</v>
      </c>
      <c r="H342" s="617" t="s">
        <v>1609</v>
      </c>
      <c r="I342" s="617" t="s">
        <v>1610</v>
      </c>
      <c r="J342" s="617" t="s">
        <v>1611</v>
      </c>
      <c r="K342" s="617" t="s">
        <v>1612</v>
      </c>
      <c r="L342" s="619">
        <v>48.819999448726563</v>
      </c>
      <c r="M342" s="619">
        <v>2</v>
      </c>
      <c r="N342" s="620">
        <v>97.639998897453125</v>
      </c>
    </row>
    <row r="343" spans="1:14" ht="14.4" customHeight="1" x14ac:dyDescent="0.3">
      <c r="A343" s="615" t="s">
        <v>471</v>
      </c>
      <c r="B343" s="616" t="s">
        <v>2151</v>
      </c>
      <c r="C343" s="617" t="s">
        <v>476</v>
      </c>
      <c r="D343" s="618" t="s">
        <v>2152</v>
      </c>
      <c r="E343" s="617" t="s">
        <v>481</v>
      </c>
      <c r="F343" s="618" t="s">
        <v>2153</v>
      </c>
      <c r="G343" s="617" t="s">
        <v>1576</v>
      </c>
      <c r="H343" s="617" t="s">
        <v>1613</v>
      </c>
      <c r="I343" s="617" t="s">
        <v>1614</v>
      </c>
      <c r="J343" s="617" t="s">
        <v>1615</v>
      </c>
      <c r="K343" s="617" t="s">
        <v>1616</v>
      </c>
      <c r="L343" s="619">
        <v>52.649999999999977</v>
      </c>
      <c r="M343" s="619">
        <v>1</v>
      </c>
      <c r="N343" s="620">
        <v>52.649999999999977</v>
      </c>
    </row>
    <row r="344" spans="1:14" ht="14.4" customHeight="1" x14ac:dyDescent="0.3">
      <c r="A344" s="615" t="s">
        <v>471</v>
      </c>
      <c r="B344" s="616" t="s">
        <v>2151</v>
      </c>
      <c r="C344" s="617" t="s">
        <v>476</v>
      </c>
      <c r="D344" s="618" t="s">
        <v>2152</v>
      </c>
      <c r="E344" s="617" t="s">
        <v>481</v>
      </c>
      <c r="F344" s="618" t="s">
        <v>2153</v>
      </c>
      <c r="G344" s="617" t="s">
        <v>1576</v>
      </c>
      <c r="H344" s="617" t="s">
        <v>1617</v>
      </c>
      <c r="I344" s="617" t="s">
        <v>1618</v>
      </c>
      <c r="J344" s="617" t="s">
        <v>1619</v>
      </c>
      <c r="K344" s="617" t="s">
        <v>1620</v>
      </c>
      <c r="L344" s="619">
        <v>42.96</v>
      </c>
      <c r="M344" s="619">
        <v>2</v>
      </c>
      <c r="N344" s="620">
        <v>85.92</v>
      </c>
    </row>
    <row r="345" spans="1:14" ht="14.4" customHeight="1" x14ac:dyDescent="0.3">
      <c r="A345" s="615" t="s">
        <v>471</v>
      </c>
      <c r="B345" s="616" t="s">
        <v>2151</v>
      </c>
      <c r="C345" s="617" t="s">
        <v>476</v>
      </c>
      <c r="D345" s="618" t="s">
        <v>2152</v>
      </c>
      <c r="E345" s="617" t="s">
        <v>481</v>
      </c>
      <c r="F345" s="618" t="s">
        <v>2153</v>
      </c>
      <c r="G345" s="617" t="s">
        <v>1576</v>
      </c>
      <c r="H345" s="617" t="s">
        <v>1621</v>
      </c>
      <c r="I345" s="617" t="s">
        <v>1622</v>
      </c>
      <c r="J345" s="617" t="s">
        <v>1623</v>
      </c>
      <c r="K345" s="617" t="s">
        <v>1624</v>
      </c>
      <c r="L345" s="619">
        <v>3300</v>
      </c>
      <c r="M345" s="619">
        <v>3</v>
      </c>
      <c r="N345" s="620">
        <v>9900</v>
      </c>
    </row>
    <row r="346" spans="1:14" ht="14.4" customHeight="1" x14ac:dyDescent="0.3">
      <c r="A346" s="615" t="s">
        <v>471</v>
      </c>
      <c r="B346" s="616" t="s">
        <v>2151</v>
      </c>
      <c r="C346" s="617" t="s">
        <v>476</v>
      </c>
      <c r="D346" s="618" t="s">
        <v>2152</v>
      </c>
      <c r="E346" s="617" t="s">
        <v>481</v>
      </c>
      <c r="F346" s="618" t="s">
        <v>2153</v>
      </c>
      <c r="G346" s="617" t="s">
        <v>1576</v>
      </c>
      <c r="H346" s="617" t="s">
        <v>1625</v>
      </c>
      <c r="I346" s="617" t="s">
        <v>1626</v>
      </c>
      <c r="J346" s="617" t="s">
        <v>1627</v>
      </c>
      <c r="K346" s="617" t="s">
        <v>1628</v>
      </c>
      <c r="L346" s="619">
        <v>49.32</v>
      </c>
      <c r="M346" s="619">
        <v>1</v>
      </c>
      <c r="N346" s="620">
        <v>49.32</v>
      </c>
    </row>
    <row r="347" spans="1:14" ht="14.4" customHeight="1" x14ac:dyDescent="0.3">
      <c r="A347" s="615" t="s">
        <v>471</v>
      </c>
      <c r="B347" s="616" t="s">
        <v>2151</v>
      </c>
      <c r="C347" s="617" t="s">
        <v>476</v>
      </c>
      <c r="D347" s="618" t="s">
        <v>2152</v>
      </c>
      <c r="E347" s="617" t="s">
        <v>481</v>
      </c>
      <c r="F347" s="618" t="s">
        <v>2153</v>
      </c>
      <c r="G347" s="617" t="s">
        <v>1576</v>
      </c>
      <c r="H347" s="617" t="s">
        <v>1629</v>
      </c>
      <c r="I347" s="617" t="s">
        <v>1630</v>
      </c>
      <c r="J347" s="617" t="s">
        <v>1631</v>
      </c>
      <c r="K347" s="617" t="s">
        <v>677</v>
      </c>
      <c r="L347" s="619">
        <v>36.179999999999993</v>
      </c>
      <c r="M347" s="619">
        <v>1</v>
      </c>
      <c r="N347" s="620">
        <v>36.179999999999993</v>
      </c>
    </row>
    <row r="348" spans="1:14" ht="14.4" customHeight="1" x14ac:dyDescent="0.3">
      <c r="A348" s="615" t="s">
        <v>471</v>
      </c>
      <c r="B348" s="616" t="s">
        <v>2151</v>
      </c>
      <c r="C348" s="617" t="s">
        <v>476</v>
      </c>
      <c r="D348" s="618" t="s">
        <v>2152</v>
      </c>
      <c r="E348" s="617" t="s">
        <v>481</v>
      </c>
      <c r="F348" s="618" t="s">
        <v>2153</v>
      </c>
      <c r="G348" s="617" t="s">
        <v>1576</v>
      </c>
      <c r="H348" s="617" t="s">
        <v>1632</v>
      </c>
      <c r="I348" s="617" t="s">
        <v>1633</v>
      </c>
      <c r="J348" s="617" t="s">
        <v>1634</v>
      </c>
      <c r="K348" s="617" t="s">
        <v>1635</v>
      </c>
      <c r="L348" s="619">
        <v>79.438544898621586</v>
      </c>
      <c r="M348" s="619">
        <v>35</v>
      </c>
      <c r="N348" s="620">
        <v>2780.3490714517557</v>
      </c>
    </row>
    <row r="349" spans="1:14" ht="14.4" customHeight="1" x14ac:dyDescent="0.3">
      <c r="A349" s="615" t="s">
        <v>471</v>
      </c>
      <c r="B349" s="616" t="s">
        <v>2151</v>
      </c>
      <c r="C349" s="617" t="s">
        <v>476</v>
      </c>
      <c r="D349" s="618" t="s">
        <v>2152</v>
      </c>
      <c r="E349" s="617" t="s">
        <v>481</v>
      </c>
      <c r="F349" s="618" t="s">
        <v>2153</v>
      </c>
      <c r="G349" s="617" t="s">
        <v>1576</v>
      </c>
      <c r="H349" s="617" t="s">
        <v>1636</v>
      </c>
      <c r="I349" s="617" t="s">
        <v>1637</v>
      </c>
      <c r="J349" s="617" t="s">
        <v>1638</v>
      </c>
      <c r="K349" s="617" t="s">
        <v>1639</v>
      </c>
      <c r="L349" s="619">
        <v>30.232000887467535</v>
      </c>
      <c r="M349" s="619">
        <v>5</v>
      </c>
      <c r="N349" s="620">
        <v>151.16000443733768</v>
      </c>
    </row>
    <row r="350" spans="1:14" ht="14.4" customHeight="1" x14ac:dyDescent="0.3">
      <c r="A350" s="615" t="s">
        <v>471</v>
      </c>
      <c r="B350" s="616" t="s">
        <v>2151</v>
      </c>
      <c r="C350" s="617" t="s">
        <v>476</v>
      </c>
      <c r="D350" s="618" t="s">
        <v>2152</v>
      </c>
      <c r="E350" s="617" t="s">
        <v>481</v>
      </c>
      <c r="F350" s="618" t="s">
        <v>2153</v>
      </c>
      <c r="G350" s="617" t="s">
        <v>1576</v>
      </c>
      <c r="H350" s="617" t="s">
        <v>1640</v>
      </c>
      <c r="I350" s="617" t="s">
        <v>1641</v>
      </c>
      <c r="J350" s="617" t="s">
        <v>1642</v>
      </c>
      <c r="K350" s="617" t="s">
        <v>1643</v>
      </c>
      <c r="L350" s="619">
        <v>414.79</v>
      </c>
      <c r="M350" s="619">
        <v>1</v>
      </c>
      <c r="N350" s="620">
        <v>414.79</v>
      </c>
    </row>
    <row r="351" spans="1:14" ht="14.4" customHeight="1" x14ac:dyDescent="0.3">
      <c r="A351" s="615" t="s">
        <v>471</v>
      </c>
      <c r="B351" s="616" t="s">
        <v>2151</v>
      </c>
      <c r="C351" s="617" t="s">
        <v>476</v>
      </c>
      <c r="D351" s="618" t="s">
        <v>2152</v>
      </c>
      <c r="E351" s="617" t="s">
        <v>481</v>
      </c>
      <c r="F351" s="618" t="s">
        <v>2153</v>
      </c>
      <c r="G351" s="617" t="s">
        <v>1576</v>
      </c>
      <c r="H351" s="617" t="s">
        <v>1644</v>
      </c>
      <c r="I351" s="617" t="s">
        <v>1645</v>
      </c>
      <c r="J351" s="617" t="s">
        <v>1646</v>
      </c>
      <c r="K351" s="617" t="s">
        <v>1647</v>
      </c>
      <c r="L351" s="619">
        <v>322.48999999999995</v>
      </c>
      <c r="M351" s="619">
        <v>2</v>
      </c>
      <c r="N351" s="620">
        <v>644.9799999999999</v>
      </c>
    </row>
    <row r="352" spans="1:14" ht="14.4" customHeight="1" x14ac:dyDescent="0.3">
      <c r="A352" s="615" t="s">
        <v>471</v>
      </c>
      <c r="B352" s="616" t="s">
        <v>2151</v>
      </c>
      <c r="C352" s="617" t="s">
        <v>476</v>
      </c>
      <c r="D352" s="618" t="s">
        <v>2152</v>
      </c>
      <c r="E352" s="617" t="s">
        <v>481</v>
      </c>
      <c r="F352" s="618" t="s">
        <v>2153</v>
      </c>
      <c r="G352" s="617" t="s">
        <v>1576</v>
      </c>
      <c r="H352" s="617" t="s">
        <v>1648</v>
      </c>
      <c r="I352" s="617" t="s">
        <v>1649</v>
      </c>
      <c r="J352" s="617" t="s">
        <v>1650</v>
      </c>
      <c r="K352" s="617" t="s">
        <v>605</v>
      </c>
      <c r="L352" s="619">
        <v>46.99000000000003</v>
      </c>
      <c r="M352" s="619">
        <v>1</v>
      </c>
      <c r="N352" s="620">
        <v>46.99000000000003</v>
      </c>
    </row>
    <row r="353" spans="1:14" ht="14.4" customHeight="1" x14ac:dyDescent="0.3">
      <c r="A353" s="615" t="s">
        <v>471</v>
      </c>
      <c r="B353" s="616" t="s">
        <v>2151</v>
      </c>
      <c r="C353" s="617" t="s">
        <v>476</v>
      </c>
      <c r="D353" s="618" t="s">
        <v>2152</v>
      </c>
      <c r="E353" s="617" t="s">
        <v>481</v>
      </c>
      <c r="F353" s="618" t="s">
        <v>2153</v>
      </c>
      <c r="G353" s="617" t="s">
        <v>1576</v>
      </c>
      <c r="H353" s="617" t="s">
        <v>1651</v>
      </c>
      <c r="I353" s="617" t="s">
        <v>1652</v>
      </c>
      <c r="J353" s="617" t="s">
        <v>1653</v>
      </c>
      <c r="K353" s="617" t="s">
        <v>1612</v>
      </c>
      <c r="L353" s="619">
        <v>86.430000000000049</v>
      </c>
      <c r="M353" s="619">
        <v>2</v>
      </c>
      <c r="N353" s="620">
        <v>172.8600000000001</v>
      </c>
    </row>
    <row r="354" spans="1:14" ht="14.4" customHeight="1" x14ac:dyDescent="0.3">
      <c r="A354" s="615" t="s">
        <v>471</v>
      </c>
      <c r="B354" s="616" t="s">
        <v>2151</v>
      </c>
      <c r="C354" s="617" t="s">
        <v>476</v>
      </c>
      <c r="D354" s="618" t="s">
        <v>2152</v>
      </c>
      <c r="E354" s="617" t="s">
        <v>481</v>
      </c>
      <c r="F354" s="618" t="s">
        <v>2153</v>
      </c>
      <c r="G354" s="617" t="s">
        <v>1576</v>
      </c>
      <c r="H354" s="617" t="s">
        <v>1654</v>
      </c>
      <c r="I354" s="617" t="s">
        <v>1655</v>
      </c>
      <c r="J354" s="617" t="s">
        <v>1656</v>
      </c>
      <c r="K354" s="617" t="s">
        <v>1616</v>
      </c>
      <c r="L354" s="619">
        <v>162.79</v>
      </c>
      <c r="M354" s="619">
        <v>3</v>
      </c>
      <c r="N354" s="620">
        <v>488.37</v>
      </c>
    </row>
    <row r="355" spans="1:14" ht="14.4" customHeight="1" x14ac:dyDescent="0.3">
      <c r="A355" s="615" t="s">
        <v>471</v>
      </c>
      <c r="B355" s="616" t="s">
        <v>2151</v>
      </c>
      <c r="C355" s="617" t="s">
        <v>476</v>
      </c>
      <c r="D355" s="618" t="s">
        <v>2152</v>
      </c>
      <c r="E355" s="617" t="s">
        <v>481</v>
      </c>
      <c r="F355" s="618" t="s">
        <v>2153</v>
      </c>
      <c r="G355" s="617" t="s">
        <v>1576</v>
      </c>
      <c r="H355" s="617" t="s">
        <v>1657</v>
      </c>
      <c r="I355" s="617" t="s">
        <v>1658</v>
      </c>
      <c r="J355" s="617" t="s">
        <v>1653</v>
      </c>
      <c r="K355" s="617" t="s">
        <v>1659</v>
      </c>
      <c r="L355" s="619">
        <v>222.43</v>
      </c>
      <c r="M355" s="619">
        <v>1</v>
      </c>
      <c r="N355" s="620">
        <v>222.43</v>
      </c>
    </row>
    <row r="356" spans="1:14" ht="14.4" customHeight="1" x14ac:dyDescent="0.3">
      <c r="A356" s="615" t="s">
        <v>471</v>
      </c>
      <c r="B356" s="616" t="s">
        <v>2151</v>
      </c>
      <c r="C356" s="617" t="s">
        <v>476</v>
      </c>
      <c r="D356" s="618" t="s">
        <v>2152</v>
      </c>
      <c r="E356" s="617" t="s">
        <v>481</v>
      </c>
      <c r="F356" s="618" t="s">
        <v>2153</v>
      </c>
      <c r="G356" s="617" t="s">
        <v>1576</v>
      </c>
      <c r="H356" s="617" t="s">
        <v>1660</v>
      </c>
      <c r="I356" s="617" t="s">
        <v>1661</v>
      </c>
      <c r="J356" s="617" t="s">
        <v>1588</v>
      </c>
      <c r="K356" s="617" t="s">
        <v>1662</v>
      </c>
      <c r="L356" s="619">
        <v>129.32974466228887</v>
      </c>
      <c r="M356" s="619">
        <v>90</v>
      </c>
      <c r="N356" s="620">
        <v>11639.677019605999</v>
      </c>
    </row>
    <row r="357" spans="1:14" ht="14.4" customHeight="1" x14ac:dyDescent="0.3">
      <c r="A357" s="615" t="s">
        <v>471</v>
      </c>
      <c r="B357" s="616" t="s">
        <v>2151</v>
      </c>
      <c r="C357" s="617" t="s">
        <v>476</v>
      </c>
      <c r="D357" s="618" t="s">
        <v>2152</v>
      </c>
      <c r="E357" s="617" t="s">
        <v>481</v>
      </c>
      <c r="F357" s="618" t="s">
        <v>2153</v>
      </c>
      <c r="G357" s="617" t="s">
        <v>1576</v>
      </c>
      <c r="H357" s="617" t="s">
        <v>1663</v>
      </c>
      <c r="I357" s="617" t="s">
        <v>1664</v>
      </c>
      <c r="J357" s="617" t="s">
        <v>1665</v>
      </c>
      <c r="K357" s="617" t="s">
        <v>1666</v>
      </c>
      <c r="L357" s="619">
        <v>13.88</v>
      </c>
      <c r="M357" s="619">
        <v>1</v>
      </c>
      <c r="N357" s="620">
        <v>13.88</v>
      </c>
    </row>
    <row r="358" spans="1:14" ht="14.4" customHeight="1" x14ac:dyDescent="0.3">
      <c r="A358" s="615" t="s">
        <v>471</v>
      </c>
      <c r="B358" s="616" t="s">
        <v>2151</v>
      </c>
      <c r="C358" s="617" t="s">
        <v>476</v>
      </c>
      <c r="D358" s="618" t="s">
        <v>2152</v>
      </c>
      <c r="E358" s="617" t="s">
        <v>481</v>
      </c>
      <c r="F358" s="618" t="s">
        <v>2153</v>
      </c>
      <c r="G358" s="617" t="s">
        <v>1576</v>
      </c>
      <c r="H358" s="617" t="s">
        <v>1667</v>
      </c>
      <c r="I358" s="617" t="s">
        <v>1668</v>
      </c>
      <c r="J358" s="617" t="s">
        <v>1669</v>
      </c>
      <c r="K358" s="617" t="s">
        <v>1477</v>
      </c>
      <c r="L358" s="619">
        <v>182.93000000000006</v>
      </c>
      <c r="M358" s="619">
        <v>1</v>
      </c>
      <c r="N358" s="620">
        <v>182.93000000000006</v>
      </c>
    </row>
    <row r="359" spans="1:14" ht="14.4" customHeight="1" x14ac:dyDescent="0.3">
      <c r="A359" s="615" t="s">
        <v>471</v>
      </c>
      <c r="B359" s="616" t="s">
        <v>2151</v>
      </c>
      <c r="C359" s="617" t="s">
        <v>476</v>
      </c>
      <c r="D359" s="618" t="s">
        <v>2152</v>
      </c>
      <c r="E359" s="617" t="s">
        <v>481</v>
      </c>
      <c r="F359" s="618" t="s">
        <v>2153</v>
      </c>
      <c r="G359" s="617" t="s">
        <v>1576</v>
      </c>
      <c r="H359" s="617" t="s">
        <v>1670</v>
      </c>
      <c r="I359" s="617" t="s">
        <v>1671</v>
      </c>
      <c r="J359" s="617" t="s">
        <v>1672</v>
      </c>
      <c r="K359" s="617" t="s">
        <v>1673</v>
      </c>
      <c r="L359" s="619">
        <v>79.059999999999988</v>
      </c>
      <c r="M359" s="619">
        <v>2</v>
      </c>
      <c r="N359" s="620">
        <v>158.11999999999998</v>
      </c>
    </row>
    <row r="360" spans="1:14" ht="14.4" customHeight="1" x14ac:dyDescent="0.3">
      <c r="A360" s="615" t="s">
        <v>471</v>
      </c>
      <c r="B360" s="616" t="s">
        <v>2151</v>
      </c>
      <c r="C360" s="617" t="s">
        <v>476</v>
      </c>
      <c r="D360" s="618" t="s">
        <v>2152</v>
      </c>
      <c r="E360" s="617" t="s">
        <v>481</v>
      </c>
      <c r="F360" s="618" t="s">
        <v>2153</v>
      </c>
      <c r="G360" s="617" t="s">
        <v>1576</v>
      </c>
      <c r="H360" s="617" t="s">
        <v>1674</v>
      </c>
      <c r="I360" s="617" t="s">
        <v>1675</v>
      </c>
      <c r="J360" s="617" t="s">
        <v>1676</v>
      </c>
      <c r="K360" s="617" t="s">
        <v>1677</v>
      </c>
      <c r="L360" s="619">
        <v>20.059999730681835</v>
      </c>
      <c r="M360" s="619">
        <v>3</v>
      </c>
      <c r="N360" s="620">
        <v>60.1799991920455</v>
      </c>
    </row>
    <row r="361" spans="1:14" ht="14.4" customHeight="1" x14ac:dyDescent="0.3">
      <c r="A361" s="615" t="s">
        <v>471</v>
      </c>
      <c r="B361" s="616" t="s">
        <v>2151</v>
      </c>
      <c r="C361" s="617" t="s">
        <v>476</v>
      </c>
      <c r="D361" s="618" t="s">
        <v>2152</v>
      </c>
      <c r="E361" s="617" t="s">
        <v>481</v>
      </c>
      <c r="F361" s="618" t="s">
        <v>2153</v>
      </c>
      <c r="G361" s="617" t="s">
        <v>1576</v>
      </c>
      <c r="H361" s="617" t="s">
        <v>1678</v>
      </c>
      <c r="I361" s="617" t="s">
        <v>1679</v>
      </c>
      <c r="J361" s="617" t="s">
        <v>1680</v>
      </c>
      <c r="K361" s="617" t="s">
        <v>1269</v>
      </c>
      <c r="L361" s="619">
        <v>465.87814935085873</v>
      </c>
      <c r="M361" s="619">
        <v>35</v>
      </c>
      <c r="N361" s="620">
        <v>16305.735227280056</v>
      </c>
    </row>
    <row r="362" spans="1:14" ht="14.4" customHeight="1" x14ac:dyDescent="0.3">
      <c r="A362" s="615" t="s">
        <v>471</v>
      </c>
      <c r="B362" s="616" t="s">
        <v>2151</v>
      </c>
      <c r="C362" s="617" t="s">
        <v>476</v>
      </c>
      <c r="D362" s="618" t="s">
        <v>2152</v>
      </c>
      <c r="E362" s="617" t="s">
        <v>481</v>
      </c>
      <c r="F362" s="618" t="s">
        <v>2153</v>
      </c>
      <c r="G362" s="617" t="s">
        <v>1576</v>
      </c>
      <c r="H362" s="617" t="s">
        <v>1681</v>
      </c>
      <c r="I362" s="617" t="s">
        <v>1682</v>
      </c>
      <c r="J362" s="617" t="s">
        <v>1607</v>
      </c>
      <c r="K362" s="617" t="s">
        <v>1683</v>
      </c>
      <c r="L362" s="619">
        <v>73.94</v>
      </c>
      <c r="M362" s="619">
        <v>2</v>
      </c>
      <c r="N362" s="620">
        <v>147.88</v>
      </c>
    </row>
    <row r="363" spans="1:14" ht="14.4" customHeight="1" x14ac:dyDescent="0.3">
      <c r="A363" s="615" t="s">
        <v>471</v>
      </c>
      <c r="B363" s="616" t="s">
        <v>2151</v>
      </c>
      <c r="C363" s="617" t="s">
        <v>476</v>
      </c>
      <c r="D363" s="618" t="s">
        <v>2152</v>
      </c>
      <c r="E363" s="617" t="s">
        <v>481</v>
      </c>
      <c r="F363" s="618" t="s">
        <v>2153</v>
      </c>
      <c r="G363" s="617" t="s">
        <v>1576</v>
      </c>
      <c r="H363" s="617" t="s">
        <v>1684</v>
      </c>
      <c r="I363" s="617" t="s">
        <v>1685</v>
      </c>
      <c r="J363" s="617" t="s">
        <v>1686</v>
      </c>
      <c r="K363" s="617" t="s">
        <v>1687</v>
      </c>
      <c r="L363" s="619">
        <v>122.63999999999999</v>
      </c>
      <c r="M363" s="619">
        <v>1</v>
      </c>
      <c r="N363" s="620">
        <v>122.63999999999999</v>
      </c>
    </row>
    <row r="364" spans="1:14" ht="14.4" customHeight="1" x14ac:dyDescent="0.3">
      <c r="A364" s="615" t="s">
        <v>471</v>
      </c>
      <c r="B364" s="616" t="s">
        <v>2151</v>
      </c>
      <c r="C364" s="617" t="s">
        <v>476</v>
      </c>
      <c r="D364" s="618" t="s">
        <v>2152</v>
      </c>
      <c r="E364" s="617" t="s">
        <v>481</v>
      </c>
      <c r="F364" s="618" t="s">
        <v>2153</v>
      </c>
      <c r="G364" s="617" t="s">
        <v>1576</v>
      </c>
      <c r="H364" s="617" t="s">
        <v>1688</v>
      </c>
      <c r="I364" s="617" t="s">
        <v>1689</v>
      </c>
      <c r="J364" s="617" t="s">
        <v>1690</v>
      </c>
      <c r="K364" s="617" t="s">
        <v>1691</v>
      </c>
      <c r="L364" s="619">
        <v>90.660204078227721</v>
      </c>
      <c r="M364" s="619">
        <v>1</v>
      </c>
      <c r="N364" s="620">
        <v>90.660204078227721</v>
      </c>
    </row>
    <row r="365" spans="1:14" ht="14.4" customHeight="1" x14ac:dyDescent="0.3">
      <c r="A365" s="615" t="s">
        <v>471</v>
      </c>
      <c r="B365" s="616" t="s">
        <v>2151</v>
      </c>
      <c r="C365" s="617" t="s">
        <v>476</v>
      </c>
      <c r="D365" s="618" t="s">
        <v>2152</v>
      </c>
      <c r="E365" s="617" t="s">
        <v>481</v>
      </c>
      <c r="F365" s="618" t="s">
        <v>2153</v>
      </c>
      <c r="G365" s="617" t="s">
        <v>1576</v>
      </c>
      <c r="H365" s="617" t="s">
        <v>1692</v>
      </c>
      <c r="I365" s="617" t="s">
        <v>1693</v>
      </c>
      <c r="J365" s="617" t="s">
        <v>1694</v>
      </c>
      <c r="K365" s="617" t="s">
        <v>1695</v>
      </c>
      <c r="L365" s="619">
        <v>135.77999999999997</v>
      </c>
      <c r="M365" s="619">
        <v>1</v>
      </c>
      <c r="N365" s="620">
        <v>135.77999999999997</v>
      </c>
    </row>
    <row r="366" spans="1:14" ht="14.4" customHeight="1" x14ac:dyDescent="0.3">
      <c r="A366" s="615" t="s">
        <v>471</v>
      </c>
      <c r="B366" s="616" t="s">
        <v>2151</v>
      </c>
      <c r="C366" s="617" t="s">
        <v>476</v>
      </c>
      <c r="D366" s="618" t="s">
        <v>2152</v>
      </c>
      <c r="E366" s="617" t="s">
        <v>481</v>
      </c>
      <c r="F366" s="618" t="s">
        <v>2153</v>
      </c>
      <c r="G366" s="617" t="s">
        <v>1576</v>
      </c>
      <c r="H366" s="617" t="s">
        <v>1696</v>
      </c>
      <c r="I366" s="617" t="s">
        <v>1697</v>
      </c>
      <c r="J366" s="617" t="s">
        <v>1698</v>
      </c>
      <c r="K366" s="617" t="s">
        <v>1616</v>
      </c>
      <c r="L366" s="619">
        <v>75.91</v>
      </c>
      <c r="M366" s="619">
        <v>1</v>
      </c>
      <c r="N366" s="620">
        <v>75.91</v>
      </c>
    </row>
    <row r="367" spans="1:14" ht="14.4" customHeight="1" x14ac:dyDescent="0.3">
      <c r="A367" s="615" t="s">
        <v>471</v>
      </c>
      <c r="B367" s="616" t="s">
        <v>2151</v>
      </c>
      <c r="C367" s="617" t="s">
        <v>476</v>
      </c>
      <c r="D367" s="618" t="s">
        <v>2152</v>
      </c>
      <c r="E367" s="617" t="s">
        <v>481</v>
      </c>
      <c r="F367" s="618" t="s">
        <v>2153</v>
      </c>
      <c r="G367" s="617" t="s">
        <v>1576</v>
      </c>
      <c r="H367" s="617" t="s">
        <v>1699</v>
      </c>
      <c r="I367" s="617" t="s">
        <v>1700</v>
      </c>
      <c r="J367" s="617" t="s">
        <v>1701</v>
      </c>
      <c r="K367" s="617" t="s">
        <v>1616</v>
      </c>
      <c r="L367" s="619">
        <v>71.170000000000016</v>
      </c>
      <c r="M367" s="619">
        <v>1</v>
      </c>
      <c r="N367" s="620">
        <v>71.170000000000016</v>
      </c>
    </row>
    <row r="368" spans="1:14" ht="14.4" customHeight="1" x14ac:dyDescent="0.3">
      <c r="A368" s="615" t="s">
        <v>471</v>
      </c>
      <c r="B368" s="616" t="s">
        <v>2151</v>
      </c>
      <c r="C368" s="617" t="s">
        <v>476</v>
      </c>
      <c r="D368" s="618" t="s">
        <v>2152</v>
      </c>
      <c r="E368" s="617" t="s">
        <v>481</v>
      </c>
      <c r="F368" s="618" t="s">
        <v>2153</v>
      </c>
      <c r="G368" s="617" t="s">
        <v>1576</v>
      </c>
      <c r="H368" s="617" t="s">
        <v>1702</v>
      </c>
      <c r="I368" s="617" t="s">
        <v>1703</v>
      </c>
      <c r="J368" s="617" t="s">
        <v>1704</v>
      </c>
      <c r="K368" s="617" t="s">
        <v>1705</v>
      </c>
      <c r="L368" s="619">
        <v>0</v>
      </c>
      <c r="M368" s="619">
        <v>0</v>
      </c>
      <c r="N368" s="620">
        <v>2.2737367544323206E-13</v>
      </c>
    </row>
    <row r="369" spans="1:14" ht="14.4" customHeight="1" x14ac:dyDescent="0.3">
      <c r="A369" s="615" t="s">
        <v>471</v>
      </c>
      <c r="B369" s="616" t="s">
        <v>2151</v>
      </c>
      <c r="C369" s="617" t="s">
        <v>476</v>
      </c>
      <c r="D369" s="618" t="s">
        <v>2152</v>
      </c>
      <c r="E369" s="617" t="s">
        <v>481</v>
      </c>
      <c r="F369" s="618" t="s">
        <v>2153</v>
      </c>
      <c r="G369" s="617" t="s">
        <v>1576</v>
      </c>
      <c r="H369" s="617" t="s">
        <v>1706</v>
      </c>
      <c r="I369" s="617" t="s">
        <v>1707</v>
      </c>
      <c r="J369" s="617" t="s">
        <v>1708</v>
      </c>
      <c r="K369" s="617" t="s">
        <v>1709</v>
      </c>
      <c r="L369" s="619">
        <v>185.16000000000005</v>
      </c>
      <c r="M369" s="619">
        <v>1</v>
      </c>
      <c r="N369" s="620">
        <v>185.16000000000005</v>
      </c>
    </row>
    <row r="370" spans="1:14" ht="14.4" customHeight="1" x14ac:dyDescent="0.3">
      <c r="A370" s="615" t="s">
        <v>471</v>
      </c>
      <c r="B370" s="616" t="s">
        <v>2151</v>
      </c>
      <c r="C370" s="617" t="s">
        <v>476</v>
      </c>
      <c r="D370" s="618" t="s">
        <v>2152</v>
      </c>
      <c r="E370" s="617" t="s">
        <v>481</v>
      </c>
      <c r="F370" s="618" t="s">
        <v>2153</v>
      </c>
      <c r="G370" s="617" t="s">
        <v>1576</v>
      </c>
      <c r="H370" s="617" t="s">
        <v>1710</v>
      </c>
      <c r="I370" s="617" t="s">
        <v>1711</v>
      </c>
      <c r="J370" s="617" t="s">
        <v>1712</v>
      </c>
      <c r="K370" s="617" t="s">
        <v>1659</v>
      </c>
      <c r="L370" s="619">
        <v>155.51999999999998</v>
      </c>
      <c r="M370" s="619">
        <v>2</v>
      </c>
      <c r="N370" s="620">
        <v>311.03999999999996</v>
      </c>
    </row>
    <row r="371" spans="1:14" ht="14.4" customHeight="1" x14ac:dyDescent="0.3">
      <c r="A371" s="615" t="s">
        <v>471</v>
      </c>
      <c r="B371" s="616" t="s">
        <v>2151</v>
      </c>
      <c r="C371" s="617" t="s">
        <v>476</v>
      </c>
      <c r="D371" s="618" t="s">
        <v>2152</v>
      </c>
      <c r="E371" s="617" t="s">
        <v>481</v>
      </c>
      <c r="F371" s="618" t="s">
        <v>2153</v>
      </c>
      <c r="G371" s="617" t="s">
        <v>1576</v>
      </c>
      <c r="H371" s="617" t="s">
        <v>1713</v>
      </c>
      <c r="I371" s="617" t="s">
        <v>1714</v>
      </c>
      <c r="J371" s="617" t="s">
        <v>1627</v>
      </c>
      <c r="K371" s="617" t="s">
        <v>1444</v>
      </c>
      <c r="L371" s="619">
        <v>98.650000000000034</v>
      </c>
      <c r="M371" s="619">
        <v>1</v>
      </c>
      <c r="N371" s="620">
        <v>98.650000000000034</v>
      </c>
    </row>
    <row r="372" spans="1:14" ht="14.4" customHeight="1" x14ac:dyDescent="0.3">
      <c r="A372" s="615" t="s">
        <v>471</v>
      </c>
      <c r="B372" s="616" t="s">
        <v>2151</v>
      </c>
      <c r="C372" s="617" t="s">
        <v>476</v>
      </c>
      <c r="D372" s="618" t="s">
        <v>2152</v>
      </c>
      <c r="E372" s="617" t="s">
        <v>481</v>
      </c>
      <c r="F372" s="618" t="s">
        <v>2153</v>
      </c>
      <c r="G372" s="617" t="s">
        <v>1576</v>
      </c>
      <c r="H372" s="617" t="s">
        <v>1715</v>
      </c>
      <c r="I372" s="617" t="s">
        <v>1716</v>
      </c>
      <c r="J372" s="617" t="s">
        <v>1717</v>
      </c>
      <c r="K372" s="617" t="s">
        <v>1718</v>
      </c>
      <c r="L372" s="619">
        <v>73.958656969829022</v>
      </c>
      <c r="M372" s="619">
        <v>1</v>
      </c>
      <c r="N372" s="620">
        <v>73.958656969829022</v>
      </c>
    </row>
    <row r="373" spans="1:14" ht="14.4" customHeight="1" x14ac:dyDescent="0.3">
      <c r="A373" s="615" t="s">
        <v>471</v>
      </c>
      <c r="B373" s="616" t="s">
        <v>2151</v>
      </c>
      <c r="C373" s="617" t="s">
        <v>476</v>
      </c>
      <c r="D373" s="618" t="s">
        <v>2152</v>
      </c>
      <c r="E373" s="617" t="s">
        <v>481</v>
      </c>
      <c r="F373" s="618" t="s">
        <v>2153</v>
      </c>
      <c r="G373" s="617" t="s">
        <v>1576</v>
      </c>
      <c r="H373" s="617" t="s">
        <v>1719</v>
      </c>
      <c r="I373" s="617" t="s">
        <v>1720</v>
      </c>
      <c r="J373" s="617" t="s">
        <v>1650</v>
      </c>
      <c r="K373" s="617" t="s">
        <v>1721</v>
      </c>
      <c r="L373" s="619">
        <v>61.659999999999982</v>
      </c>
      <c r="M373" s="619">
        <v>2</v>
      </c>
      <c r="N373" s="620">
        <v>123.31999999999996</v>
      </c>
    </row>
    <row r="374" spans="1:14" ht="14.4" customHeight="1" x14ac:dyDescent="0.3">
      <c r="A374" s="615" t="s">
        <v>471</v>
      </c>
      <c r="B374" s="616" t="s">
        <v>2151</v>
      </c>
      <c r="C374" s="617" t="s">
        <v>476</v>
      </c>
      <c r="D374" s="618" t="s">
        <v>2152</v>
      </c>
      <c r="E374" s="617" t="s">
        <v>481</v>
      </c>
      <c r="F374" s="618" t="s">
        <v>2153</v>
      </c>
      <c r="G374" s="617" t="s">
        <v>1576</v>
      </c>
      <c r="H374" s="617" t="s">
        <v>1722</v>
      </c>
      <c r="I374" s="617" t="s">
        <v>1723</v>
      </c>
      <c r="J374" s="617" t="s">
        <v>1724</v>
      </c>
      <c r="K374" s="617" t="s">
        <v>1725</v>
      </c>
      <c r="L374" s="619">
        <v>174.61</v>
      </c>
      <c r="M374" s="619">
        <v>1</v>
      </c>
      <c r="N374" s="620">
        <v>174.61</v>
      </c>
    </row>
    <row r="375" spans="1:14" ht="14.4" customHeight="1" x14ac:dyDescent="0.3">
      <c r="A375" s="615" t="s">
        <v>471</v>
      </c>
      <c r="B375" s="616" t="s">
        <v>2151</v>
      </c>
      <c r="C375" s="617" t="s">
        <v>476</v>
      </c>
      <c r="D375" s="618" t="s">
        <v>2152</v>
      </c>
      <c r="E375" s="617" t="s">
        <v>481</v>
      </c>
      <c r="F375" s="618" t="s">
        <v>2153</v>
      </c>
      <c r="G375" s="617" t="s">
        <v>1576</v>
      </c>
      <c r="H375" s="617" t="s">
        <v>1726</v>
      </c>
      <c r="I375" s="617" t="s">
        <v>1727</v>
      </c>
      <c r="J375" s="617" t="s">
        <v>1599</v>
      </c>
      <c r="K375" s="617" t="s">
        <v>1728</v>
      </c>
      <c r="L375" s="619">
        <v>97.319092851711389</v>
      </c>
      <c r="M375" s="619">
        <v>2</v>
      </c>
      <c r="N375" s="620">
        <v>194.63818570342278</v>
      </c>
    </row>
    <row r="376" spans="1:14" ht="14.4" customHeight="1" x14ac:dyDescent="0.3">
      <c r="A376" s="615" t="s">
        <v>471</v>
      </c>
      <c r="B376" s="616" t="s">
        <v>2151</v>
      </c>
      <c r="C376" s="617" t="s">
        <v>476</v>
      </c>
      <c r="D376" s="618" t="s">
        <v>2152</v>
      </c>
      <c r="E376" s="617" t="s">
        <v>481</v>
      </c>
      <c r="F376" s="618" t="s">
        <v>2153</v>
      </c>
      <c r="G376" s="617" t="s">
        <v>1576</v>
      </c>
      <c r="H376" s="617" t="s">
        <v>1729</v>
      </c>
      <c r="I376" s="617" t="s">
        <v>1730</v>
      </c>
      <c r="J376" s="617" t="s">
        <v>1642</v>
      </c>
      <c r="K376" s="617" t="s">
        <v>1731</v>
      </c>
      <c r="L376" s="619">
        <v>80.52</v>
      </c>
      <c r="M376" s="619">
        <v>1</v>
      </c>
      <c r="N376" s="620">
        <v>80.52</v>
      </c>
    </row>
    <row r="377" spans="1:14" ht="14.4" customHeight="1" x14ac:dyDescent="0.3">
      <c r="A377" s="615" t="s">
        <v>471</v>
      </c>
      <c r="B377" s="616" t="s">
        <v>2151</v>
      </c>
      <c r="C377" s="617" t="s">
        <v>476</v>
      </c>
      <c r="D377" s="618" t="s">
        <v>2152</v>
      </c>
      <c r="E377" s="617" t="s">
        <v>481</v>
      </c>
      <c r="F377" s="618" t="s">
        <v>2153</v>
      </c>
      <c r="G377" s="617" t="s">
        <v>1576</v>
      </c>
      <c r="H377" s="617" t="s">
        <v>1732</v>
      </c>
      <c r="I377" s="617" t="s">
        <v>1732</v>
      </c>
      <c r="J377" s="617" t="s">
        <v>1733</v>
      </c>
      <c r="K377" s="617" t="s">
        <v>1101</v>
      </c>
      <c r="L377" s="619">
        <v>132.64475291298973</v>
      </c>
      <c r="M377" s="619">
        <v>2</v>
      </c>
      <c r="N377" s="620">
        <v>265.28950582597946</v>
      </c>
    </row>
    <row r="378" spans="1:14" ht="14.4" customHeight="1" x14ac:dyDescent="0.3">
      <c r="A378" s="615" t="s">
        <v>471</v>
      </c>
      <c r="B378" s="616" t="s">
        <v>2151</v>
      </c>
      <c r="C378" s="617" t="s">
        <v>476</v>
      </c>
      <c r="D378" s="618" t="s">
        <v>2152</v>
      </c>
      <c r="E378" s="617" t="s">
        <v>481</v>
      </c>
      <c r="F378" s="618" t="s">
        <v>2153</v>
      </c>
      <c r="G378" s="617" t="s">
        <v>1576</v>
      </c>
      <c r="H378" s="617" t="s">
        <v>1734</v>
      </c>
      <c r="I378" s="617" t="s">
        <v>1735</v>
      </c>
      <c r="J378" s="617" t="s">
        <v>1736</v>
      </c>
      <c r="K378" s="617" t="s">
        <v>1737</v>
      </c>
      <c r="L378" s="619">
        <v>1374.9999807975098</v>
      </c>
      <c r="M378" s="619">
        <v>54</v>
      </c>
      <c r="N378" s="620">
        <v>74249.998963065533</v>
      </c>
    </row>
    <row r="379" spans="1:14" ht="14.4" customHeight="1" x14ac:dyDescent="0.3">
      <c r="A379" s="615" t="s">
        <v>471</v>
      </c>
      <c r="B379" s="616" t="s">
        <v>2151</v>
      </c>
      <c r="C379" s="617" t="s">
        <v>476</v>
      </c>
      <c r="D379" s="618" t="s">
        <v>2152</v>
      </c>
      <c r="E379" s="617" t="s">
        <v>481</v>
      </c>
      <c r="F379" s="618" t="s">
        <v>2153</v>
      </c>
      <c r="G379" s="617" t="s">
        <v>1576</v>
      </c>
      <c r="H379" s="617" t="s">
        <v>1738</v>
      </c>
      <c r="I379" s="617" t="s">
        <v>1738</v>
      </c>
      <c r="J379" s="617" t="s">
        <v>1739</v>
      </c>
      <c r="K379" s="617" t="s">
        <v>1740</v>
      </c>
      <c r="L379" s="619">
        <v>115.22999999999996</v>
      </c>
      <c r="M379" s="619">
        <v>1</v>
      </c>
      <c r="N379" s="620">
        <v>115.22999999999996</v>
      </c>
    </row>
    <row r="380" spans="1:14" ht="14.4" customHeight="1" x14ac:dyDescent="0.3">
      <c r="A380" s="615" t="s">
        <v>471</v>
      </c>
      <c r="B380" s="616" t="s">
        <v>2151</v>
      </c>
      <c r="C380" s="617" t="s">
        <v>476</v>
      </c>
      <c r="D380" s="618" t="s">
        <v>2152</v>
      </c>
      <c r="E380" s="617" t="s">
        <v>481</v>
      </c>
      <c r="F380" s="618" t="s">
        <v>2153</v>
      </c>
      <c r="G380" s="617" t="s">
        <v>1576</v>
      </c>
      <c r="H380" s="617" t="s">
        <v>1741</v>
      </c>
      <c r="I380" s="617" t="s">
        <v>1741</v>
      </c>
      <c r="J380" s="617" t="s">
        <v>1742</v>
      </c>
      <c r="K380" s="617" t="s">
        <v>1743</v>
      </c>
      <c r="L380" s="619">
        <v>251.98</v>
      </c>
      <c r="M380" s="619">
        <v>3</v>
      </c>
      <c r="N380" s="620">
        <v>755.93999999999994</v>
      </c>
    </row>
    <row r="381" spans="1:14" ht="14.4" customHeight="1" x14ac:dyDescent="0.3">
      <c r="A381" s="615" t="s">
        <v>471</v>
      </c>
      <c r="B381" s="616" t="s">
        <v>2151</v>
      </c>
      <c r="C381" s="617" t="s">
        <v>476</v>
      </c>
      <c r="D381" s="618" t="s">
        <v>2152</v>
      </c>
      <c r="E381" s="617" t="s">
        <v>481</v>
      </c>
      <c r="F381" s="618" t="s">
        <v>2153</v>
      </c>
      <c r="G381" s="617" t="s">
        <v>1576</v>
      </c>
      <c r="H381" s="617" t="s">
        <v>1744</v>
      </c>
      <c r="I381" s="617" t="s">
        <v>1745</v>
      </c>
      <c r="J381" s="617" t="s">
        <v>1746</v>
      </c>
      <c r="K381" s="617" t="s">
        <v>1747</v>
      </c>
      <c r="L381" s="619">
        <v>691.45002144153125</v>
      </c>
      <c r="M381" s="619">
        <v>64</v>
      </c>
      <c r="N381" s="620">
        <v>44252.801372258</v>
      </c>
    </row>
    <row r="382" spans="1:14" ht="14.4" customHeight="1" x14ac:dyDescent="0.3">
      <c r="A382" s="615" t="s">
        <v>471</v>
      </c>
      <c r="B382" s="616" t="s">
        <v>2151</v>
      </c>
      <c r="C382" s="617" t="s">
        <v>476</v>
      </c>
      <c r="D382" s="618" t="s">
        <v>2152</v>
      </c>
      <c r="E382" s="617" t="s">
        <v>481</v>
      </c>
      <c r="F382" s="618" t="s">
        <v>2153</v>
      </c>
      <c r="G382" s="617" t="s">
        <v>1576</v>
      </c>
      <c r="H382" s="617" t="s">
        <v>1748</v>
      </c>
      <c r="I382" s="617" t="s">
        <v>1749</v>
      </c>
      <c r="J382" s="617" t="s">
        <v>1750</v>
      </c>
      <c r="K382" s="617" t="s">
        <v>1751</v>
      </c>
      <c r="L382" s="619">
        <v>960.25</v>
      </c>
      <c r="M382" s="619">
        <v>5</v>
      </c>
      <c r="N382" s="620">
        <v>4801.25</v>
      </c>
    </row>
    <row r="383" spans="1:14" ht="14.4" customHeight="1" x14ac:dyDescent="0.3">
      <c r="A383" s="615" t="s">
        <v>471</v>
      </c>
      <c r="B383" s="616" t="s">
        <v>2151</v>
      </c>
      <c r="C383" s="617" t="s">
        <v>476</v>
      </c>
      <c r="D383" s="618" t="s">
        <v>2152</v>
      </c>
      <c r="E383" s="617" t="s">
        <v>481</v>
      </c>
      <c r="F383" s="618" t="s">
        <v>2153</v>
      </c>
      <c r="G383" s="617" t="s">
        <v>1576</v>
      </c>
      <c r="H383" s="617" t="s">
        <v>1752</v>
      </c>
      <c r="I383" s="617" t="s">
        <v>1753</v>
      </c>
      <c r="J383" s="617" t="s">
        <v>1754</v>
      </c>
      <c r="K383" s="617" t="s">
        <v>1755</v>
      </c>
      <c r="L383" s="619">
        <v>64.92</v>
      </c>
      <c r="M383" s="619">
        <v>1</v>
      </c>
      <c r="N383" s="620">
        <v>64.92</v>
      </c>
    </row>
    <row r="384" spans="1:14" ht="14.4" customHeight="1" x14ac:dyDescent="0.3">
      <c r="A384" s="615" t="s">
        <v>471</v>
      </c>
      <c r="B384" s="616" t="s">
        <v>2151</v>
      </c>
      <c r="C384" s="617" t="s">
        <v>476</v>
      </c>
      <c r="D384" s="618" t="s">
        <v>2152</v>
      </c>
      <c r="E384" s="617" t="s">
        <v>481</v>
      </c>
      <c r="F384" s="618" t="s">
        <v>2153</v>
      </c>
      <c r="G384" s="617" t="s">
        <v>1576</v>
      </c>
      <c r="H384" s="617" t="s">
        <v>1756</v>
      </c>
      <c r="I384" s="617" t="s">
        <v>1757</v>
      </c>
      <c r="J384" s="617" t="s">
        <v>1758</v>
      </c>
      <c r="K384" s="617" t="s">
        <v>1759</v>
      </c>
      <c r="L384" s="619">
        <v>70.039999999999935</v>
      </c>
      <c r="M384" s="619">
        <v>1</v>
      </c>
      <c r="N384" s="620">
        <v>70.039999999999935</v>
      </c>
    </row>
    <row r="385" spans="1:14" ht="14.4" customHeight="1" x14ac:dyDescent="0.3">
      <c r="A385" s="615" t="s">
        <v>471</v>
      </c>
      <c r="B385" s="616" t="s">
        <v>2151</v>
      </c>
      <c r="C385" s="617" t="s">
        <v>476</v>
      </c>
      <c r="D385" s="618" t="s">
        <v>2152</v>
      </c>
      <c r="E385" s="617" t="s">
        <v>481</v>
      </c>
      <c r="F385" s="618" t="s">
        <v>2153</v>
      </c>
      <c r="G385" s="617" t="s">
        <v>1576</v>
      </c>
      <c r="H385" s="617" t="s">
        <v>1760</v>
      </c>
      <c r="I385" s="617" t="s">
        <v>1760</v>
      </c>
      <c r="J385" s="617" t="s">
        <v>1761</v>
      </c>
      <c r="K385" s="617" t="s">
        <v>1762</v>
      </c>
      <c r="L385" s="619">
        <v>773.31</v>
      </c>
      <c r="M385" s="619">
        <v>1</v>
      </c>
      <c r="N385" s="620">
        <v>773.31</v>
      </c>
    </row>
    <row r="386" spans="1:14" ht="14.4" customHeight="1" x14ac:dyDescent="0.3">
      <c r="A386" s="615" t="s">
        <v>471</v>
      </c>
      <c r="B386" s="616" t="s">
        <v>2151</v>
      </c>
      <c r="C386" s="617" t="s">
        <v>476</v>
      </c>
      <c r="D386" s="618" t="s">
        <v>2152</v>
      </c>
      <c r="E386" s="617" t="s">
        <v>481</v>
      </c>
      <c r="F386" s="618" t="s">
        <v>2153</v>
      </c>
      <c r="G386" s="617" t="s">
        <v>1576</v>
      </c>
      <c r="H386" s="617" t="s">
        <v>1763</v>
      </c>
      <c r="I386" s="617" t="s">
        <v>1763</v>
      </c>
      <c r="J386" s="617" t="s">
        <v>1764</v>
      </c>
      <c r="K386" s="617" t="s">
        <v>1765</v>
      </c>
      <c r="L386" s="619">
        <v>47.629662007635638</v>
      </c>
      <c r="M386" s="619">
        <v>1</v>
      </c>
      <c r="N386" s="620">
        <v>47.629662007635638</v>
      </c>
    </row>
    <row r="387" spans="1:14" ht="14.4" customHeight="1" x14ac:dyDescent="0.3">
      <c r="A387" s="615" t="s">
        <v>471</v>
      </c>
      <c r="B387" s="616" t="s">
        <v>2151</v>
      </c>
      <c r="C387" s="617" t="s">
        <v>476</v>
      </c>
      <c r="D387" s="618" t="s">
        <v>2152</v>
      </c>
      <c r="E387" s="617" t="s">
        <v>481</v>
      </c>
      <c r="F387" s="618" t="s">
        <v>2153</v>
      </c>
      <c r="G387" s="617" t="s">
        <v>1576</v>
      </c>
      <c r="H387" s="617" t="s">
        <v>1766</v>
      </c>
      <c r="I387" s="617" t="s">
        <v>1766</v>
      </c>
      <c r="J387" s="617" t="s">
        <v>1767</v>
      </c>
      <c r="K387" s="617" t="s">
        <v>1768</v>
      </c>
      <c r="L387" s="619">
        <v>93.41</v>
      </c>
      <c r="M387" s="619">
        <v>1</v>
      </c>
      <c r="N387" s="620">
        <v>93.41</v>
      </c>
    </row>
    <row r="388" spans="1:14" ht="14.4" customHeight="1" x14ac:dyDescent="0.3">
      <c r="A388" s="615" t="s">
        <v>471</v>
      </c>
      <c r="B388" s="616" t="s">
        <v>2151</v>
      </c>
      <c r="C388" s="617" t="s">
        <v>476</v>
      </c>
      <c r="D388" s="618" t="s">
        <v>2152</v>
      </c>
      <c r="E388" s="617" t="s">
        <v>481</v>
      </c>
      <c r="F388" s="618" t="s">
        <v>2153</v>
      </c>
      <c r="G388" s="617" t="s">
        <v>1576</v>
      </c>
      <c r="H388" s="617" t="s">
        <v>1769</v>
      </c>
      <c r="I388" s="617" t="s">
        <v>1769</v>
      </c>
      <c r="J388" s="617" t="s">
        <v>1770</v>
      </c>
      <c r="K388" s="617" t="s">
        <v>1771</v>
      </c>
      <c r="L388" s="619">
        <v>113.0500000000001</v>
      </c>
      <c r="M388" s="619">
        <v>1</v>
      </c>
      <c r="N388" s="620">
        <v>113.0500000000001</v>
      </c>
    </row>
    <row r="389" spans="1:14" ht="14.4" customHeight="1" x14ac:dyDescent="0.3">
      <c r="A389" s="615" t="s">
        <v>471</v>
      </c>
      <c r="B389" s="616" t="s">
        <v>2151</v>
      </c>
      <c r="C389" s="617" t="s">
        <v>476</v>
      </c>
      <c r="D389" s="618" t="s">
        <v>2152</v>
      </c>
      <c r="E389" s="617" t="s">
        <v>481</v>
      </c>
      <c r="F389" s="618" t="s">
        <v>2153</v>
      </c>
      <c r="G389" s="617" t="s">
        <v>1576</v>
      </c>
      <c r="H389" s="617" t="s">
        <v>1772</v>
      </c>
      <c r="I389" s="617" t="s">
        <v>1772</v>
      </c>
      <c r="J389" s="617" t="s">
        <v>1773</v>
      </c>
      <c r="K389" s="617" t="s">
        <v>1774</v>
      </c>
      <c r="L389" s="619">
        <v>273.89999999999998</v>
      </c>
      <c r="M389" s="619">
        <v>5</v>
      </c>
      <c r="N389" s="620">
        <v>1369.5</v>
      </c>
    </row>
    <row r="390" spans="1:14" ht="14.4" customHeight="1" x14ac:dyDescent="0.3">
      <c r="A390" s="615" t="s">
        <v>471</v>
      </c>
      <c r="B390" s="616" t="s">
        <v>2151</v>
      </c>
      <c r="C390" s="617" t="s">
        <v>476</v>
      </c>
      <c r="D390" s="618" t="s">
        <v>2152</v>
      </c>
      <c r="E390" s="617" t="s">
        <v>481</v>
      </c>
      <c r="F390" s="618" t="s">
        <v>2153</v>
      </c>
      <c r="G390" s="617" t="s">
        <v>1576</v>
      </c>
      <c r="H390" s="617" t="s">
        <v>1775</v>
      </c>
      <c r="I390" s="617" t="s">
        <v>1775</v>
      </c>
      <c r="J390" s="617" t="s">
        <v>1776</v>
      </c>
      <c r="K390" s="617" t="s">
        <v>1777</v>
      </c>
      <c r="L390" s="619">
        <v>1106.26</v>
      </c>
      <c r="M390" s="619">
        <v>1</v>
      </c>
      <c r="N390" s="620">
        <v>1106.26</v>
      </c>
    </row>
    <row r="391" spans="1:14" ht="14.4" customHeight="1" x14ac:dyDescent="0.3">
      <c r="A391" s="615" t="s">
        <v>471</v>
      </c>
      <c r="B391" s="616" t="s">
        <v>2151</v>
      </c>
      <c r="C391" s="617" t="s">
        <v>476</v>
      </c>
      <c r="D391" s="618" t="s">
        <v>2152</v>
      </c>
      <c r="E391" s="617" t="s">
        <v>481</v>
      </c>
      <c r="F391" s="618" t="s">
        <v>2153</v>
      </c>
      <c r="G391" s="617" t="s">
        <v>1576</v>
      </c>
      <c r="H391" s="617" t="s">
        <v>1778</v>
      </c>
      <c r="I391" s="617" t="s">
        <v>1778</v>
      </c>
      <c r="J391" s="617" t="s">
        <v>1623</v>
      </c>
      <c r="K391" s="617" t="s">
        <v>1624</v>
      </c>
      <c r="L391" s="619">
        <v>3299.9995407052843</v>
      </c>
      <c r="M391" s="619">
        <v>22</v>
      </c>
      <c r="N391" s="620">
        <v>72599.98989551625</v>
      </c>
    </row>
    <row r="392" spans="1:14" ht="14.4" customHeight="1" x14ac:dyDescent="0.3">
      <c r="A392" s="615" t="s">
        <v>471</v>
      </c>
      <c r="B392" s="616" t="s">
        <v>2151</v>
      </c>
      <c r="C392" s="617" t="s">
        <v>476</v>
      </c>
      <c r="D392" s="618" t="s">
        <v>2152</v>
      </c>
      <c r="E392" s="617" t="s">
        <v>481</v>
      </c>
      <c r="F392" s="618" t="s">
        <v>2153</v>
      </c>
      <c r="G392" s="617" t="s">
        <v>1576</v>
      </c>
      <c r="H392" s="617" t="s">
        <v>1779</v>
      </c>
      <c r="I392" s="617" t="s">
        <v>1779</v>
      </c>
      <c r="J392" s="617" t="s">
        <v>1780</v>
      </c>
      <c r="K392" s="617" t="s">
        <v>1781</v>
      </c>
      <c r="L392" s="619">
        <v>67.809392920158416</v>
      </c>
      <c r="M392" s="619">
        <v>1790</v>
      </c>
      <c r="N392" s="620">
        <v>121378.81332708357</v>
      </c>
    </row>
    <row r="393" spans="1:14" ht="14.4" customHeight="1" x14ac:dyDescent="0.3">
      <c r="A393" s="615" t="s">
        <v>471</v>
      </c>
      <c r="B393" s="616" t="s">
        <v>2151</v>
      </c>
      <c r="C393" s="617" t="s">
        <v>476</v>
      </c>
      <c r="D393" s="618" t="s">
        <v>2152</v>
      </c>
      <c r="E393" s="617" t="s">
        <v>481</v>
      </c>
      <c r="F393" s="618" t="s">
        <v>2153</v>
      </c>
      <c r="G393" s="617" t="s">
        <v>1576</v>
      </c>
      <c r="H393" s="617" t="s">
        <v>1782</v>
      </c>
      <c r="I393" s="617" t="s">
        <v>1782</v>
      </c>
      <c r="J393" s="617" t="s">
        <v>1599</v>
      </c>
      <c r="K393" s="617" t="s">
        <v>1600</v>
      </c>
      <c r="L393" s="619">
        <v>161.69</v>
      </c>
      <c r="M393" s="619">
        <v>1</v>
      </c>
      <c r="N393" s="620">
        <v>161.69</v>
      </c>
    </row>
    <row r="394" spans="1:14" ht="14.4" customHeight="1" x14ac:dyDescent="0.3">
      <c r="A394" s="615" t="s">
        <v>471</v>
      </c>
      <c r="B394" s="616" t="s">
        <v>2151</v>
      </c>
      <c r="C394" s="617" t="s">
        <v>476</v>
      </c>
      <c r="D394" s="618" t="s">
        <v>2152</v>
      </c>
      <c r="E394" s="617" t="s">
        <v>481</v>
      </c>
      <c r="F394" s="618" t="s">
        <v>2153</v>
      </c>
      <c r="G394" s="617" t="s">
        <v>1576</v>
      </c>
      <c r="H394" s="617" t="s">
        <v>1783</v>
      </c>
      <c r="I394" s="617" t="s">
        <v>1783</v>
      </c>
      <c r="J394" s="617" t="s">
        <v>1784</v>
      </c>
      <c r="K394" s="617" t="s">
        <v>1785</v>
      </c>
      <c r="L394" s="619">
        <v>154.30999999999997</v>
      </c>
      <c r="M394" s="619">
        <v>1</v>
      </c>
      <c r="N394" s="620">
        <v>154.30999999999997</v>
      </c>
    </row>
    <row r="395" spans="1:14" ht="14.4" customHeight="1" x14ac:dyDescent="0.3">
      <c r="A395" s="615" t="s">
        <v>471</v>
      </c>
      <c r="B395" s="616" t="s">
        <v>2151</v>
      </c>
      <c r="C395" s="617" t="s">
        <v>476</v>
      </c>
      <c r="D395" s="618" t="s">
        <v>2152</v>
      </c>
      <c r="E395" s="617" t="s">
        <v>481</v>
      </c>
      <c r="F395" s="618" t="s">
        <v>2153</v>
      </c>
      <c r="G395" s="617" t="s">
        <v>1576</v>
      </c>
      <c r="H395" s="617" t="s">
        <v>1786</v>
      </c>
      <c r="I395" s="617" t="s">
        <v>1786</v>
      </c>
      <c r="J395" s="617" t="s">
        <v>1787</v>
      </c>
      <c r="K395" s="617" t="s">
        <v>1788</v>
      </c>
      <c r="L395" s="619">
        <v>63.110059299857369</v>
      </c>
      <c r="M395" s="619">
        <v>8</v>
      </c>
      <c r="N395" s="620">
        <v>504.88047439885895</v>
      </c>
    </row>
    <row r="396" spans="1:14" ht="14.4" customHeight="1" x14ac:dyDescent="0.3">
      <c r="A396" s="615" t="s">
        <v>471</v>
      </c>
      <c r="B396" s="616" t="s">
        <v>2151</v>
      </c>
      <c r="C396" s="617" t="s">
        <v>476</v>
      </c>
      <c r="D396" s="618" t="s">
        <v>2152</v>
      </c>
      <c r="E396" s="617" t="s">
        <v>481</v>
      </c>
      <c r="F396" s="618" t="s">
        <v>2153</v>
      </c>
      <c r="G396" s="617" t="s">
        <v>1576</v>
      </c>
      <c r="H396" s="617" t="s">
        <v>1789</v>
      </c>
      <c r="I396" s="617" t="s">
        <v>1789</v>
      </c>
      <c r="J396" s="617" t="s">
        <v>1790</v>
      </c>
      <c r="K396" s="617" t="s">
        <v>1101</v>
      </c>
      <c r="L396" s="619">
        <v>214.09053147016326</v>
      </c>
      <c r="M396" s="619">
        <v>1</v>
      </c>
      <c r="N396" s="620">
        <v>214.09053147016326</v>
      </c>
    </row>
    <row r="397" spans="1:14" ht="14.4" customHeight="1" x14ac:dyDescent="0.3">
      <c r="A397" s="615" t="s">
        <v>471</v>
      </c>
      <c r="B397" s="616" t="s">
        <v>2151</v>
      </c>
      <c r="C397" s="617" t="s">
        <v>476</v>
      </c>
      <c r="D397" s="618" t="s">
        <v>2152</v>
      </c>
      <c r="E397" s="617" t="s">
        <v>1791</v>
      </c>
      <c r="F397" s="618" t="s">
        <v>2154</v>
      </c>
      <c r="G397" s="617"/>
      <c r="H397" s="617" t="s">
        <v>1792</v>
      </c>
      <c r="I397" s="617" t="s">
        <v>1793</v>
      </c>
      <c r="J397" s="617" t="s">
        <v>1794</v>
      </c>
      <c r="K397" s="617"/>
      <c r="L397" s="619">
        <v>183.20249999999999</v>
      </c>
      <c r="M397" s="619">
        <v>3</v>
      </c>
      <c r="N397" s="620">
        <v>549.60749999999996</v>
      </c>
    </row>
    <row r="398" spans="1:14" ht="14.4" customHeight="1" x14ac:dyDescent="0.3">
      <c r="A398" s="615" t="s">
        <v>471</v>
      </c>
      <c r="B398" s="616" t="s">
        <v>2151</v>
      </c>
      <c r="C398" s="617" t="s">
        <v>476</v>
      </c>
      <c r="D398" s="618" t="s">
        <v>2152</v>
      </c>
      <c r="E398" s="617" t="s">
        <v>1791</v>
      </c>
      <c r="F398" s="618" t="s">
        <v>2154</v>
      </c>
      <c r="G398" s="617"/>
      <c r="H398" s="617" t="s">
        <v>1795</v>
      </c>
      <c r="I398" s="617" t="s">
        <v>1795</v>
      </c>
      <c r="J398" s="617" t="s">
        <v>1796</v>
      </c>
      <c r="K398" s="617" t="s">
        <v>1797</v>
      </c>
      <c r="L398" s="619">
        <v>900.29</v>
      </c>
      <c r="M398" s="619">
        <v>0.33339999999999997</v>
      </c>
      <c r="N398" s="620">
        <v>300.15668599999998</v>
      </c>
    </row>
    <row r="399" spans="1:14" ht="14.4" customHeight="1" x14ac:dyDescent="0.3">
      <c r="A399" s="615" t="s">
        <v>471</v>
      </c>
      <c r="B399" s="616" t="s">
        <v>2151</v>
      </c>
      <c r="C399" s="617" t="s">
        <v>476</v>
      </c>
      <c r="D399" s="618" t="s">
        <v>2152</v>
      </c>
      <c r="E399" s="617" t="s">
        <v>1791</v>
      </c>
      <c r="F399" s="618" t="s">
        <v>2154</v>
      </c>
      <c r="G399" s="617"/>
      <c r="H399" s="617" t="s">
        <v>1798</v>
      </c>
      <c r="I399" s="617" t="s">
        <v>1798</v>
      </c>
      <c r="J399" s="617" t="s">
        <v>1799</v>
      </c>
      <c r="K399" s="617" t="s">
        <v>1800</v>
      </c>
      <c r="L399" s="619">
        <v>27.198500531341107</v>
      </c>
      <c r="M399" s="619">
        <v>22</v>
      </c>
      <c r="N399" s="620">
        <v>598.36701168950435</v>
      </c>
    </row>
    <row r="400" spans="1:14" ht="14.4" customHeight="1" x14ac:dyDescent="0.3">
      <c r="A400" s="615" t="s">
        <v>471</v>
      </c>
      <c r="B400" s="616" t="s">
        <v>2151</v>
      </c>
      <c r="C400" s="617" t="s">
        <v>476</v>
      </c>
      <c r="D400" s="618" t="s">
        <v>2152</v>
      </c>
      <c r="E400" s="617" t="s">
        <v>1791</v>
      </c>
      <c r="F400" s="618" t="s">
        <v>2154</v>
      </c>
      <c r="G400" s="617"/>
      <c r="H400" s="617" t="s">
        <v>1801</v>
      </c>
      <c r="I400" s="617" t="s">
        <v>1801</v>
      </c>
      <c r="J400" s="617" t="s">
        <v>1802</v>
      </c>
      <c r="K400" s="617" t="s">
        <v>1800</v>
      </c>
      <c r="L400" s="619">
        <v>27.19607674010738</v>
      </c>
      <c r="M400" s="619">
        <v>18</v>
      </c>
      <c r="N400" s="620">
        <v>489.52938132193282</v>
      </c>
    </row>
    <row r="401" spans="1:14" ht="14.4" customHeight="1" x14ac:dyDescent="0.3">
      <c r="A401" s="615" t="s">
        <v>471</v>
      </c>
      <c r="B401" s="616" t="s">
        <v>2151</v>
      </c>
      <c r="C401" s="617" t="s">
        <v>476</v>
      </c>
      <c r="D401" s="618" t="s">
        <v>2152</v>
      </c>
      <c r="E401" s="617" t="s">
        <v>1791</v>
      </c>
      <c r="F401" s="618" t="s">
        <v>2154</v>
      </c>
      <c r="G401" s="617"/>
      <c r="H401" s="617" t="s">
        <v>1803</v>
      </c>
      <c r="I401" s="617" t="s">
        <v>1803</v>
      </c>
      <c r="J401" s="617" t="s">
        <v>1804</v>
      </c>
      <c r="K401" s="617" t="s">
        <v>1800</v>
      </c>
      <c r="L401" s="619">
        <v>27.197489425379246</v>
      </c>
      <c r="M401" s="619">
        <v>27</v>
      </c>
      <c r="N401" s="620">
        <v>734.33221448523966</v>
      </c>
    </row>
    <row r="402" spans="1:14" ht="14.4" customHeight="1" x14ac:dyDescent="0.3">
      <c r="A402" s="615" t="s">
        <v>471</v>
      </c>
      <c r="B402" s="616" t="s">
        <v>2151</v>
      </c>
      <c r="C402" s="617" t="s">
        <v>476</v>
      </c>
      <c r="D402" s="618" t="s">
        <v>2152</v>
      </c>
      <c r="E402" s="617" t="s">
        <v>1791</v>
      </c>
      <c r="F402" s="618" t="s">
        <v>2154</v>
      </c>
      <c r="G402" s="617" t="s">
        <v>517</v>
      </c>
      <c r="H402" s="617" t="s">
        <v>1805</v>
      </c>
      <c r="I402" s="617" t="s">
        <v>817</v>
      </c>
      <c r="J402" s="617" t="s">
        <v>1806</v>
      </c>
      <c r="K402" s="617"/>
      <c r="L402" s="619">
        <v>1161.1000244914278</v>
      </c>
      <c r="M402" s="619">
        <v>2.0006999999999993</v>
      </c>
      <c r="N402" s="620">
        <v>2323.0128189999987</v>
      </c>
    </row>
    <row r="403" spans="1:14" ht="14.4" customHeight="1" x14ac:dyDescent="0.3">
      <c r="A403" s="615" t="s">
        <v>471</v>
      </c>
      <c r="B403" s="616" t="s">
        <v>2151</v>
      </c>
      <c r="C403" s="617" t="s">
        <v>476</v>
      </c>
      <c r="D403" s="618" t="s">
        <v>2152</v>
      </c>
      <c r="E403" s="617" t="s">
        <v>1791</v>
      </c>
      <c r="F403" s="618" t="s">
        <v>2154</v>
      </c>
      <c r="G403" s="617" t="s">
        <v>517</v>
      </c>
      <c r="H403" s="617" t="s">
        <v>1807</v>
      </c>
      <c r="I403" s="617" t="s">
        <v>817</v>
      </c>
      <c r="J403" s="617" t="s">
        <v>1808</v>
      </c>
      <c r="K403" s="617" t="s">
        <v>1809</v>
      </c>
      <c r="L403" s="619">
        <v>185.64128167686744</v>
      </c>
      <c r="M403" s="619">
        <v>18</v>
      </c>
      <c r="N403" s="620">
        <v>3341.543070183614</v>
      </c>
    </row>
    <row r="404" spans="1:14" ht="14.4" customHeight="1" x14ac:dyDescent="0.3">
      <c r="A404" s="615" t="s">
        <v>471</v>
      </c>
      <c r="B404" s="616" t="s">
        <v>2151</v>
      </c>
      <c r="C404" s="617" t="s">
        <v>476</v>
      </c>
      <c r="D404" s="618" t="s">
        <v>2152</v>
      </c>
      <c r="E404" s="617" t="s">
        <v>1791</v>
      </c>
      <c r="F404" s="618" t="s">
        <v>2154</v>
      </c>
      <c r="G404" s="617" t="s">
        <v>517</v>
      </c>
      <c r="H404" s="617" t="s">
        <v>1810</v>
      </c>
      <c r="I404" s="617" t="s">
        <v>817</v>
      </c>
      <c r="J404" s="617" t="s">
        <v>1811</v>
      </c>
      <c r="K404" s="617"/>
      <c r="L404" s="619">
        <v>253.76001796689044</v>
      </c>
      <c r="M404" s="619">
        <v>60</v>
      </c>
      <c r="N404" s="620">
        <v>15225.601078013427</v>
      </c>
    </row>
    <row r="405" spans="1:14" ht="14.4" customHeight="1" x14ac:dyDescent="0.3">
      <c r="A405" s="615" t="s">
        <v>471</v>
      </c>
      <c r="B405" s="616" t="s">
        <v>2151</v>
      </c>
      <c r="C405" s="617" t="s">
        <v>476</v>
      </c>
      <c r="D405" s="618" t="s">
        <v>2152</v>
      </c>
      <c r="E405" s="617" t="s">
        <v>1791</v>
      </c>
      <c r="F405" s="618" t="s">
        <v>2154</v>
      </c>
      <c r="G405" s="617" t="s">
        <v>517</v>
      </c>
      <c r="H405" s="617" t="s">
        <v>1812</v>
      </c>
      <c r="I405" s="617" t="s">
        <v>817</v>
      </c>
      <c r="J405" s="617" t="s">
        <v>1813</v>
      </c>
      <c r="K405" s="617"/>
      <c r="L405" s="619">
        <v>221.68958402056535</v>
      </c>
      <c r="M405" s="619">
        <v>60</v>
      </c>
      <c r="N405" s="620">
        <v>13301.375041233921</v>
      </c>
    </row>
    <row r="406" spans="1:14" ht="14.4" customHeight="1" x14ac:dyDescent="0.3">
      <c r="A406" s="615" t="s">
        <v>471</v>
      </c>
      <c r="B406" s="616" t="s">
        <v>2151</v>
      </c>
      <c r="C406" s="617" t="s">
        <v>476</v>
      </c>
      <c r="D406" s="618" t="s">
        <v>2152</v>
      </c>
      <c r="E406" s="617" t="s">
        <v>1791</v>
      </c>
      <c r="F406" s="618" t="s">
        <v>2154</v>
      </c>
      <c r="G406" s="617" t="s">
        <v>517</v>
      </c>
      <c r="H406" s="617" t="s">
        <v>1814</v>
      </c>
      <c r="I406" s="617" t="s">
        <v>817</v>
      </c>
      <c r="J406" s="617" t="s">
        <v>1815</v>
      </c>
      <c r="K406" s="617"/>
      <c r="L406" s="619">
        <v>180.33088888888886</v>
      </c>
      <c r="M406" s="619">
        <v>45</v>
      </c>
      <c r="N406" s="620">
        <v>8114.8899999999994</v>
      </c>
    </row>
    <row r="407" spans="1:14" ht="14.4" customHeight="1" x14ac:dyDescent="0.3">
      <c r="A407" s="615" t="s">
        <v>471</v>
      </c>
      <c r="B407" s="616" t="s">
        <v>2151</v>
      </c>
      <c r="C407" s="617" t="s">
        <v>476</v>
      </c>
      <c r="D407" s="618" t="s">
        <v>2152</v>
      </c>
      <c r="E407" s="617" t="s">
        <v>1791</v>
      </c>
      <c r="F407" s="618" t="s">
        <v>2154</v>
      </c>
      <c r="G407" s="617" t="s">
        <v>517</v>
      </c>
      <c r="H407" s="617" t="s">
        <v>1816</v>
      </c>
      <c r="I407" s="617" t="s">
        <v>817</v>
      </c>
      <c r="J407" s="617" t="s">
        <v>1817</v>
      </c>
      <c r="K407" s="617"/>
      <c r="L407" s="619">
        <v>84.41</v>
      </c>
      <c r="M407" s="619">
        <v>8</v>
      </c>
      <c r="N407" s="620">
        <v>675.28</v>
      </c>
    </row>
    <row r="408" spans="1:14" ht="14.4" customHeight="1" x14ac:dyDescent="0.3">
      <c r="A408" s="615" t="s">
        <v>471</v>
      </c>
      <c r="B408" s="616" t="s">
        <v>2151</v>
      </c>
      <c r="C408" s="617" t="s">
        <v>476</v>
      </c>
      <c r="D408" s="618" t="s">
        <v>2152</v>
      </c>
      <c r="E408" s="617" t="s">
        <v>1791</v>
      </c>
      <c r="F408" s="618" t="s">
        <v>2154</v>
      </c>
      <c r="G408" s="617" t="s">
        <v>517</v>
      </c>
      <c r="H408" s="617" t="s">
        <v>1818</v>
      </c>
      <c r="I408" s="617" t="s">
        <v>817</v>
      </c>
      <c r="J408" s="617" t="s">
        <v>1819</v>
      </c>
      <c r="K408" s="617" t="s">
        <v>1820</v>
      </c>
      <c r="L408" s="619">
        <v>996.75</v>
      </c>
      <c r="M408" s="619">
        <v>8</v>
      </c>
      <c r="N408" s="620">
        <v>7974</v>
      </c>
    </row>
    <row r="409" spans="1:14" ht="14.4" customHeight="1" x14ac:dyDescent="0.3">
      <c r="A409" s="615" t="s">
        <v>471</v>
      </c>
      <c r="B409" s="616" t="s">
        <v>2151</v>
      </c>
      <c r="C409" s="617" t="s">
        <v>476</v>
      </c>
      <c r="D409" s="618" t="s">
        <v>2152</v>
      </c>
      <c r="E409" s="617" t="s">
        <v>1791</v>
      </c>
      <c r="F409" s="618" t="s">
        <v>2154</v>
      </c>
      <c r="G409" s="617" t="s">
        <v>517</v>
      </c>
      <c r="H409" s="617" t="s">
        <v>1821</v>
      </c>
      <c r="I409" s="617" t="s">
        <v>817</v>
      </c>
      <c r="J409" s="617" t="s">
        <v>1822</v>
      </c>
      <c r="K409" s="617"/>
      <c r="L409" s="619">
        <v>732.81</v>
      </c>
      <c r="M409" s="619">
        <v>2.25</v>
      </c>
      <c r="N409" s="620">
        <v>1648.8224999999998</v>
      </c>
    </row>
    <row r="410" spans="1:14" ht="14.4" customHeight="1" x14ac:dyDescent="0.3">
      <c r="A410" s="615" t="s">
        <v>471</v>
      </c>
      <c r="B410" s="616" t="s">
        <v>2151</v>
      </c>
      <c r="C410" s="617" t="s">
        <v>476</v>
      </c>
      <c r="D410" s="618" t="s">
        <v>2152</v>
      </c>
      <c r="E410" s="617" t="s">
        <v>1791</v>
      </c>
      <c r="F410" s="618" t="s">
        <v>2154</v>
      </c>
      <c r="G410" s="617" t="s">
        <v>517</v>
      </c>
      <c r="H410" s="617" t="s">
        <v>1823</v>
      </c>
      <c r="I410" s="617" t="s">
        <v>1823</v>
      </c>
      <c r="J410" s="617" t="s">
        <v>1824</v>
      </c>
      <c r="K410" s="617" t="s">
        <v>1825</v>
      </c>
      <c r="L410" s="619">
        <v>1109.04</v>
      </c>
      <c r="M410" s="619">
        <v>2</v>
      </c>
      <c r="N410" s="620">
        <v>2218.08</v>
      </c>
    </row>
    <row r="411" spans="1:14" ht="14.4" customHeight="1" x14ac:dyDescent="0.3">
      <c r="A411" s="615" t="s">
        <v>471</v>
      </c>
      <c r="B411" s="616" t="s">
        <v>2151</v>
      </c>
      <c r="C411" s="617" t="s">
        <v>476</v>
      </c>
      <c r="D411" s="618" t="s">
        <v>2152</v>
      </c>
      <c r="E411" s="617" t="s">
        <v>1791</v>
      </c>
      <c r="F411" s="618" t="s">
        <v>2154</v>
      </c>
      <c r="G411" s="617" t="s">
        <v>1576</v>
      </c>
      <c r="H411" s="617" t="s">
        <v>1826</v>
      </c>
      <c r="I411" s="617" t="s">
        <v>1827</v>
      </c>
      <c r="J411" s="617" t="s">
        <v>1828</v>
      </c>
      <c r="K411" s="617" t="s">
        <v>1800</v>
      </c>
      <c r="L411" s="619">
        <v>40.919999999999995</v>
      </c>
      <c r="M411" s="619">
        <v>36</v>
      </c>
      <c r="N411" s="620">
        <v>1473.12</v>
      </c>
    </row>
    <row r="412" spans="1:14" ht="14.4" customHeight="1" x14ac:dyDescent="0.3">
      <c r="A412" s="615" t="s">
        <v>471</v>
      </c>
      <c r="B412" s="616" t="s">
        <v>2151</v>
      </c>
      <c r="C412" s="617" t="s">
        <v>476</v>
      </c>
      <c r="D412" s="618" t="s">
        <v>2152</v>
      </c>
      <c r="E412" s="617" t="s">
        <v>1791</v>
      </c>
      <c r="F412" s="618" t="s">
        <v>2154</v>
      </c>
      <c r="G412" s="617" t="s">
        <v>1576</v>
      </c>
      <c r="H412" s="617" t="s">
        <v>1829</v>
      </c>
      <c r="I412" s="617" t="s">
        <v>1830</v>
      </c>
      <c r="J412" s="617" t="s">
        <v>1831</v>
      </c>
      <c r="K412" s="617" t="s">
        <v>1800</v>
      </c>
      <c r="L412" s="619">
        <v>40.920000000000009</v>
      </c>
      <c r="M412" s="619">
        <v>96</v>
      </c>
      <c r="N412" s="620">
        <v>3928.3200000000006</v>
      </c>
    </row>
    <row r="413" spans="1:14" ht="14.4" customHeight="1" x14ac:dyDescent="0.3">
      <c r="A413" s="615" t="s">
        <v>471</v>
      </c>
      <c r="B413" s="616" t="s">
        <v>2151</v>
      </c>
      <c r="C413" s="617" t="s">
        <v>476</v>
      </c>
      <c r="D413" s="618" t="s">
        <v>2152</v>
      </c>
      <c r="E413" s="617" t="s">
        <v>1791</v>
      </c>
      <c r="F413" s="618" t="s">
        <v>2154</v>
      </c>
      <c r="G413" s="617" t="s">
        <v>1576</v>
      </c>
      <c r="H413" s="617" t="s">
        <v>1832</v>
      </c>
      <c r="I413" s="617" t="s">
        <v>1833</v>
      </c>
      <c r="J413" s="617" t="s">
        <v>1834</v>
      </c>
      <c r="K413" s="617" t="s">
        <v>1800</v>
      </c>
      <c r="L413" s="619">
        <v>41.180000000000007</v>
      </c>
      <c r="M413" s="619">
        <v>29</v>
      </c>
      <c r="N413" s="620">
        <v>1194.2200000000003</v>
      </c>
    </row>
    <row r="414" spans="1:14" ht="14.4" customHeight="1" x14ac:dyDescent="0.3">
      <c r="A414" s="615" t="s">
        <v>471</v>
      </c>
      <c r="B414" s="616" t="s">
        <v>2151</v>
      </c>
      <c r="C414" s="617" t="s">
        <v>476</v>
      </c>
      <c r="D414" s="618" t="s">
        <v>2152</v>
      </c>
      <c r="E414" s="617" t="s">
        <v>1791</v>
      </c>
      <c r="F414" s="618" t="s">
        <v>2154</v>
      </c>
      <c r="G414" s="617" t="s">
        <v>1576</v>
      </c>
      <c r="H414" s="617" t="s">
        <v>1835</v>
      </c>
      <c r="I414" s="617" t="s">
        <v>1836</v>
      </c>
      <c r="J414" s="617" t="s">
        <v>1837</v>
      </c>
      <c r="K414" s="617" t="s">
        <v>1800</v>
      </c>
      <c r="L414" s="619">
        <v>41.180000000000007</v>
      </c>
      <c r="M414" s="619">
        <v>28</v>
      </c>
      <c r="N414" s="620">
        <v>1153.0400000000002</v>
      </c>
    </row>
    <row r="415" spans="1:14" ht="14.4" customHeight="1" x14ac:dyDescent="0.3">
      <c r="A415" s="615" t="s">
        <v>471</v>
      </c>
      <c r="B415" s="616" t="s">
        <v>2151</v>
      </c>
      <c r="C415" s="617" t="s">
        <v>476</v>
      </c>
      <c r="D415" s="618" t="s">
        <v>2152</v>
      </c>
      <c r="E415" s="617" t="s">
        <v>1791</v>
      </c>
      <c r="F415" s="618" t="s">
        <v>2154</v>
      </c>
      <c r="G415" s="617" t="s">
        <v>1576</v>
      </c>
      <c r="H415" s="617" t="s">
        <v>1838</v>
      </c>
      <c r="I415" s="617" t="s">
        <v>1838</v>
      </c>
      <c r="J415" s="617" t="s">
        <v>1839</v>
      </c>
      <c r="K415" s="617" t="s">
        <v>1840</v>
      </c>
      <c r="L415" s="619">
        <v>148.96</v>
      </c>
      <c r="M415" s="619">
        <v>1</v>
      </c>
      <c r="N415" s="620">
        <v>148.96</v>
      </c>
    </row>
    <row r="416" spans="1:14" ht="14.4" customHeight="1" x14ac:dyDescent="0.3">
      <c r="A416" s="615" t="s">
        <v>471</v>
      </c>
      <c r="B416" s="616" t="s">
        <v>2151</v>
      </c>
      <c r="C416" s="617" t="s">
        <v>476</v>
      </c>
      <c r="D416" s="618" t="s">
        <v>2152</v>
      </c>
      <c r="E416" s="617" t="s">
        <v>1791</v>
      </c>
      <c r="F416" s="618" t="s">
        <v>2154</v>
      </c>
      <c r="G416" s="617" t="s">
        <v>1576</v>
      </c>
      <c r="H416" s="617" t="s">
        <v>1841</v>
      </c>
      <c r="I416" s="617" t="s">
        <v>1842</v>
      </c>
      <c r="J416" s="617" t="s">
        <v>1843</v>
      </c>
      <c r="K416" s="617" t="s">
        <v>1844</v>
      </c>
      <c r="L416" s="619">
        <v>216.90999999999997</v>
      </c>
      <c r="M416" s="619">
        <v>72</v>
      </c>
      <c r="N416" s="620">
        <v>15617.519999999997</v>
      </c>
    </row>
    <row r="417" spans="1:14" ht="14.4" customHeight="1" x14ac:dyDescent="0.3">
      <c r="A417" s="615" t="s">
        <v>471</v>
      </c>
      <c r="B417" s="616" t="s">
        <v>2151</v>
      </c>
      <c r="C417" s="617" t="s">
        <v>476</v>
      </c>
      <c r="D417" s="618" t="s">
        <v>2152</v>
      </c>
      <c r="E417" s="617" t="s">
        <v>1791</v>
      </c>
      <c r="F417" s="618" t="s">
        <v>2154</v>
      </c>
      <c r="G417" s="617" t="s">
        <v>1576</v>
      </c>
      <c r="H417" s="617" t="s">
        <v>1845</v>
      </c>
      <c r="I417" s="617" t="s">
        <v>1845</v>
      </c>
      <c r="J417" s="617" t="s">
        <v>1824</v>
      </c>
      <c r="K417" s="617" t="s">
        <v>1846</v>
      </c>
      <c r="L417" s="619">
        <v>138.63000293032906</v>
      </c>
      <c r="M417" s="619">
        <v>144</v>
      </c>
      <c r="N417" s="620">
        <v>19962.720421967384</v>
      </c>
    </row>
    <row r="418" spans="1:14" ht="14.4" customHeight="1" x14ac:dyDescent="0.3">
      <c r="A418" s="615" t="s">
        <v>471</v>
      </c>
      <c r="B418" s="616" t="s">
        <v>2151</v>
      </c>
      <c r="C418" s="617" t="s">
        <v>476</v>
      </c>
      <c r="D418" s="618" t="s">
        <v>2152</v>
      </c>
      <c r="E418" s="617" t="s">
        <v>1791</v>
      </c>
      <c r="F418" s="618" t="s">
        <v>2154</v>
      </c>
      <c r="G418" s="617" t="s">
        <v>1576</v>
      </c>
      <c r="H418" s="617" t="s">
        <v>1847</v>
      </c>
      <c r="I418" s="617" t="s">
        <v>1847</v>
      </c>
      <c r="J418" s="617" t="s">
        <v>1848</v>
      </c>
      <c r="K418" s="617" t="s">
        <v>1849</v>
      </c>
      <c r="L418" s="619">
        <v>111.95005356314884</v>
      </c>
      <c r="M418" s="619">
        <v>12</v>
      </c>
      <c r="N418" s="620">
        <v>1343.400642757786</v>
      </c>
    </row>
    <row r="419" spans="1:14" ht="14.4" customHeight="1" x14ac:dyDescent="0.3">
      <c r="A419" s="615" t="s">
        <v>471</v>
      </c>
      <c r="B419" s="616" t="s">
        <v>2151</v>
      </c>
      <c r="C419" s="617" t="s">
        <v>476</v>
      </c>
      <c r="D419" s="618" t="s">
        <v>2152</v>
      </c>
      <c r="E419" s="617" t="s">
        <v>1791</v>
      </c>
      <c r="F419" s="618" t="s">
        <v>2154</v>
      </c>
      <c r="G419" s="617" t="s">
        <v>1576</v>
      </c>
      <c r="H419" s="617" t="s">
        <v>1850</v>
      </c>
      <c r="I419" s="617" t="s">
        <v>1850</v>
      </c>
      <c r="J419" s="617" t="s">
        <v>1851</v>
      </c>
      <c r="K419" s="617" t="s">
        <v>1849</v>
      </c>
      <c r="L419" s="619">
        <v>111.94998690616409</v>
      </c>
      <c r="M419" s="619">
        <v>11</v>
      </c>
      <c r="N419" s="620">
        <v>1231.449855967805</v>
      </c>
    </row>
    <row r="420" spans="1:14" ht="14.4" customHeight="1" x14ac:dyDescent="0.3">
      <c r="A420" s="615" t="s">
        <v>471</v>
      </c>
      <c r="B420" s="616" t="s">
        <v>2151</v>
      </c>
      <c r="C420" s="617" t="s">
        <v>476</v>
      </c>
      <c r="D420" s="618" t="s">
        <v>2152</v>
      </c>
      <c r="E420" s="617" t="s">
        <v>1791</v>
      </c>
      <c r="F420" s="618" t="s">
        <v>2154</v>
      </c>
      <c r="G420" s="617" t="s">
        <v>1576</v>
      </c>
      <c r="H420" s="617" t="s">
        <v>1852</v>
      </c>
      <c r="I420" s="617" t="s">
        <v>1853</v>
      </c>
      <c r="J420" s="617" t="s">
        <v>1854</v>
      </c>
      <c r="K420" s="617" t="s">
        <v>1855</v>
      </c>
      <c r="L420" s="619">
        <v>111.95</v>
      </c>
      <c r="M420" s="619">
        <v>10</v>
      </c>
      <c r="N420" s="620">
        <v>1119.5</v>
      </c>
    </row>
    <row r="421" spans="1:14" ht="14.4" customHeight="1" x14ac:dyDescent="0.3">
      <c r="A421" s="615" t="s">
        <v>471</v>
      </c>
      <c r="B421" s="616" t="s">
        <v>2151</v>
      </c>
      <c r="C421" s="617" t="s">
        <v>476</v>
      </c>
      <c r="D421" s="618" t="s">
        <v>2152</v>
      </c>
      <c r="E421" s="617" t="s">
        <v>1791</v>
      </c>
      <c r="F421" s="618" t="s">
        <v>2154</v>
      </c>
      <c r="G421" s="617" t="s">
        <v>1576</v>
      </c>
      <c r="H421" s="617" t="s">
        <v>1856</v>
      </c>
      <c r="I421" s="617" t="s">
        <v>1857</v>
      </c>
      <c r="J421" s="617" t="s">
        <v>1858</v>
      </c>
      <c r="K421" s="617" t="s">
        <v>1840</v>
      </c>
      <c r="L421" s="619">
        <v>135.59985115760887</v>
      </c>
      <c r="M421" s="619">
        <v>12</v>
      </c>
      <c r="N421" s="620">
        <v>1627.1982138913063</v>
      </c>
    </row>
    <row r="422" spans="1:14" ht="14.4" customHeight="1" x14ac:dyDescent="0.3">
      <c r="A422" s="615" t="s">
        <v>471</v>
      </c>
      <c r="B422" s="616" t="s">
        <v>2151</v>
      </c>
      <c r="C422" s="617" t="s">
        <v>476</v>
      </c>
      <c r="D422" s="618" t="s">
        <v>2152</v>
      </c>
      <c r="E422" s="617" t="s">
        <v>1791</v>
      </c>
      <c r="F422" s="618" t="s">
        <v>2154</v>
      </c>
      <c r="G422" s="617" t="s">
        <v>1576</v>
      </c>
      <c r="H422" s="617" t="s">
        <v>1859</v>
      </c>
      <c r="I422" s="617" t="s">
        <v>1860</v>
      </c>
      <c r="J422" s="617" t="s">
        <v>1861</v>
      </c>
      <c r="K422" s="617" t="s">
        <v>1849</v>
      </c>
      <c r="L422" s="619">
        <v>111.95000057848608</v>
      </c>
      <c r="M422" s="619">
        <v>14</v>
      </c>
      <c r="N422" s="620">
        <v>1567.3000080988052</v>
      </c>
    </row>
    <row r="423" spans="1:14" ht="14.4" customHeight="1" x14ac:dyDescent="0.3">
      <c r="A423" s="615" t="s">
        <v>471</v>
      </c>
      <c r="B423" s="616" t="s">
        <v>2151</v>
      </c>
      <c r="C423" s="617" t="s">
        <v>476</v>
      </c>
      <c r="D423" s="618" t="s">
        <v>2152</v>
      </c>
      <c r="E423" s="617" t="s">
        <v>1791</v>
      </c>
      <c r="F423" s="618" t="s">
        <v>2154</v>
      </c>
      <c r="G423" s="617" t="s">
        <v>1576</v>
      </c>
      <c r="H423" s="617" t="s">
        <v>1862</v>
      </c>
      <c r="I423" s="617" t="s">
        <v>1862</v>
      </c>
      <c r="J423" s="617" t="s">
        <v>1863</v>
      </c>
      <c r="K423" s="617" t="s">
        <v>1864</v>
      </c>
      <c r="L423" s="619">
        <v>122.6906733068889</v>
      </c>
      <c r="M423" s="619">
        <v>38</v>
      </c>
      <c r="N423" s="620">
        <v>4662.245585661778</v>
      </c>
    </row>
    <row r="424" spans="1:14" ht="14.4" customHeight="1" x14ac:dyDescent="0.3">
      <c r="A424" s="615" t="s">
        <v>471</v>
      </c>
      <c r="B424" s="616" t="s">
        <v>2151</v>
      </c>
      <c r="C424" s="617" t="s">
        <v>476</v>
      </c>
      <c r="D424" s="618" t="s">
        <v>2152</v>
      </c>
      <c r="E424" s="617" t="s">
        <v>1791</v>
      </c>
      <c r="F424" s="618" t="s">
        <v>2154</v>
      </c>
      <c r="G424" s="617" t="s">
        <v>1576</v>
      </c>
      <c r="H424" s="617" t="s">
        <v>1865</v>
      </c>
      <c r="I424" s="617" t="s">
        <v>1865</v>
      </c>
      <c r="J424" s="617" t="s">
        <v>1866</v>
      </c>
      <c r="K424" s="617" t="s">
        <v>1864</v>
      </c>
      <c r="L424" s="619">
        <v>122.69000000000003</v>
      </c>
      <c r="M424" s="619">
        <v>30</v>
      </c>
      <c r="N424" s="620">
        <v>3680.7000000000007</v>
      </c>
    </row>
    <row r="425" spans="1:14" ht="14.4" customHeight="1" x14ac:dyDescent="0.3">
      <c r="A425" s="615" t="s">
        <v>471</v>
      </c>
      <c r="B425" s="616" t="s">
        <v>2151</v>
      </c>
      <c r="C425" s="617" t="s">
        <v>476</v>
      </c>
      <c r="D425" s="618" t="s">
        <v>2152</v>
      </c>
      <c r="E425" s="617" t="s">
        <v>1791</v>
      </c>
      <c r="F425" s="618" t="s">
        <v>2154</v>
      </c>
      <c r="G425" s="617" t="s">
        <v>1576</v>
      </c>
      <c r="H425" s="617" t="s">
        <v>1867</v>
      </c>
      <c r="I425" s="617" t="s">
        <v>1867</v>
      </c>
      <c r="J425" s="617" t="s">
        <v>1868</v>
      </c>
      <c r="K425" s="617" t="s">
        <v>1864</v>
      </c>
      <c r="L425" s="619">
        <v>129.97</v>
      </c>
      <c r="M425" s="619">
        <v>28</v>
      </c>
      <c r="N425" s="620">
        <v>3639.1600000000003</v>
      </c>
    </row>
    <row r="426" spans="1:14" ht="14.4" customHeight="1" x14ac:dyDescent="0.3">
      <c r="A426" s="615" t="s">
        <v>471</v>
      </c>
      <c r="B426" s="616" t="s">
        <v>2151</v>
      </c>
      <c r="C426" s="617" t="s">
        <v>476</v>
      </c>
      <c r="D426" s="618" t="s">
        <v>2152</v>
      </c>
      <c r="E426" s="617" t="s">
        <v>1791</v>
      </c>
      <c r="F426" s="618" t="s">
        <v>2154</v>
      </c>
      <c r="G426" s="617" t="s">
        <v>1576</v>
      </c>
      <c r="H426" s="617" t="s">
        <v>1869</v>
      </c>
      <c r="I426" s="617" t="s">
        <v>1869</v>
      </c>
      <c r="J426" s="617" t="s">
        <v>1870</v>
      </c>
      <c r="K426" s="617" t="s">
        <v>1800</v>
      </c>
      <c r="L426" s="619">
        <v>30.67</v>
      </c>
      <c r="M426" s="619">
        <v>8</v>
      </c>
      <c r="N426" s="620">
        <v>245.36</v>
      </c>
    </row>
    <row r="427" spans="1:14" ht="14.4" customHeight="1" x14ac:dyDescent="0.3">
      <c r="A427" s="615" t="s">
        <v>471</v>
      </c>
      <c r="B427" s="616" t="s">
        <v>2151</v>
      </c>
      <c r="C427" s="617" t="s">
        <v>476</v>
      </c>
      <c r="D427" s="618" t="s">
        <v>2152</v>
      </c>
      <c r="E427" s="617" t="s">
        <v>1791</v>
      </c>
      <c r="F427" s="618" t="s">
        <v>2154</v>
      </c>
      <c r="G427" s="617" t="s">
        <v>1576</v>
      </c>
      <c r="H427" s="617" t="s">
        <v>1871</v>
      </c>
      <c r="I427" s="617" t="s">
        <v>1872</v>
      </c>
      <c r="J427" s="617" t="s">
        <v>1873</v>
      </c>
      <c r="K427" s="617" t="s">
        <v>1800</v>
      </c>
      <c r="L427" s="619">
        <v>30.670000000000005</v>
      </c>
      <c r="M427" s="619">
        <v>8</v>
      </c>
      <c r="N427" s="620">
        <v>245.36000000000004</v>
      </c>
    </row>
    <row r="428" spans="1:14" ht="14.4" customHeight="1" x14ac:dyDescent="0.3">
      <c r="A428" s="615" t="s">
        <v>471</v>
      </c>
      <c r="B428" s="616" t="s">
        <v>2151</v>
      </c>
      <c r="C428" s="617" t="s">
        <v>476</v>
      </c>
      <c r="D428" s="618" t="s">
        <v>2152</v>
      </c>
      <c r="E428" s="617" t="s">
        <v>1874</v>
      </c>
      <c r="F428" s="618" t="s">
        <v>2155</v>
      </c>
      <c r="G428" s="617" t="s">
        <v>517</v>
      </c>
      <c r="H428" s="617" t="s">
        <v>1875</v>
      </c>
      <c r="I428" s="617" t="s">
        <v>1876</v>
      </c>
      <c r="J428" s="617" t="s">
        <v>1877</v>
      </c>
      <c r="K428" s="617" t="s">
        <v>1878</v>
      </c>
      <c r="L428" s="619">
        <v>8812</v>
      </c>
      <c r="M428" s="619">
        <v>1</v>
      </c>
      <c r="N428" s="620">
        <v>8812</v>
      </c>
    </row>
    <row r="429" spans="1:14" ht="14.4" customHeight="1" x14ac:dyDescent="0.3">
      <c r="A429" s="615" t="s">
        <v>471</v>
      </c>
      <c r="B429" s="616" t="s">
        <v>2151</v>
      </c>
      <c r="C429" s="617" t="s">
        <v>476</v>
      </c>
      <c r="D429" s="618" t="s">
        <v>2152</v>
      </c>
      <c r="E429" s="617" t="s">
        <v>1879</v>
      </c>
      <c r="F429" s="618" t="s">
        <v>2156</v>
      </c>
      <c r="G429" s="617" t="s">
        <v>517</v>
      </c>
      <c r="H429" s="617" t="s">
        <v>1880</v>
      </c>
      <c r="I429" s="617" t="s">
        <v>1880</v>
      </c>
      <c r="J429" s="617" t="s">
        <v>1881</v>
      </c>
      <c r="K429" s="617" t="s">
        <v>1882</v>
      </c>
      <c r="L429" s="619">
        <v>61.072298499109031</v>
      </c>
      <c r="M429" s="619">
        <v>16.600000000000001</v>
      </c>
      <c r="N429" s="620">
        <v>1013.80015508521</v>
      </c>
    </row>
    <row r="430" spans="1:14" ht="14.4" customHeight="1" x14ac:dyDescent="0.3">
      <c r="A430" s="615" t="s">
        <v>471</v>
      </c>
      <c r="B430" s="616" t="s">
        <v>2151</v>
      </c>
      <c r="C430" s="617" t="s">
        <v>476</v>
      </c>
      <c r="D430" s="618" t="s">
        <v>2152</v>
      </c>
      <c r="E430" s="617" t="s">
        <v>1879</v>
      </c>
      <c r="F430" s="618" t="s">
        <v>2156</v>
      </c>
      <c r="G430" s="617" t="s">
        <v>517</v>
      </c>
      <c r="H430" s="617" t="s">
        <v>1883</v>
      </c>
      <c r="I430" s="617" t="s">
        <v>1884</v>
      </c>
      <c r="J430" s="617" t="s">
        <v>1885</v>
      </c>
      <c r="K430" s="617" t="s">
        <v>1886</v>
      </c>
      <c r="L430" s="619">
        <v>39.97</v>
      </c>
      <c r="M430" s="619">
        <v>9</v>
      </c>
      <c r="N430" s="620">
        <v>359.72999999999996</v>
      </c>
    </row>
    <row r="431" spans="1:14" ht="14.4" customHeight="1" x14ac:dyDescent="0.3">
      <c r="A431" s="615" t="s">
        <v>471</v>
      </c>
      <c r="B431" s="616" t="s">
        <v>2151</v>
      </c>
      <c r="C431" s="617" t="s">
        <v>476</v>
      </c>
      <c r="D431" s="618" t="s">
        <v>2152</v>
      </c>
      <c r="E431" s="617" t="s">
        <v>1879</v>
      </c>
      <c r="F431" s="618" t="s">
        <v>2156</v>
      </c>
      <c r="G431" s="617" t="s">
        <v>517</v>
      </c>
      <c r="H431" s="617" t="s">
        <v>1887</v>
      </c>
      <c r="I431" s="617" t="s">
        <v>1888</v>
      </c>
      <c r="J431" s="617" t="s">
        <v>1889</v>
      </c>
      <c r="K431" s="617" t="s">
        <v>570</v>
      </c>
      <c r="L431" s="619">
        <v>67.804999999999993</v>
      </c>
      <c r="M431" s="619">
        <v>10</v>
      </c>
      <c r="N431" s="620">
        <v>678.05</v>
      </c>
    </row>
    <row r="432" spans="1:14" ht="14.4" customHeight="1" x14ac:dyDescent="0.3">
      <c r="A432" s="615" t="s">
        <v>471</v>
      </c>
      <c r="B432" s="616" t="s">
        <v>2151</v>
      </c>
      <c r="C432" s="617" t="s">
        <v>476</v>
      </c>
      <c r="D432" s="618" t="s">
        <v>2152</v>
      </c>
      <c r="E432" s="617" t="s">
        <v>1879</v>
      </c>
      <c r="F432" s="618" t="s">
        <v>2156</v>
      </c>
      <c r="G432" s="617" t="s">
        <v>517</v>
      </c>
      <c r="H432" s="617" t="s">
        <v>1890</v>
      </c>
      <c r="I432" s="617" t="s">
        <v>1891</v>
      </c>
      <c r="J432" s="617" t="s">
        <v>1892</v>
      </c>
      <c r="K432" s="617" t="s">
        <v>1893</v>
      </c>
      <c r="L432" s="619">
        <v>1754.4500000000003</v>
      </c>
      <c r="M432" s="619">
        <v>0.6</v>
      </c>
      <c r="N432" s="620">
        <v>1052.67</v>
      </c>
    </row>
    <row r="433" spans="1:14" ht="14.4" customHeight="1" x14ac:dyDescent="0.3">
      <c r="A433" s="615" t="s">
        <v>471</v>
      </c>
      <c r="B433" s="616" t="s">
        <v>2151</v>
      </c>
      <c r="C433" s="617" t="s">
        <v>476</v>
      </c>
      <c r="D433" s="618" t="s">
        <v>2152</v>
      </c>
      <c r="E433" s="617" t="s">
        <v>1879</v>
      </c>
      <c r="F433" s="618" t="s">
        <v>2156</v>
      </c>
      <c r="G433" s="617" t="s">
        <v>517</v>
      </c>
      <c r="H433" s="617" t="s">
        <v>1894</v>
      </c>
      <c r="I433" s="617" t="s">
        <v>1895</v>
      </c>
      <c r="J433" s="617" t="s">
        <v>1896</v>
      </c>
      <c r="K433" s="617" t="s">
        <v>1897</v>
      </c>
      <c r="L433" s="619">
        <v>31.625000000000007</v>
      </c>
      <c r="M433" s="619">
        <v>2</v>
      </c>
      <c r="N433" s="620">
        <v>63.250000000000014</v>
      </c>
    </row>
    <row r="434" spans="1:14" ht="14.4" customHeight="1" x14ac:dyDescent="0.3">
      <c r="A434" s="615" t="s">
        <v>471</v>
      </c>
      <c r="B434" s="616" t="s">
        <v>2151</v>
      </c>
      <c r="C434" s="617" t="s">
        <v>476</v>
      </c>
      <c r="D434" s="618" t="s">
        <v>2152</v>
      </c>
      <c r="E434" s="617" t="s">
        <v>1879</v>
      </c>
      <c r="F434" s="618" t="s">
        <v>2156</v>
      </c>
      <c r="G434" s="617" t="s">
        <v>517</v>
      </c>
      <c r="H434" s="617" t="s">
        <v>1898</v>
      </c>
      <c r="I434" s="617" t="s">
        <v>1899</v>
      </c>
      <c r="J434" s="617" t="s">
        <v>1900</v>
      </c>
      <c r="K434" s="617" t="s">
        <v>1901</v>
      </c>
      <c r="L434" s="619">
        <v>23.505800360589827</v>
      </c>
      <c r="M434" s="619">
        <v>283</v>
      </c>
      <c r="N434" s="620">
        <v>6652.1415020469212</v>
      </c>
    </row>
    <row r="435" spans="1:14" ht="14.4" customHeight="1" x14ac:dyDescent="0.3">
      <c r="A435" s="615" t="s">
        <v>471</v>
      </c>
      <c r="B435" s="616" t="s">
        <v>2151</v>
      </c>
      <c r="C435" s="617" t="s">
        <v>476</v>
      </c>
      <c r="D435" s="618" t="s">
        <v>2152</v>
      </c>
      <c r="E435" s="617" t="s">
        <v>1879</v>
      </c>
      <c r="F435" s="618" t="s">
        <v>2156</v>
      </c>
      <c r="G435" s="617" t="s">
        <v>517</v>
      </c>
      <c r="H435" s="617" t="s">
        <v>1902</v>
      </c>
      <c r="I435" s="617" t="s">
        <v>1903</v>
      </c>
      <c r="J435" s="617" t="s">
        <v>1904</v>
      </c>
      <c r="K435" s="617" t="s">
        <v>1905</v>
      </c>
      <c r="L435" s="619">
        <v>598.94901232521579</v>
      </c>
      <c r="M435" s="619">
        <v>25</v>
      </c>
      <c r="N435" s="620">
        <v>14973.725308130395</v>
      </c>
    </row>
    <row r="436" spans="1:14" ht="14.4" customHeight="1" x14ac:dyDescent="0.3">
      <c r="A436" s="615" t="s">
        <v>471</v>
      </c>
      <c r="B436" s="616" t="s">
        <v>2151</v>
      </c>
      <c r="C436" s="617" t="s">
        <v>476</v>
      </c>
      <c r="D436" s="618" t="s">
        <v>2152</v>
      </c>
      <c r="E436" s="617" t="s">
        <v>1879</v>
      </c>
      <c r="F436" s="618" t="s">
        <v>2156</v>
      </c>
      <c r="G436" s="617" t="s">
        <v>517</v>
      </c>
      <c r="H436" s="617" t="s">
        <v>1906</v>
      </c>
      <c r="I436" s="617" t="s">
        <v>1906</v>
      </c>
      <c r="J436" s="617" t="s">
        <v>1907</v>
      </c>
      <c r="K436" s="617" t="s">
        <v>1908</v>
      </c>
      <c r="L436" s="619">
        <v>264</v>
      </c>
      <c r="M436" s="619">
        <v>0.4</v>
      </c>
      <c r="N436" s="620">
        <v>105.60000000000001</v>
      </c>
    </row>
    <row r="437" spans="1:14" ht="14.4" customHeight="1" x14ac:dyDescent="0.3">
      <c r="A437" s="615" t="s">
        <v>471</v>
      </c>
      <c r="B437" s="616" t="s">
        <v>2151</v>
      </c>
      <c r="C437" s="617" t="s">
        <v>476</v>
      </c>
      <c r="D437" s="618" t="s">
        <v>2152</v>
      </c>
      <c r="E437" s="617" t="s">
        <v>1879</v>
      </c>
      <c r="F437" s="618" t="s">
        <v>2156</v>
      </c>
      <c r="G437" s="617" t="s">
        <v>517</v>
      </c>
      <c r="H437" s="617" t="s">
        <v>1909</v>
      </c>
      <c r="I437" s="617" t="s">
        <v>1910</v>
      </c>
      <c r="J437" s="617" t="s">
        <v>1911</v>
      </c>
      <c r="K437" s="617" t="s">
        <v>1912</v>
      </c>
      <c r="L437" s="619">
        <v>128.07000000000005</v>
      </c>
      <c r="M437" s="619">
        <v>1</v>
      </c>
      <c r="N437" s="620">
        <v>128.07000000000005</v>
      </c>
    </row>
    <row r="438" spans="1:14" ht="14.4" customHeight="1" x14ac:dyDescent="0.3">
      <c r="A438" s="615" t="s">
        <v>471</v>
      </c>
      <c r="B438" s="616" t="s">
        <v>2151</v>
      </c>
      <c r="C438" s="617" t="s">
        <v>476</v>
      </c>
      <c r="D438" s="618" t="s">
        <v>2152</v>
      </c>
      <c r="E438" s="617" t="s">
        <v>1879</v>
      </c>
      <c r="F438" s="618" t="s">
        <v>2156</v>
      </c>
      <c r="G438" s="617" t="s">
        <v>517</v>
      </c>
      <c r="H438" s="617" t="s">
        <v>1913</v>
      </c>
      <c r="I438" s="617" t="s">
        <v>1914</v>
      </c>
      <c r="J438" s="617" t="s">
        <v>1915</v>
      </c>
      <c r="K438" s="617" t="s">
        <v>1916</v>
      </c>
      <c r="L438" s="619">
        <v>137.63359726825715</v>
      </c>
      <c r="M438" s="619">
        <v>320.5999999999994</v>
      </c>
      <c r="N438" s="620">
        <v>44125.331284203159</v>
      </c>
    </row>
    <row r="439" spans="1:14" ht="14.4" customHeight="1" x14ac:dyDescent="0.3">
      <c r="A439" s="615" t="s">
        <v>471</v>
      </c>
      <c r="B439" s="616" t="s">
        <v>2151</v>
      </c>
      <c r="C439" s="617" t="s">
        <v>476</v>
      </c>
      <c r="D439" s="618" t="s">
        <v>2152</v>
      </c>
      <c r="E439" s="617" t="s">
        <v>1879</v>
      </c>
      <c r="F439" s="618" t="s">
        <v>2156</v>
      </c>
      <c r="G439" s="617" t="s">
        <v>517</v>
      </c>
      <c r="H439" s="617" t="s">
        <v>1917</v>
      </c>
      <c r="I439" s="617" t="s">
        <v>1918</v>
      </c>
      <c r="J439" s="617" t="s">
        <v>1919</v>
      </c>
      <c r="K439" s="617" t="s">
        <v>1920</v>
      </c>
      <c r="L439" s="619">
        <v>617.74954863813252</v>
      </c>
      <c r="M439" s="619">
        <v>12.85</v>
      </c>
      <c r="N439" s="620">
        <v>7938.0817000000025</v>
      </c>
    </row>
    <row r="440" spans="1:14" ht="14.4" customHeight="1" x14ac:dyDescent="0.3">
      <c r="A440" s="615" t="s">
        <v>471</v>
      </c>
      <c r="B440" s="616" t="s">
        <v>2151</v>
      </c>
      <c r="C440" s="617" t="s">
        <v>476</v>
      </c>
      <c r="D440" s="618" t="s">
        <v>2152</v>
      </c>
      <c r="E440" s="617" t="s">
        <v>1879</v>
      </c>
      <c r="F440" s="618" t="s">
        <v>2156</v>
      </c>
      <c r="G440" s="617" t="s">
        <v>517</v>
      </c>
      <c r="H440" s="617" t="s">
        <v>1921</v>
      </c>
      <c r="I440" s="617" t="s">
        <v>1922</v>
      </c>
      <c r="J440" s="617" t="s">
        <v>1923</v>
      </c>
      <c r="K440" s="617" t="s">
        <v>1924</v>
      </c>
      <c r="L440" s="619">
        <v>62.939999999999984</v>
      </c>
      <c r="M440" s="619">
        <v>10</v>
      </c>
      <c r="N440" s="620">
        <v>629.39999999999986</v>
      </c>
    </row>
    <row r="441" spans="1:14" ht="14.4" customHeight="1" x14ac:dyDescent="0.3">
      <c r="A441" s="615" t="s">
        <v>471</v>
      </c>
      <c r="B441" s="616" t="s">
        <v>2151</v>
      </c>
      <c r="C441" s="617" t="s">
        <v>476</v>
      </c>
      <c r="D441" s="618" t="s">
        <v>2152</v>
      </c>
      <c r="E441" s="617" t="s">
        <v>1879</v>
      </c>
      <c r="F441" s="618" t="s">
        <v>2156</v>
      </c>
      <c r="G441" s="617" t="s">
        <v>517</v>
      </c>
      <c r="H441" s="617" t="s">
        <v>1925</v>
      </c>
      <c r="I441" s="617" t="s">
        <v>1926</v>
      </c>
      <c r="J441" s="617" t="s">
        <v>1927</v>
      </c>
      <c r="K441" s="617" t="s">
        <v>1928</v>
      </c>
      <c r="L441" s="619">
        <v>73.439999999999969</v>
      </c>
      <c r="M441" s="619">
        <v>2</v>
      </c>
      <c r="N441" s="620">
        <v>146.87999999999994</v>
      </c>
    </row>
    <row r="442" spans="1:14" ht="14.4" customHeight="1" x14ac:dyDescent="0.3">
      <c r="A442" s="615" t="s">
        <v>471</v>
      </c>
      <c r="B442" s="616" t="s">
        <v>2151</v>
      </c>
      <c r="C442" s="617" t="s">
        <v>476</v>
      </c>
      <c r="D442" s="618" t="s">
        <v>2152</v>
      </c>
      <c r="E442" s="617" t="s">
        <v>1879</v>
      </c>
      <c r="F442" s="618" t="s">
        <v>2156</v>
      </c>
      <c r="G442" s="617" t="s">
        <v>517</v>
      </c>
      <c r="H442" s="617" t="s">
        <v>1929</v>
      </c>
      <c r="I442" s="617" t="s">
        <v>1929</v>
      </c>
      <c r="J442" s="617" t="s">
        <v>1930</v>
      </c>
      <c r="K442" s="617" t="s">
        <v>1931</v>
      </c>
      <c r="L442" s="619">
        <v>517</v>
      </c>
      <c r="M442" s="619">
        <v>9.1000000000000014</v>
      </c>
      <c r="N442" s="620">
        <v>4704.7000000000007</v>
      </c>
    </row>
    <row r="443" spans="1:14" ht="14.4" customHeight="1" x14ac:dyDescent="0.3">
      <c r="A443" s="615" t="s">
        <v>471</v>
      </c>
      <c r="B443" s="616" t="s">
        <v>2151</v>
      </c>
      <c r="C443" s="617" t="s">
        <v>476</v>
      </c>
      <c r="D443" s="618" t="s">
        <v>2152</v>
      </c>
      <c r="E443" s="617" t="s">
        <v>1879</v>
      </c>
      <c r="F443" s="618" t="s">
        <v>2156</v>
      </c>
      <c r="G443" s="617" t="s">
        <v>517</v>
      </c>
      <c r="H443" s="617" t="s">
        <v>1932</v>
      </c>
      <c r="I443" s="617" t="s">
        <v>1933</v>
      </c>
      <c r="J443" s="617" t="s">
        <v>1885</v>
      </c>
      <c r="K443" s="617" t="s">
        <v>1934</v>
      </c>
      <c r="L443" s="619">
        <v>48.250000000000028</v>
      </c>
      <c r="M443" s="619">
        <v>2</v>
      </c>
      <c r="N443" s="620">
        <v>96.500000000000057</v>
      </c>
    </row>
    <row r="444" spans="1:14" ht="14.4" customHeight="1" x14ac:dyDescent="0.3">
      <c r="A444" s="615" t="s">
        <v>471</v>
      </c>
      <c r="B444" s="616" t="s">
        <v>2151</v>
      </c>
      <c r="C444" s="617" t="s">
        <v>476</v>
      </c>
      <c r="D444" s="618" t="s">
        <v>2152</v>
      </c>
      <c r="E444" s="617" t="s">
        <v>1879</v>
      </c>
      <c r="F444" s="618" t="s">
        <v>2156</v>
      </c>
      <c r="G444" s="617" t="s">
        <v>517</v>
      </c>
      <c r="H444" s="617" t="s">
        <v>1935</v>
      </c>
      <c r="I444" s="617" t="s">
        <v>1936</v>
      </c>
      <c r="J444" s="617" t="s">
        <v>1937</v>
      </c>
      <c r="K444" s="617"/>
      <c r="L444" s="619">
        <v>640.08999999999992</v>
      </c>
      <c r="M444" s="619">
        <v>5</v>
      </c>
      <c r="N444" s="620">
        <v>3200.45</v>
      </c>
    </row>
    <row r="445" spans="1:14" ht="14.4" customHeight="1" x14ac:dyDescent="0.3">
      <c r="A445" s="615" t="s">
        <v>471</v>
      </c>
      <c r="B445" s="616" t="s">
        <v>2151</v>
      </c>
      <c r="C445" s="617" t="s">
        <v>476</v>
      </c>
      <c r="D445" s="618" t="s">
        <v>2152</v>
      </c>
      <c r="E445" s="617" t="s">
        <v>1879</v>
      </c>
      <c r="F445" s="618" t="s">
        <v>2156</v>
      </c>
      <c r="G445" s="617" t="s">
        <v>517</v>
      </c>
      <c r="H445" s="617" t="s">
        <v>1938</v>
      </c>
      <c r="I445" s="617" t="s">
        <v>1939</v>
      </c>
      <c r="J445" s="617" t="s">
        <v>1940</v>
      </c>
      <c r="K445" s="617" t="s">
        <v>1941</v>
      </c>
      <c r="L445" s="619">
        <v>77.259999999999991</v>
      </c>
      <c r="M445" s="619">
        <v>2</v>
      </c>
      <c r="N445" s="620">
        <v>154.51999999999998</v>
      </c>
    </row>
    <row r="446" spans="1:14" ht="14.4" customHeight="1" x14ac:dyDescent="0.3">
      <c r="A446" s="615" t="s">
        <v>471</v>
      </c>
      <c r="B446" s="616" t="s">
        <v>2151</v>
      </c>
      <c r="C446" s="617" t="s">
        <v>476</v>
      </c>
      <c r="D446" s="618" t="s">
        <v>2152</v>
      </c>
      <c r="E446" s="617" t="s">
        <v>1879</v>
      </c>
      <c r="F446" s="618" t="s">
        <v>2156</v>
      </c>
      <c r="G446" s="617" t="s">
        <v>517</v>
      </c>
      <c r="H446" s="617" t="s">
        <v>1942</v>
      </c>
      <c r="I446" s="617" t="s">
        <v>1943</v>
      </c>
      <c r="J446" s="617" t="s">
        <v>1497</v>
      </c>
      <c r="K446" s="617" t="s">
        <v>1944</v>
      </c>
      <c r="L446" s="619">
        <v>235.77017877547792</v>
      </c>
      <c r="M446" s="619">
        <v>49</v>
      </c>
      <c r="N446" s="620">
        <v>11552.738759998418</v>
      </c>
    </row>
    <row r="447" spans="1:14" ht="14.4" customHeight="1" x14ac:dyDescent="0.3">
      <c r="A447" s="615" t="s">
        <v>471</v>
      </c>
      <c r="B447" s="616" t="s">
        <v>2151</v>
      </c>
      <c r="C447" s="617" t="s">
        <v>476</v>
      </c>
      <c r="D447" s="618" t="s">
        <v>2152</v>
      </c>
      <c r="E447" s="617" t="s">
        <v>1879</v>
      </c>
      <c r="F447" s="618" t="s">
        <v>2156</v>
      </c>
      <c r="G447" s="617" t="s">
        <v>517</v>
      </c>
      <c r="H447" s="617" t="s">
        <v>1945</v>
      </c>
      <c r="I447" s="617" t="s">
        <v>1945</v>
      </c>
      <c r="J447" s="617" t="s">
        <v>1946</v>
      </c>
      <c r="K447" s="617" t="s">
        <v>1947</v>
      </c>
      <c r="L447" s="619">
        <v>162.90259259259258</v>
      </c>
      <c r="M447" s="619">
        <v>5.4</v>
      </c>
      <c r="N447" s="620">
        <v>879.67399999999998</v>
      </c>
    </row>
    <row r="448" spans="1:14" ht="14.4" customHeight="1" x14ac:dyDescent="0.3">
      <c r="A448" s="615" t="s">
        <v>471</v>
      </c>
      <c r="B448" s="616" t="s">
        <v>2151</v>
      </c>
      <c r="C448" s="617" t="s">
        <v>476</v>
      </c>
      <c r="D448" s="618" t="s">
        <v>2152</v>
      </c>
      <c r="E448" s="617" t="s">
        <v>1879</v>
      </c>
      <c r="F448" s="618" t="s">
        <v>2156</v>
      </c>
      <c r="G448" s="617" t="s">
        <v>517</v>
      </c>
      <c r="H448" s="617" t="s">
        <v>1948</v>
      </c>
      <c r="I448" s="617" t="s">
        <v>1949</v>
      </c>
      <c r="J448" s="617" t="s">
        <v>1950</v>
      </c>
      <c r="K448" s="617" t="s">
        <v>1951</v>
      </c>
      <c r="L448" s="619">
        <v>135.62999999999997</v>
      </c>
      <c r="M448" s="619">
        <v>3</v>
      </c>
      <c r="N448" s="620">
        <v>406.88999999999993</v>
      </c>
    </row>
    <row r="449" spans="1:14" ht="14.4" customHeight="1" x14ac:dyDescent="0.3">
      <c r="A449" s="615" t="s">
        <v>471</v>
      </c>
      <c r="B449" s="616" t="s">
        <v>2151</v>
      </c>
      <c r="C449" s="617" t="s">
        <v>476</v>
      </c>
      <c r="D449" s="618" t="s">
        <v>2152</v>
      </c>
      <c r="E449" s="617" t="s">
        <v>1879</v>
      </c>
      <c r="F449" s="618" t="s">
        <v>2156</v>
      </c>
      <c r="G449" s="617" t="s">
        <v>517</v>
      </c>
      <c r="H449" s="617" t="s">
        <v>1952</v>
      </c>
      <c r="I449" s="617" t="s">
        <v>1953</v>
      </c>
      <c r="J449" s="617" t="s">
        <v>1954</v>
      </c>
      <c r="K449" s="617" t="s">
        <v>1955</v>
      </c>
      <c r="L449" s="619">
        <v>128.68999999999997</v>
      </c>
      <c r="M449" s="619">
        <v>3</v>
      </c>
      <c r="N449" s="620">
        <v>386.06999999999994</v>
      </c>
    </row>
    <row r="450" spans="1:14" ht="14.4" customHeight="1" x14ac:dyDescent="0.3">
      <c r="A450" s="615" t="s">
        <v>471</v>
      </c>
      <c r="B450" s="616" t="s">
        <v>2151</v>
      </c>
      <c r="C450" s="617" t="s">
        <v>476</v>
      </c>
      <c r="D450" s="618" t="s">
        <v>2152</v>
      </c>
      <c r="E450" s="617" t="s">
        <v>1879</v>
      </c>
      <c r="F450" s="618" t="s">
        <v>2156</v>
      </c>
      <c r="G450" s="617" t="s">
        <v>517</v>
      </c>
      <c r="H450" s="617" t="s">
        <v>1956</v>
      </c>
      <c r="I450" s="617" t="s">
        <v>1957</v>
      </c>
      <c r="J450" s="617" t="s">
        <v>1958</v>
      </c>
      <c r="K450" s="617" t="s">
        <v>1959</v>
      </c>
      <c r="L450" s="619">
        <v>46.840000000000011</v>
      </c>
      <c r="M450" s="619">
        <v>1</v>
      </c>
      <c r="N450" s="620">
        <v>46.840000000000011</v>
      </c>
    </row>
    <row r="451" spans="1:14" ht="14.4" customHeight="1" x14ac:dyDescent="0.3">
      <c r="A451" s="615" t="s">
        <v>471</v>
      </c>
      <c r="B451" s="616" t="s">
        <v>2151</v>
      </c>
      <c r="C451" s="617" t="s">
        <v>476</v>
      </c>
      <c r="D451" s="618" t="s">
        <v>2152</v>
      </c>
      <c r="E451" s="617" t="s">
        <v>1879</v>
      </c>
      <c r="F451" s="618" t="s">
        <v>2156</v>
      </c>
      <c r="G451" s="617" t="s">
        <v>517</v>
      </c>
      <c r="H451" s="617" t="s">
        <v>1960</v>
      </c>
      <c r="I451" s="617" t="s">
        <v>1961</v>
      </c>
      <c r="J451" s="617" t="s">
        <v>1958</v>
      </c>
      <c r="K451" s="617" t="s">
        <v>1962</v>
      </c>
      <c r="L451" s="619">
        <v>44.149999999999984</v>
      </c>
      <c r="M451" s="619">
        <v>1</v>
      </c>
      <c r="N451" s="620">
        <v>44.149999999999984</v>
      </c>
    </row>
    <row r="452" spans="1:14" ht="14.4" customHeight="1" x14ac:dyDescent="0.3">
      <c r="A452" s="615" t="s">
        <v>471</v>
      </c>
      <c r="B452" s="616" t="s">
        <v>2151</v>
      </c>
      <c r="C452" s="617" t="s">
        <v>476</v>
      </c>
      <c r="D452" s="618" t="s">
        <v>2152</v>
      </c>
      <c r="E452" s="617" t="s">
        <v>1879</v>
      </c>
      <c r="F452" s="618" t="s">
        <v>2156</v>
      </c>
      <c r="G452" s="617" t="s">
        <v>517</v>
      </c>
      <c r="H452" s="617" t="s">
        <v>1963</v>
      </c>
      <c r="I452" s="617" t="s">
        <v>1964</v>
      </c>
      <c r="J452" s="617" t="s">
        <v>1965</v>
      </c>
      <c r="K452" s="617" t="s">
        <v>1966</v>
      </c>
      <c r="L452" s="619">
        <v>107.44000000000003</v>
      </c>
      <c r="M452" s="619">
        <v>1</v>
      </c>
      <c r="N452" s="620">
        <v>107.44000000000003</v>
      </c>
    </row>
    <row r="453" spans="1:14" ht="14.4" customHeight="1" x14ac:dyDescent="0.3">
      <c r="A453" s="615" t="s">
        <v>471</v>
      </c>
      <c r="B453" s="616" t="s">
        <v>2151</v>
      </c>
      <c r="C453" s="617" t="s">
        <v>476</v>
      </c>
      <c r="D453" s="618" t="s">
        <v>2152</v>
      </c>
      <c r="E453" s="617" t="s">
        <v>1879</v>
      </c>
      <c r="F453" s="618" t="s">
        <v>2156</v>
      </c>
      <c r="G453" s="617" t="s">
        <v>517</v>
      </c>
      <c r="H453" s="617" t="s">
        <v>1967</v>
      </c>
      <c r="I453" s="617" t="s">
        <v>1968</v>
      </c>
      <c r="J453" s="617" t="s">
        <v>1969</v>
      </c>
      <c r="K453" s="617" t="s">
        <v>1970</v>
      </c>
      <c r="L453" s="619">
        <v>772.08</v>
      </c>
      <c r="M453" s="619">
        <v>2.0000000000000004</v>
      </c>
      <c r="N453" s="620">
        <v>1544.1600000000005</v>
      </c>
    </row>
    <row r="454" spans="1:14" ht="14.4" customHeight="1" x14ac:dyDescent="0.3">
      <c r="A454" s="615" t="s">
        <v>471</v>
      </c>
      <c r="B454" s="616" t="s">
        <v>2151</v>
      </c>
      <c r="C454" s="617" t="s">
        <v>476</v>
      </c>
      <c r="D454" s="618" t="s">
        <v>2152</v>
      </c>
      <c r="E454" s="617" t="s">
        <v>1879</v>
      </c>
      <c r="F454" s="618" t="s">
        <v>2156</v>
      </c>
      <c r="G454" s="617" t="s">
        <v>517</v>
      </c>
      <c r="H454" s="617" t="s">
        <v>1971</v>
      </c>
      <c r="I454" s="617" t="s">
        <v>1971</v>
      </c>
      <c r="J454" s="617" t="s">
        <v>1972</v>
      </c>
      <c r="K454" s="617" t="s">
        <v>1973</v>
      </c>
      <c r="L454" s="619">
        <v>462.00000075001429</v>
      </c>
      <c r="M454" s="619">
        <v>135.1</v>
      </c>
      <c r="N454" s="620">
        <v>62416.200101326926</v>
      </c>
    </row>
    <row r="455" spans="1:14" ht="14.4" customHeight="1" x14ac:dyDescent="0.3">
      <c r="A455" s="615" t="s">
        <v>471</v>
      </c>
      <c r="B455" s="616" t="s">
        <v>2151</v>
      </c>
      <c r="C455" s="617" t="s">
        <v>476</v>
      </c>
      <c r="D455" s="618" t="s">
        <v>2152</v>
      </c>
      <c r="E455" s="617" t="s">
        <v>1879</v>
      </c>
      <c r="F455" s="618" t="s">
        <v>2156</v>
      </c>
      <c r="G455" s="617" t="s">
        <v>517</v>
      </c>
      <c r="H455" s="617" t="s">
        <v>1974</v>
      </c>
      <c r="I455" s="617" t="s">
        <v>1974</v>
      </c>
      <c r="J455" s="617" t="s">
        <v>1975</v>
      </c>
      <c r="K455" s="617" t="s">
        <v>1333</v>
      </c>
      <c r="L455" s="619">
        <v>37.247325664573594</v>
      </c>
      <c r="M455" s="619">
        <v>120</v>
      </c>
      <c r="N455" s="620">
        <v>4469.6790797488311</v>
      </c>
    </row>
    <row r="456" spans="1:14" ht="14.4" customHeight="1" x14ac:dyDescent="0.3">
      <c r="A456" s="615" t="s">
        <v>471</v>
      </c>
      <c r="B456" s="616" t="s">
        <v>2151</v>
      </c>
      <c r="C456" s="617" t="s">
        <v>476</v>
      </c>
      <c r="D456" s="618" t="s">
        <v>2152</v>
      </c>
      <c r="E456" s="617" t="s">
        <v>1879</v>
      </c>
      <c r="F456" s="618" t="s">
        <v>2156</v>
      </c>
      <c r="G456" s="617" t="s">
        <v>517</v>
      </c>
      <c r="H456" s="617" t="s">
        <v>1976</v>
      </c>
      <c r="I456" s="617" t="s">
        <v>1976</v>
      </c>
      <c r="J456" s="617" t="s">
        <v>1977</v>
      </c>
      <c r="K456" s="617" t="s">
        <v>1978</v>
      </c>
      <c r="L456" s="619">
        <v>158.44699453551914</v>
      </c>
      <c r="M456" s="619">
        <v>18.300000000000004</v>
      </c>
      <c r="N456" s="620">
        <v>2899.5800000000008</v>
      </c>
    </row>
    <row r="457" spans="1:14" ht="14.4" customHeight="1" x14ac:dyDescent="0.3">
      <c r="A457" s="615" t="s">
        <v>471</v>
      </c>
      <c r="B457" s="616" t="s">
        <v>2151</v>
      </c>
      <c r="C457" s="617" t="s">
        <v>476</v>
      </c>
      <c r="D457" s="618" t="s">
        <v>2152</v>
      </c>
      <c r="E457" s="617" t="s">
        <v>1879</v>
      </c>
      <c r="F457" s="618" t="s">
        <v>2156</v>
      </c>
      <c r="G457" s="617" t="s">
        <v>517</v>
      </c>
      <c r="H457" s="617" t="s">
        <v>1979</v>
      </c>
      <c r="I457" s="617" t="s">
        <v>1979</v>
      </c>
      <c r="J457" s="617" t="s">
        <v>1980</v>
      </c>
      <c r="K457" s="617" t="s">
        <v>1981</v>
      </c>
      <c r="L457" s="619">
        <v>2530</v>
      </c>
      <c r="M457" s="619">
        <v>5</v>
      </c>
      <c r="N457" s="620">
        <v>12650</v>
      </c>
    </row>
    <row r="458" spans="1:14" ht="14.4" customHeight="1" x14ac:dyDescent="0.3">
      <c r="A458" s="615" t="s">
        <v>471</v>
      </c>
      <c r="B458" s="616" t="s">
        <v>2151</v>
      </c>
      <c r="C458" s="617" t="s">
        <v>476</v>
      </c>
      <c r="D458" s="618" t="s">
        <v>2152</v>
      </c>
      <c r="E458" s="617" t="s">
        <v>1879</v>
      </c>
      <c r="F458" s="618" t="s">
        <v>2156</v>
      </c>
      <c r="G458" s="617" t="s">
        <v>517</v>
      </c>
      <c r="H458" s="617" t="s">
        <v>1982</v>
      </c>
      <c r="I458" s="617" t="s">
        <v>1982</v>
      </c>
      <c r="J458" s="617" t="s">
        <v>1983</v>
      </c>
      <c r="K458" s="617" t="s">
        <v>1984</v>
      </c>
      <c r="L458" s="619">
        <v>145.64434782608694</v>
      </c>
      <c r="M458" s="619">
        <v>115</v>
      </c>
      <c r="N458" s="620">
        <v>16749.099999999999</v>
      </c>
    </row>
    <row r="459" spans="1:14" ht="14.4" customHeight="1" x14ac:dyDescent="0.3">
      <c r="A459" s="615" t="s">
        <v>471</v>
      </c>
      <c r="B459" s="616" t="s">
        <v>2151</v>
      </c>
      <c r="C459" s="617" t="s">
        <v>476</v>
      </c>
      <c r="D459" s="618" t="s">
        <v>2152</v>
      </c>
      <c r="E459" s="617" t="s">
        <v>1879</v>
      </c>
      <c r="F459" s="618" t="s">
        <v>2156</v>
      </c>
      <c r="G459" s="617" t="s">
        <v>517</v>
      </c>
      <c r="H459" s="617" t="s">
        <v>1985</v>
      </c>
      <c r="I459" s="617" t="s">
        <v>1985</v>
      </c>
      <c r="J459" s="617" t="s">
        <v>1986</v>
      </c>
      <c r="K459" s="617" t="s">
        <v>1987</v>
      </c>
      <c r="L459" s="619">
        <v>460.21</v>
      </c>
      <c r="M459" s="619">
        <v>7.5</v>
      </c>
      <c r="N459" s="620">
        <v>3451.5749999999998</v>
      </c>
    </row>
    <row r="460" spans="1:14" ht="14.4" customHeight="1" x14ac:dyDescent="0.3">
      <c r="A460" s="615" t="s">
        <v>471</v>
      </c>
      <c r="B460" s="616" t="s">
        <v>2151</v>
      </c>
      <c r="C460" s="617" t="s">
        <v>476</v>
      </c>
      <c r="D460" s="618" t="s">
        <v>2152</v>
      </c>
      <c r="E460" s="617" t="s">
        <v>1879</v>
      </c>
      <c r="F460" s="618" t="s">
        <v>2156</v>
      </c>
      <c r="G460" s="617" t="s">
        <v>517</v>
      </c>
      <c r="H460" s="617" t="s">
        <v>1988</v>
      </c>
      <c r="I460" s="617" t="s">
        <v>1988</v>
      </c>
      <c r="J460" s="617" t="s">
        <v>1989</v>
      </c>
      <c r="K460" s="617" t="s">
        <v>1990</v>
      </c>
      <c r="L460" s="619">
        <v>217.79999999999998</v>
      </c>
      <c r="M460" s="619">
        <v>8</v>
      </c>
      <c r="N460" s="620">
        <v>1742.3999999999999</v>
      </c>
    </row>
    <row r="461" spans="1:14" ht="14.4" customHeight="1" x14ac:dyDescent="0.3">
      <c r="A461" s="615" t="s">
        <v>471</v>
      </c>
      <c r="B461" s="616" t="s">
        <v>2151</v>
      </c>
      <c r="C461" s="617" t="s">
        <v>476</v>
      </c>
      <c r="D461" s="618" t="s">
        <v>2152</v>
      </c>
      <c r="E461" s="617" t="s">
        <v>1879</v>
      </c>
      <c r="F461" s="618" t="s">
        <v>2156</v>
      </c>
      <c r="G461" s="617" t="s">
        <v>517</v>
      </c>
      <c r="H461" s="617" t="s">
        <v>1991</v>
      </c>
      <c r="I461" s="617" t="s">
        <v>1991</v>
      </c>
      <c r="J461" s="617" t="s">
        <v>1992</v>
      </c>
      <c r="K461" s="617" t="s">
        <v>1993</v>
      </c>
      <c r="L461" s="619">
        <v>152.9</v>
      </c>
      <c r="M461" s="619">
        <v>2</v>
      </c>
      <c r="N461" s="620">
        <v>305.8</v>
      </c>
    </row>
    <row r="462" spans="1:14" ht="14.4" customHeight="1" x14ac:dyDescent="0.3">
      <c r="A462" s="615" t="s">
        <v>471</v>
      </c>
      <c r="B462" s="616" t="s">
        <v>2151</v>
      </c>
      <c r="C462" s="617" t="s">
        <v>476</v>
      </c>
      <c r="D462" s="618" t="s">
        <v>2152</v>
      </c>
      <c r="E462" s="617" t="s">
        <v>1879</v>
      </c>
      <c r="F462" s="618" t="s">
        <v>2156</v>
      </c>
      <c r="G462" s="617" t="s">
        <v>517</v>
      </c>
      <c r="H462" s="617" t="s">
        <v>1994</v>
      </c>
      <c r="I462" s="617" t="s">
        <v>1994</v>
      </c>
      <c r="J462" s="617" t="s">
        <v>1995</v>
      </c>
      <c r="K462" s="617" t="s">
        <v>1996</v>
      </c>
      <c r="L462" s="619">
        <v>286.00000000000006</v>
      </c>
      <c r="M462" s="619">
        <v>16.5</v>
      </c>
      <c r="N462" s="620">
        <v>4719.0000000000009</v>
      </c>
    </row>
    <row r="463" spans="1:14" ht="14.4" customHeight="1" x14ac:dyDescent="0.3">
      <c r="A463" s="615" t="s">
        <v>471</v>
      </c>
      <c r="B463" s="616" t="s">
        <v>2151</v>
      </c>
      <c r="C463" s="617" t="s">
        <v>476</v>
      </c>
      <c r="D463" s="618" t="s">
        <v>2152</v>
      </c>
      <c r="E463" s="617" t="s">
        <v>1879</v>
      </c>
      <c r="F463" s="618" t="s">
        <v>2156</v>
      </c>
      <c r="G463" s="617" t="s">
        <v>517</v>
      </c>
      <c r="H463" s="617" t="s">
        <v>1997</v>
      </c>
      <c r="I463" s="617" t="s">
        <v>1998</v>
      </c>
      <c r="J463" s="617" t="s">
        <v>1999</v>
      </c>
      <c r="K463" s="617" t="s">
        <v>2000</v>
      </c>
      <c r="L463" s="619">
        <v>264.00000402090961</v>
      </c>
      <c r="M463" s="619">
        <v>14.4</v>
      </c>
      <c r="N463" s="620">
        <v>3801.6000579010984</v>
      </c>
    </row>
    <row r="464" spans="1:14" ht="14.4" customHeight="1" x14ac:dyDescent="0.3">
      <c r="A464" s="615" t="s">
        <v>471</v>
      </c>
      <c r="B464" s="616" t="s">
        <v>2151</v>
      </c>
      <c r="C464" s="617" t="s">
        <v>476</v>
      </c>
      <c r="D464" s="618" t="s">
        <v>2152</v>
      </c>
      <c r="E464" s="617" t="s">
        <v>1879</v>
      </c>
      <c r="F464" s="618" t="s">
        <v>2156</v>
      </c>
      <c r="G464" s="617" t="s">
        <v>517</v>
      </c>
      <c r="H464" s="617" t="s">
        <v>2001</v>
      </c>
      <c r="I464" s="617" t="s">
        <v>2002</v>
      </c>
      <c r="J464" s="617" t="s">
        <v>2003</v>
      </c>
      <c r="K464" s="617"/>
      <c r="L464" s="619">
        <v>155.1</v>
      </c>
      <c r="M464" s="619">
        <v>12.4</v>
      </c>
      <c r="N464" s="620">
        <v>1923.24</v>
      </c>
    </row>
    <row r="465" spans="1:14" ht="14.4" customHeight="1" x14ac:dyDescent="0.3">
      <c r="A465" s="615" t="s">
        <v>471</v>
      </c>
      <c r="B465" s="616" t="s">
        <v>2151</v>
      </c>
      <c r="C465" s="617" t="s">
        <v>476</v>
      </c>
      <c r="D465" s="618" t="s">
        <v>2152</v>
      </c>
      <c r="E465" s="617" t="s">
        <v>1879</v>
      </c>
      <c r="F465" s="618" t="s">
        <v>2156</v>
      </c>
      <c r="G465" s="617" t="s">
        <v>517</v>
      </c>
      <c r="H465" s="617" t="s">
        <v>2004</v>
      </c>
      <c r="I465" s="617" t="s">
        <v>2004</v>
      </c>
      <c r="J465" s="617" t="s">
        <v>2005</v>
      </c>
      <c r="K465" s="617" t="s">
        <v>2006</v>
      </c>
      <c r="L465" s="619">
        <v>393.82</v>
      </c>
      <c r="M465" s="619">
        <v>1</v>
      </c>
      <c r="N465" s="620">
        <v>393.82</v>
      </c>
    </row>
    <row r="466" spans="1:14" ht="14.4" customHeight="1" x14ac:dyDescent="0.3">
      <c r="A466" s="615" t="s">
        <v>471</v>
      </c>
      <c r="B466" s="616" t="s">
        <v>2151</v>
      </c>
      <c r="C466" s="617" t="s">
        <v>476</v>
      </c>
      <c r="D466" s="618" t="s">
        <v>2152</v>
      </c>
      <c r="E466" s="617" t="s">
        <v>1879</v>
      </c>
      <c r="F466" s="618" t="s">
        <v>2156</v>
      </c>
      <c r="G466" s="617" t="s">
        <v>517</v>
      </c>
      <c r="H466" s="617" t="s">
        <v>2007</v>
      </c>
      <c r="I466" s="617" t="s">
        <v>2007</v>
      </c>
      <c r="J466" s="617" t="s">
        <v>2008</v>
      </c>
      <c r="K466" s="617" t="s">
        <v>1908</v>
      </c>
      <c r="L466" s="619">
        <v>264</v>
      </c>
      <c r="M466" s="619">
        <v>1</v>
      </c>
      <c r="N466" s="620">
        <v>264</v>
      </c>
    </row>
    <row r="467" spans="1:14" ht="14.4" customHeight="1" x14ac:dyDescent="0.3">
      <c r="A467" s="615" t="s">
        <v>471</v>
      </c>
      <c r="B467" s="616" t="s">
        <v>2151</v>
      </c>
      <c r="C467" s="617" t="s">
        <v>476</v>
      </c>
      <c r="D467" s="618" t="s">
        <v>2152</v>
      </c>
      <c r="E467" s="617" t="s">
        <v>1879</v>
      </c>
      <c r="F467" s="618" t="s">
        <v>2156</v>
      </c>
      <c r="G467" s="617" t="s">
        <v>517</v>
      </c>
      <c r="H467" s="617" t="s">
        <v>2009</v>
      </c>
      <c r="I467" s="617" t="s">
        <v>2009</v>
      </c>
      <c r="J467" s="617" t="s">
        <v>2010</v>
      </c>
      <c r="K467" s="617" t="s">
        <v>2011</v>
      </c>
      <c r="L467" s="619">
        <v>231</v>
      </c>
      <c r="M467" s="619">
        <v>2</v>
      </c>
      <c r="N467" s="620">
        <v>462</v>
      </c>
    </row>
    <row r="468" spans="1:14" ht="14.4" customHeight="1" x14ac:dyDescent="0.3">
      <c r="A468" s="615" t="s">
        <v>471</v>
      </c>
      <c r="B468" s="616" t="s">
        <v>2151</v>
      </c>
      <c r="C468" s="617" t="s">
        <v>476</v>
      </c>
      <c r="D468" s="618" t="s">
        <v>2152</v>
      </c>
      <c r="E468" s="617" t="s">
        <v>1879</v>
      </c>
      <c r="F468" s="618" t="s">
        <v>2156</v>
      </c>
      <c r="G468" s="617" t="s">
        <v>517</v>
      </c>
      <c r="H468" s="617" t="s">
        <v>2012</v>
      </c>
      <c r="I468" s="617" t="s">
        <v>2013</v>
      </c>
      <c r="J468" s="617" t="s">
        <v>2014</v>
      </c>
      <c r="K468" s="617" t="s">
        <v>1912</v>
      </c>
      <c r="L468" s="619">
        <v>58.72</v>
      </c>
      <c r="M468" s="619">
        <v>1</v>
      </c>
      <c r="N468" s="620">
        <v>58.72</v>
      </c>
    </row>
    <row r="469" spans="1:14" ht="14.4" customHeight="1" x14ac:dyDescent="0.3">
      <c r="A469" s="615" t="s">
        <v>471</v>
      </c>
      <c r="B469" s="616" t="s">
        <v>2151</v>
      </c>
      <c r="C469" s="617" t="s">
        <v>476</v>
      </c>
      <c r="D469" s="618" t="s">
        <v>2152</v>
      </c>
      <c r="E469" s="617" t="s">
        <v>1879</v>
      </c>
      <c r="F469" s="618" t="s">
        <v>2156</v>
      </c>
      <c r="G469" s="617" t="s">
        <v>517</v>
      </c>
      <c r="H469" s="617" t="s">
        <v>2015</v>
      </c>
      <c r="I469" s="617" t="s">
        <v>2015</v>
      </c>
      <c r="J469" s="617" t="s">
        <v>2016</v>
      </c>
      <c r="K469" s="617" t="s">
        <v>2017</v>
      </c>
      <c r="L469" s="619">
        <v>562.87000000000012</v>
      </c>
      <c r="M469" s="619">
        <v>16.8</v>
      </c>
      <c r="N469" s="620">
        <v>9456.2160000000022</v>
      </c>
    </row>
    <row r="470" spans="1:14" ht="14.4" customHeight="1" x14ac:dyDescent="0.3">
      <c r="A470" s="615" t="s">
        <v>471</v>
      </c>
      <c r="B470" s="616" t="s">
        <v>2151</v>
      </c>
      <c r="C470" s="617" t="s">
        <v>476</v>
      </c>
      <c r="D470" s="618" t="s">
        <v>2152</v>
      </c>
      <c r="E470" s="617" t="s">
        <v>1879</v>
      </c>
      <c r="F470" s="618" t="s">
        <v>2156</v>
      </c>
      <c r="G470" s="617" t="s">
        <v>517</v>
      </c>
      <c r="H470" s="617" t="s">
        <v>2018</v>
      </c>
      <c r="I470" s="617" t="s">
        <v>2018</v>
      </c>
      <c r="J470" s="617" t="s">
        <v>2019</v>
      </c>
      <c r="K470" s="617" t="s">
        <v>512</v>
      </c>
      <c r="L470" s="619">
        <v>90.219999999999985</v>
      </c>
      <c r="M470" s="619">
        <v>2</v>
      </c>
      <c r="N470" s="620">
        <v>180.43999999999997</v>
      </c>
    </row>
    <row r="471" spans="1:14" ht="14.4" customHeight="1" x14ac:dyDescent="0.3">
      <c r="A471" s="615" t="s">
        <v>471</v>
      </c>
      <c r="B471" s="616" t="s">
        <v>2151</v>
      </c>
      <c r="C471" s="617" t="s">
        <v>476</v>
      </c>
      <c r="D471" s="618" t="s">
        <v>2152</v>
      </c>
      <c r="E471" s="617" t="s">
        <v>1879</v>
      </c>
      <c r="F471" s="618" t="s">
        <v>2156</v>
      </c>
      <c r="G471" s="617" t="s">
        <v>517</v>
      </c>
      <c r="H471" s="617" t="s">
        <v>2020</v>
      </c>
      <c r="I471" s="617" t="s">
        <v>2020</v>
      </c>
      <c r="J471" s="617" t="s">
        <v>1975</v>
      </c>
      <c r="K471" s="617" t="s">
        <v>2021</v>
      </c>
      <c r="L471" s="619">
        <v>316.02454545454543</v>
      </c>
      <c r="M471" s="619">
        <v>11</v>
      </c>
      <c r="N471" s="620">
        <v>3476.27</v>
      </c>
    </row>
    <row r="472" spans="1:14" ht="14.4" customHeight="1" x14ac:dyDescent="0.3">
      <c r="A472" s="615" t="s">
        <v>471</v>
      </c>
      <c r="B472" s="616" t="s">
        <v>2151</v>
      </c>
      <c r="C472" s="617" t="s">
        <v>476</v>
      </c>
      <c r="D472" s="618" t="s">
        <v>2152</v>
      </c>
      <c r="E472" s="617" t="s">
        <v>1879</v>
      </c>
      <c r="F472" s="618" t="s">
        <v>2156</v>
      </c>
      <c r="G472" s="617" t="s">
        <v>1576</v>
      </c>
      <c r="H472" s="617" t="s">
        <v>2022</v>
      </c>
      <c r="I472" s="617" t="s">
        <v>2023</v>
      </c>
      <c r="J472" s="617" t="s">
        <v>2024</v>
      </c>
      <c r="K472" s="617" t="s">
        <v>2025</v>
      </c>
      <c r="L472" s="619">
        <v>115.94000000000001</v>
      </c>
      <c r="M472" s="619">
        <v>1</v>
      </c>
      <c r="N472" s="620">
        <v>115.94000000000001</v>
      </c>
    </row>
    <row r="473" spans="1:14" ht="14.4" customHeight="1" x14ac:dyDescent="0.3">
      <c r="A473" s="615" t="s">
        <v>471</v>
      </c>
      <c r="B473" s="616" t="s">
        <v>2151</v>
      </c>
      <c r="C473" s="617" t="s">
        <v>476</v>
      </c>
      <c r="D473" s="618" t="s">
        <v>2152</v>
      </c>
      <c r="E473" s="617" t="s">
        <v>1879</v>
      </c>
      <c r="F473" s="618" t="s">
        <v>2156</v>
      </c>
      <c r="G473" s="617" t="s">
        <v>1576</v>
      </c>
      <c r="H473" s="617" t="s">
        <v>2026</v>
      </c>
      <c r="I473" s="617" t="s">
        <v>2027</v>
      </c>
      <c r="J473" s="617" t="s">
        <v>2028</v>
      </c>
      <c r="K473" s="617" t="s">
        <v>2029</v>
      </c>
      <c r="L473" s="619">
        <v>28.889560296846014</v>
      </c>
      <c r="M473" s="619">
        <v>735</v>
      </c>
      <c r="N473" s="620">
        <v>21233.82681818182</v>
      </c>
    </row>
    <row r="474" spans="1:14" ht="14.4" customHeight="1" x14ac:dyDescent="0.3">
      <c r="A474" s="615" t="s">
        <v>471</v>
      </c>
      <c r="B474" s="616" t="s">
        <v>2151</v>
      </c>
      <c r="C474" s="617" t="s">
        <v>476</v>
      </c>
      <c r="D474" s="618" t="s">
        <v>2152</v>
      </c>
      <c r="E474" s="617" t="s">
        <v>1879</v>
      </c>
      <c r="F474" s="618" t="s">
        <v>2156</v>
      </c>
      <c r="G474" s="617" t="s">
        <v>1576</v>
      </c>
      <c r="H474" s="617" t="s">
        <v>2030</v>
      </c>
      <c r="I474" s="617" t="s">
        <v>2031</v>
      </c>
      <c r="J474" s="617" t="s">
        <v>2032</v>
      </c>
      <c r="K474" s="617" t="s">
        <v>2033</v>
      </c>
      <c r="L474" s="619">
        <v>12209.67</v>
      </c>
      <c r="M474" s="619">
        <v>34.200000000000003</v>
      </c>
      <c r="N474" s="620">
        <v>417570.71400000004</v>
      </c>
    </row>
    <row r="475" spans="1:14" ht="14.4" customHeight="1" x14ac:dyDescent="0.3">
      <c r="A475" s="615" t="s">
        <v>471</v>
      </c>
      <c r="B475" s="616" t="s">
        <v>2151</v>
      </c>
      <c r="C475" s="617" t="s">
        <v>476</v>
      </c>
      <c r="D475" s="618" t="s">
        <v>2152</v>
      </c>
      <c r="E475" s="617" t="s">
        <v>1879</v>
      </c>
      <c r="F475" s="618" t="s">
        <v>2156</v>
      </c>
      <c r="G475" s="617" t="s">
        <v>1576</v>
      </c>
      <c r="H475" s="617" t="s">
        <v>2034</v>
      </c>
      <c r="I475" s="617" t="s">
        <v>2034</v>
      </c>
      <c r="J475" s="617" t="s">
        <v>2035</v>
      </c>
      <c r="K475" s="617" t="s">
        <v>1984</v>
      </c>
      <c r="L475" s="619">
        <v>34.659999999999997</v>
      </c>
      <c r="M475" s="619">
        <v>16</v>
      </c>
      <c r="N475" s="620">
        <v>554.55999999999995</v>
      </c>
    </row>
    <row r="476" spans="1:14" ht="14.4" customHeight="1" x14ac:dyDescent="0.3">
      <c r="A476" s="615" t="s">
        <v>471</v>
      </c>
      <c r="B476" s="616" t="s">
        <v>2151</v>
      </c>
      <c r="C476" s="617" t="s">
        <v>476</v>
      </c>
      <c r="D476" s="618" t="s">
        <v>2152</v>
      </c>
      <c r="E476" s="617" t="s">
        <v>1879</v>
      </c>
      <c r="F476" s="618" t="s">
        <v>2156</v>
      </c>
      <c r="G476" s="617" t="s">
        <v>1576</v>
      </c>
      <c r="H476" s="617" t="s">
        <v>2036</v>
      </c>
      <c r="I476" s="617" t="s">
        <v>2036</v>
      </c>
      <c r="J476" s="617" t="s">
        <v>2037</v>
      </c>
      <c r="K476" s="617" t="s">
        <v>2038</v>
      </c>
      <c r="L476" s="619">
        <v>55.206885133000718</v>
      </c>
      <c r="M476" s="619">
        <v>202</v>
      </c>
      <c r="N476" s="620">
        <v>11151.790796866146</v>
      </c>
    </row>
    <row r="477" spans="1:14" ht="14.4" customHeight="1" x14ac:dyDescent="0.3">
      <c r="A477" s="615" t="s">
        <v>471</v>
      </c>
      <c r="B477" s="616" t="s">
        <v>2151</v>
      </c>
      <c r="C477" s="617" t="s">
        <v>476</v>
      </c>
      <c r="D477" s="618" t="s">
        <v>2152</v>
      </c>
      <c r="E477" s="617" t="s">
        <v>1879</v>
      </c>
      <c r="F477" s="618" t="s">
        <v>2156</v>
      </c>
      <c r="G477" s="617" t="s">
        <v>1576</v>
      </c>
      <c r="H477" s="617" t="s">
        <v>2039</v>
      </c>
      <c r="I477" s="617" t="s">
        <v>2039</v>
      </c>
      <c r="J477" s="617" t="s">
        <v>2040</v>
      </c>
      <c r="K477" s="617" t="s">
        <v>1978</v>
      </c>
      <c r="L477" s="619">
        <v>932.53770491803323</v>
      </c>
      <c r="M477" s="619">
        <v>67.099999999999994</v>
      </c>
      <c r="N477" s="620">
        <v>62573.280000000021</v>
      </c>
    </row>
    <row r="478" spans="1:14" ht="14.4" customHeight="1" x14ac:dyDescent="0.3">
      <c r="A478" s="615" t="s">
        <v>471</v>
      </c>
      <c r="B478" s="616" t="s">
        <v>2151</v>
      </c>
      <c r="C478" s="617" t="s">
        <v>476</v>
      </c>
      <c r="D478" s="618" t="s">
        <v>2152</v>
      </c>
      <c r="E478" s="617" t="s">
        <v>2041</v>
      </c>
      <c r="F478" s="618" t="s">
        <v>2157</v>
      </c>
      <c r="G478" s="617" t="s">
        <v>517</v>
      </c>
      <c r="H478" s="617" t="s">
        <v>2042</v>
      </c>
      <c r="I478" s="617" t="s">
        <v>2043</v>
      </c>
      <c r="J478" s="617" t="s">
        <v>2044</v>
      </c>
      <c r="K478" s="617" t="s">
        <v>2045</v>
      </c>
      <c r="L478" s="619">
        <v>102.80999999999996</v>
      </c>
      <c r="M478" s="619">
        <v>1</v>
      </c>
      <c r="N478" s="620">
        <v>102.80999999999996</v>
      </c>
    </row>
    <row r="479" spans="1:14" ht="14.4" customHeight="1" x14ac:dyDescent="0.3">
      <c r="A479" s="615" t="s">
        <v>471</v>
      </c>
      <c r="B479" s="616" t="s">
        <v>2151</v>
      </c>
      <c r="C479" s="617" t="s">
        <v>476</v>
      </c>
      <c r="D479" s="618" t="s">
        <v>2152</v>
      </c>
      <c r="E479" s="617" t="s">
        <v>2041</v>
      </c>
      <c r="F479" s="618" t="s">
        <v>2157</v>
      </c>
      <c r="G479" s="617" t="s">
        <v>517</v>
      </c>
      <c r="H479" s="617" t="s">
        <v>2046</v>
      </c>
      <c r="I479" s="617" t="s">
        <v>2047</v>
      </c>
      <c r="J479" s="617" t="s">
        <v>2048</v>
      </c>
      <c r="K479" s="617" t="s">
        <v>2049</v>
      </c>
      <c r="L479" s="619">
        <v>106.9175</v>
      </c>
      <c r="M479" s="619">
        <v>8</v>
      </c>
      <c r="N479" s="620">
        <v>855.34</v>
      </c>
    </row>
    <row r="480" spans="1:14" ht="14.4" customHeight="1" x14ac:dyDescent="0.3">
      <c r="A480" s="615" t="s">
        <v>471</v>
      </c>
      <c r="B480" s="616" t="s">
        <v>2151</v>
      </c>
      <c r="C480" s="617" t="s">
        <v>476</v>
      </c>
      <c r="D480" s="618" t="s">
        <v>2152</v>
      </c>
      <c r="E480" s="617" t="s">
        <v>2041</v>
      </c>
      <c r="F480" s="618" t="s">
        <v>2157</v>
      </c>
      <c r="G480" s="617" t="s">
        <v>517</v>
      </c>
      <c r="H480" s="617" t="s">
        <v>2050</v>
      </c>
      <c r="I480" s="617" t="s">
        <v>2051</v>
      </c>
      <c r="J480" s="617" t="s">
        <v>2052</v>
      </c>
      <c r="K480" s="617" t="s">
        <v>2053</v>
      </c>
      <c r="L480" s="619">
        <v>5517.05</v>
      </c>
      <c r="M480" s="619">
        <v>15</v>
      </c>
      <c r="N480" s="620">
        <v>82755.75</v>
      </c>
    </row>
    <row r="481" spans="1:14" ht="14.4" customHeight="1" x14ac:dyDescent="0.3">
      <c r="A481" s="615" t="s">
        <v>471</v>
      </c>
      <c r="B481" s="616" t="s">
        <v>2151</v>
      </c>
      <c r="C481" s="617" t="s">
        <v>476</v>
      </c>
      <c r="D481" s="618" t="s">
        <v>2152</v>
      </c>
      <c r="E481" s="617" t="s">
        <v>2041</v>
      </c>
      <c r="F481" s="618" t="s">
        <v>2157</v>
      </c>
      <c r="G481" s="617" t="s">
        <v>517</v>
      </c>
      <c r="H481" s="617" t="s">
        <v>2054</v>
      </c>
      <c r="I481" s="617" t="s">
        <v>2055</v>
      </c>
      <c r="J481" s="617" t="s">
        <v>2056</v>
      </c>
      <c r="K481" s="617" t="s">
        <v>2057</v>
      </c>
      <c r="L481" s="619">
        <v>4950</v>
      </c>
      <c r="M481" s="619">
        <v>27</v>
      </c>
      <c r="N481" s="620">
        <v>133650</v>
      </c>
    </row>
    <row r="482" spans="1:14" ht="14.4" customHeight="1" x14ac:dyDescent="0.3">
      <c r="A482" s="615" t="s">
        <v>471</v>
      </c>
      <c r="B482" s="616" t="s">
        <v>2151</v>
      </c>
      <c r="C482" s="617" t="s">
        <v>476</v>
      </c>
      <c r="D482" s="618" t="s">
        <v>2152</v>
      </c>
      <c r="E482" s="617" t="s">
        <v>2041</v>
      </c>
      <c r="F482" s="618" t="s">
        <v>2157</v>
      </c>
      <c r="G482" s="617" t="s">
        <v>1576</v>
      </c>
      <c r="H482" s="617" t="s">
        <v>2058</v>
      </c>
      <c r="I482" s="617" t="s">
        <v>2059</v>
      </c>
      <c r="J482" s="617" t="s">
        <v>2060</v>
      </c>
      <c r="K482" s="617" t="s">
        <v>2061</v>
      </c>
      <c r="L482" s="619">
        <v>2825.2602068965507</v>
      </c>
      <c r="M482" s="619">
        <v>145</v>
      </c>
      <c r="N482" s="620">
        <v>409662.72999999986</v>
      </c>
    </row>
    <row r="483" spans="1:14" ht="14.4" customHeight="1" x14ac:dyDescent="0.3">
      <c r="A483" s="615" t="s">
        <v>471</v>
      </c>
      <c r="B483" s="616" t="s">
        <v>2151</v>
      </c>
      <c r="C483" s="617" t="s">
        <v>476</v>
      </c>
      <c r="D483" s="618" t="s">
        <v>2152</v>
      </c>
      <c r="E483" s="617" t="s">
        <v>2041</v>
      </c>
      <c r="F483" s="618" t="s">
        <v>2157</v>
      </c>
      <c r="G483" s="617" t="s">
        <v>1576</v>
      </c>
      <c r="H483" s="617" t="s">
        <v>2062</v>
      </c>
      <c r="I483" s="617" t="s">
        <v>2063</v>
      </c>
      <c r="J483" s="617" t="s">
        <v>2060</v>
      </c>
      <c r="K483" s="617" t="s">
        <v>2064</v>
      </c>
      <c r="L483" s="619">
        <v>13607.949999999997</v>
      </c>
      <c r="M483" s="619">
        <v>1</v>
      </c>
      <c r="N483" s="620">
        <v>13607.949999999997</v>
      </c>
    </row>
    <row r="484" spans="1:14" ht="14.4" customHeight="1" x14ac:dyDescent="0.3">
      <c r="A484" s="615" t="s">
        <v>471</v>
      </c>
      <c r="B484" s="616" t="s">
        <v>2151</v>
      </c>
      <c r="C484" s="617" t="s">
        <v>476</v>
      </c>
      <c r="D484" s="618" t="s">
        <v>2152</v>
      </c>
      <c r="E484" s="617" t="s">
        <v>2041</v>
      </c>
      <c r="F484" s="618" t="s">
        <v>2157</v>
      </c>
      <c r="G484" s="617" t="s">
        <v>1576</v>
      </c>
      <c r="H484" s="617" t="s">
        <v>2065</v>
      </c>
      <c r="I484" s="617" t="s">
        <v>2065</v>
      </c>
      <c r="J484" s="617" t="s">
        <v>2066</v>
      </c>
      <c r="K484" s="617" t="s">
        <v>2067</v>
      </c>
      <c r="L484" s="619">
        <v>159.49999999999997</v>
      </c>
      <c r="M484" s="619">
        <v>48.800000000000004</v>
      </c>
      <c r="N484" s="620">
        <v>7783.5999999999995</v>
      </c>
    </row>
    <row r="485" spans="1:14" ht="14.4" customHeight="1" x14ac:dyDescent="0.3">
      <c r="A485" s="615" t="s">
        <v>471</v>
      </c>
      <c r="B485" s="616" t="s">
        <v>2151</v>
      </c>
      <c r="C485" s="617" t="s">
        <v>476</v>
      </c>
      <c r="D485" s="618" t="s">
        <v>2152</v>
      </c>
      <c r="E485" s="617" t="s">
        <v>2041</v>
      </c>
      <c r="F485" s="618" t="s">
        <v>2157</v>
      </c>
      <c r="G485" s="617" t="s">
        <v>1576</v>
      </c>
      <c r="H485" s="617" t="s">
        <v>2068</v>
      </c>
      <c r="I485" s="617" t="s">
        <v>2068</v>
      </c>
      <c r="J485" s="617" t="s">
        <v>2066</v>
      </c>
      <c r="K485" s="617" t="s">
        <v>2069</v>
      </c>
      <c r="L485" s="619">
        <v>308</v>
      </c>
      <c r="M485" s="619">
        <v>13.5</v>
      </c>
      <c r="N485" s="620">
        <v>4158</v>
      </c>
    </row>
    <row r="486" spans="1:14" ht="14.4" customHeight="1" x14ac:dyDescent="0.3">
      <c r="A486" s="615" t="s">
        <v>471</v>
      </c>
      <c r="B486" s="616" t="s">
        <v>2151</v>
      </c>
      <c r="C486" s="617" t="s">
        <v>476</v>
      </c>
      <c r="D486" s="618" t="s">
        <v>2152</v>
      </c>
      <c r="E486" s="617" t="s">
        <v>2041</v>
      </c>
      <c r="F486" s="618" t="s">
        <v>2157</v>
      </c>
      <c r="G486" s="617" t="s">
        <v>1576</v>
      </c>
      <c r="H486" s="617" t="s">
        <v>2070</v>
      </c>
      <c r="I486" s="617" t="s">
        <v>2070</v>
      </c>
      <c r="J486" s="617" t="s">
        <v>2071</v>
      </c>
      <c r="K486" s="617" t="s">
        <v>2072</v>
      </c>
      <c r="L486" s="619">
        <v>285.2397524662212</v>
      </c>
      <c r="M486" s="619">
        <v>2</v>
      </c>
      <c r="N486" s="620">
        <v>570.47950493244241</v>
      </c>
    </row>
    <row r="487" spans="1:14" ht="14.4" customHeight="1" x14ac:dyDescent="0.3">
      <c r="A487" s="615" t="s">
        <v>471</v>
      </c>
      <c r="B487" s="616" t="s">
        <v>2151</v>
      </c>
      <c r="C487" s="617" t="s">
        <v>476</v>
      </c>
      <c r="D487" s="618" t="s">
        <v>2152</v>
      </c>
      <c r="E487" s="617" t="s">
        <v>2073</v>
      </c>
      <c r="F487" s="618" t="s">
        <v>2158</v>
      </c>
      <c r="G487" s="617"/>
      <c r="H487" s="617"/>
      <c r="I487" s="617" t="s">
        <v>2074</v>
      </c>
      <c r="J487" s="617" t="s">
        <v>2075</v>
      </c>
      <c r="K487" s="617"/>
      <c r="L487" s="619">
        <v>1346.35</v>
      </c>
      <c r="M487" s="619">
        <v>3</v>
      </c>
      <c r="N487" s="620">
        <v>4039.0499999999997</v>
      </c>
    </row>
    <row r="488" spans="1:14" ht="14.4" customHeight="1" x14ac:dyDescent="0.3">
      <c r="A488" s="615" t="s">
        <v>471</v>
      </c>
      <c r="B488" s="616" t="s">
        <v>2151</v>
      </c>
      <c r="C488" s="617" t="s">
        <v>476</v>
      </c>
      <c r="D488" s="618" t="s">
        <v>2152</v>
      </c>
      <c r="E488" s="617" t="s">
        <v>2073</v>
      </c>
      <c r="F488" s="618" t="s">
        <v>2158</v>
      </c>
      <c r="G488" s="617"/>
      <c r="H488" s="617"/>
      <c r="I488" s="617" t="s">
        <v>2076</v>
      </c>
      <c r="J488" s="617" t="s">
        <v>2077</v>
      </c>
      <c r="K488" s="617"/>
      <c r="L488" s="619">
        <v>9500</v>
      </c>
      <c r="M488" s="619">
        <v>2</v>
      </c>
      <c r="N488" s="620">
        <v>19000</v>
      </c>
    </row>
    <row r="489" spans="1:14" ht="14.4" customHeight="1" x14ac:dyDescent="0.3">
      <c r="A489" s="615" t="s">
        <v>471</v>
      </c>
      <c r="B489" s="616" t="s">
        <v>2151</v>
      </c>
      <c r="C489" s="617" t="s">
        <v>476</v>
      </c>
      <c r="D489" s="618" t="s">
        <v>2152</v>
      </c>
      <c r="E489" s="617" t="s">
        <v>2073</v>
      </c>
      <c r="F489" s="618" t="s">
        <v>2158</v>
      </c>
      <c r="G489" s="617"/>
      <c r="H489" s="617"/>
      <c r="I489" s="617" t="s">
        <v>2078</v>
      </c>
      <c r="J489" s="617" t="s">
        <v>2079</v>
      </c>
      <c r="K489" s="617"/>
      <c r="L489" s="619">
        <v>9559</v>
      </c>
      <c r="M489" s="619">
        <v>2</v>
      </c>
      <c r="N489" s="620">
        <v>19118</v>
      </c>
    </row>
    <row r="490" spans="1:14" ht="14.4" customHeight="1" x14ac:dyDescent="0.3">
      <c r="A490" s="615" t="s">
        <v>471</v>
      </c>
      <c r="B490" s="616" t="s">
        <v>2151</v>
      </c>
      <c r="C490" s="617" t="s">
        <v>476</v>
      </c>
      <c r="D490" s="618" t="s">
        <v>2152</v>
      </c>
      <c r="E490" s="617" t="s">
        <v>2073</v>
      </c>
      <c r="F490" s="618" t="s">
        <v>2158</v>
      </c>
      <c r="G490" s="617"/>
      <c r="H490" s="617"/>
      <c r="I490" s="617" t="s">
        <v>2080</v>
      </c>
      <c r="J490" s="617" t="s">
        <v>2081</v>
      </c>
      <c r="K490" s="617"/>
      <c r="L490" s="619">
        <v>8637.2793859649209</v>
      </c>
      <c r="M490" s="619">
        <v>114</v>
      </c>
      <c r="N490" s="620">
        <v>984649.85000000091</v>
      </c>
    </row>
    <row r="491" spans="1:14" ht="14.4" customHeight="1" x14ac:dyDescent="0.3">
      <c r="A491" s="615" t="s">
        <v>471</v>
      </c>
      <c r="B491" s="616" t="s">
        <v>2151</v>
      </c>
      <c r="C491" s="617" t="s">
        <v>476</v>
      </c>
      <c r="D491" s="618" t="s">
        <v>2152</v>
      </c>
      <c r="E491" s="617" t="s">
        <v>2073</v>
      </c>
      <c r="F491" s="618" t="s">
        <v>2158</v>
      </c>
      <c r="G491" s="617"/>
      <c r="H491" s="617"/>
      <c r="I491" s="617" t="s">
        <v>2082</v>
      </c>
      <c r="J491" s="617" t="s">
        <v>2083</v>
      </c>
      <c r="K491" s="617" t="s">
        <v>2084</v>
      </c>
      <c r="L491" s="619">
        <v>1287</v>
      </c>
      <c r="M491" s="619">
        <v>35</v>
      </c>
      <c r="N491" s="620">
        <v>45045</v>
      </c>
    </row>
    <row r="492" spans="1:14" ht="14.4" customHeight="1" x14ac:dyDescent="0.3">
      <c r="A492" s="615" t="s">
        <v>471</v>
      </c>
      <c r="B492" s="616" t="s">
        <v>2151</v>
      </c>
      <c r="C492" s="617" t="s">
        <v>476</v>
      </c>
      <c r="D492" s="618" t="s">
        <v>2152</v>
      </c>
      <c r="E492" s="617" t="s">
        <v>2073</v>
      </c>
      <c r="F492" s="618" t="s">
        <v>2158</v>
      </c>
      <c r="G492" s="617"/>
      <c r="H492" s="617"/>
      <c r="I492" s="617" t="s">
        <v>2085</v>
      </c>
      <c r="J492" s="617" t="s">
        <v>2086</v>
      </c>
      <c r="K492" s="617"/>
      <c r="L492" s="619">
        <v>4305.3999999999996</v>
      </c>
      <c r="M492" s="619">
        <v>51</v>
      </c>
      <c r="N492" s="620">
        <v>219575.39999999997</v>
      </c>
    </row>
    <row r="493" spans="1:14" ht="14.4" customHeight="1" x14ac:dyDescent="0.3">
      <c r="A493" s="615" t="s">
        <v>471</v>
      </c>
      <c r="B493" s="616" t="s">
        <v>2151</v>
      </c>
      <c r="C493" s="617" t="s">
        <v>476</v>
      </c>
      <c r="D493" s="618" t="s">
        <v>2152</v>
      </c>
      <c r="E493" s="617" t="s">
        <v>2073</v>
      </c>
      <c r="F493" s="618" t="s">
        <v>2158</v>
      </c>
      <c r="G493" s="617"/>
      <c r="H493" s="617"/>
      <c r="I493" s="617" t="s">
        <v>2087</v>
      </c>
      <c r="J493" s="617" t="s">
        <v>2088</v>
      </c>
      <c r="K493" s="617"/>
      <c r="L493" s="619">
        <v>2577.5749999999998</v>
      </c>
      <c r="M493" s="619">
        <v>16</v>
      </c>
      <c r="N493" s="620">
        <v>41241.199999999997</v>
      </c>
    </row>
    <row r="494" spans="1:14" ht="14.4" customHeight="1" x14ac:dyDescent="0.3">
      <c r="A494" s="615" t="s">
        <v>471</v>
      </c>
      <c r="B494" s="616" t="s">
        <v>2151</v>
      </c>
      <c r="C494" s="617" t="s">
        <v>476</v>
      </c>
      <c r="D494" s="618" t="s">
        <v>2152</v>
      </c>
      <c r="E494" s="617" t="s">
        <v>2089</v>
      </c>
      <c r="F494" s="618" t="s">
        <v>2159</v>
      </c>
      <c r="G494" s="617"/>
      <c r="H494" s="617"/>
      <c r="I494" s="617" t="s">
        <v>2090</v>
      </c>
      <c r="J494" s="617" t="s">
        <v>2091</v>
      </c>
      <c r="K494" s="617"/>
      <c r="L494" s="619">
        <v>8505.39</v>
      </c>
      <c r="M494" s="619">
        <v>2</v>
      </c>
      <c r="N494" s="620">
        <v>17010.78</v>
      </c>
    </row>
    <row r="495" spans="1:14" ht="14.4" customHeight="1" x14ac:dyDescent="0.3">
      <c r="A495" s="615" t="s">
        <v>471</v>
      </c>
      <c r="B495" s="616" t="s">
        <v>2151</v>
      </c>
      <c r="C495" s="617" t="s">
        <v>476</v>
      </c>
      <c r="D495" s="618" t="s">
        <v>2152</v>
      </c>
      <c r="E495" s="617" t="s">
        <v>2089</v>
      </c>
      <c r="F495" s="618" t="s">
        <v>2159</v>
      </c>
      <c r="G495" s="617"/>
      <c r="H495" s="617"/>
      <c r="I495" s="617" t="s">
        <v>2092</v>
      </c>
      <c r="J495" s="617" t="s">
        <v>2093</v>
      </c>
      <c r="K495" s="617"/>
      <c r="L495" s="619">
        <v>4252.6899999999996</v>
      </c>
      <c r="M495" s="619">
        <v>1</v>
      </c>
      <c r="N495" s="620">
        <v>4252.6899999999996</v>
      </c>
    </row>
    <row r="496" spans="1:14" ht="14.4" customHeight="1" x14ac:dyDescent="0.3">
      <c r="A496" s="615" t="s">
        <v>471</v>
      </c>
      <c r="B496" s="616" t="s">
        <v>2151</v>
      </c>
      <c r="C496" s="617" t="s">
        <v>476</v>
      </c>
      <c r="D496" s="618" t="s">
        <v>2152</v>
      </c>
      <c r="E496" s="617" t="s">
        <v>2094</v>
      </c>
      <c r="F496" s="618" t="s">
        <v>2160</v>
      </c>
      <c r="G496" s="617" t="s">
        <v>517</v>
      </c>
      <c r="H496" s="617" t="s">
        <v>2095</v>
      </c>
      <c r="I496" s="617" t="s">
        <v>2096</v>
      </c>
      <c r="J496" s="617" t="s">
        <v>2097</v>
      </c>
      <c r="K496" s="617" t="s">
        <v>2098</v>
      </c>
      <c r="L496" s="619">
        <v>2081.1946642558173</v>
      </c>
      <c r="M496" s="619">
        <v>83</v>
      </c>
      <c r="N496" s="620">
        <v>172739.15713323283</v>
      </c>
    </row>
    <row r="497" spans="1:14" ht="14.4" customHeight="1" x14ac:dyDescent="0.3">
      <c r="A497" s="615" t="s">
        <v>471</v>
      </c>
      <c r="B497" s="616" t="s">
        <v>2151</v>
      </c>
      <c r="C497" s="617" t="s">
        <v>476</v>
      </c>
      <c r="D497" s="618" t="s">
        <v>2152</v>
      </c>
      <c r="E497" s="617" t="s">
        <v>2094</v>
      </c>
      <c r="F497" s="618" t="s">
        <v>2160</v>
      </c>
      <c r="G497" s="617" t="s">
        <v>517</v>
      </c>
      <c r="H497" s="617" t="s">
        <v>2099</v>
      </c>
      <c r="I497" s="617" t="s">
        <v>2100</v>
      </c>
      <c r="J497" s="617" t="s">
        <v>2101</v>
      </c>
      <c r="K497" s="617" t="s">
        <v>2102</v>
      </c>
      <c r="L497" s="619">
        <v>306.37454545454545</v>
      </c>
      <c r="M497" s="619">
        <v>110</v>
      </c>
      <c r="N497" s="620">
        <v>33701.199999999997</v>
      </c>
    </row>
    <row r="498" spans="1:14" ht="14.4" customHeight="1" x14ac:dyDescent="0.3">
      <c r="A498" s="615" t="s">
        <v>471</v>
      </c>
      <c r="B498" s="616" t="s">
        <v>2151</v>
      </c>
      <c r="C498" s="617" t="s">
        <v>476</v>
      </c>
      <c r="D498" s="618" t="s">
        <v>2152</v>
      </c>
      <c r="E498" s="617" t="s">
        <v>2094</v>
      </c>
      <c r="F498" s="618" t="s">
        <v>2160</v>
      </c>
      <c r="G498" s="617" t="s">
        <v>517</v>
      </c>
      <c r="H498" s="617" t="s">
        <v>2103</v>
      </c>
      <c r="I498" s="617" t="s">
        <v>2104</v>
      </c>
      <c r="J498" s="617" t="s">
        <v>2105</v>
      </c>
      <c r="K498" s="617" t="s">
        <v>2106</v>
      </c>
      <c r="L498" s="619">
        <v>2719.2000000000003</v>
      </c>
      <c r="M498" s="619">
        <v>8</v>
      </c>
      <c r="N498" s="620">
        <v>21753.600000000002</v>
      </c>
    </row>
    <row r="499" spans="1:14" ht="14.4" customHeight="1" x14ac:dyDescent="0.3">
      <c r="A499" s="615" t="s">
        <v>471</v>
      </c>
      <c r="B499" s="616" t="s">
        <v>2151</v>
      </c>
      <c r="C499" s="617" t="s">
        <v>476</v>
      </c>
      <c r="D499" s="618" t="s">
        <v>2152</v>
      </c>
      <c r="E499" s="617" t="s">
        <v>2094</v>
      </c>
      <c r="F499" s="618" t="s">
        <v>2160</v>
      </c>
      <c r="G499" s="617" t="s">
        <v>517</v>
      </c>
      <c r="H499" s="617" t="s">
        <v>2107</v>
      </c>
      <c r="I499" s="617" t="s">
        <v>2108</v>
      </c>
      <c r="J499" s="617" t="s">
        <v>2109</v>
      </c>
      <c r="K499" s="617" t="s">
        <v>2110</v>
      </c>
      <c r="L499" s="619">
        <v>2395.0307746101571</v>
      </c>
      <c r="M499" s="619">
        <v>141.6</v>
      </c>
      <c r="N499" s="620">
        <v>339136.35768479825</v>
      </c>
    </row>
    <row r="500" spans="1:14" ht="14.4" customHeight="1" x14ac:dyDescent="0.3">
      <c r="A500" s="615" t="s">
        <v>471</v>
      </c>
      <c r="B500" s="616" t="s">
        <v>2151</v>
      </c>
      <c r="C500" s="617" t="s">
        <v>476</v>
      </c>
      <c r="D500" s="618" t="s">
        <v>2152</v>
      </c>
      <c r="E500" s="617" t="s">
        <v>2094</v>
      </c>
      <c r="F500" s="618" t="s">
        <v>2160</v>
      </c>
      <c r="G500" s="617" t="s">
        <v>517</v>
      </c>
      <c r="H500" s="617" t="s">
        <v>2111</v>
      </c>
      <c r="I500" s="617" t="s">
        <v>2112</v>
      </c>
      <c r="J500" s="617" t="s">
        <v>2113</v>
      </c>
      <c r="K500" s="617" t="s">
        <v>2110</v>
      </c>
      <c r="L500" s="619">
        <v>2228.8200000000002</v>
      </c>
      <c r="M500" s="619">
        <v>3</v>
      </c>
      <c r="N500" s="620">
        <v>6686.46</v>
      </c>
    </row>
    <row r="501" spans="1:14" ht="14.4" customHeight="1" x14ac:dyDescent="0.3">
      <c r="A501" s="615" t="s">
        <v>471</v>
      </c>
      <c r="B501" s="616" t="s">
        <v>2151</v>
      </c>
      <c r="C501" s="617" t="s">
        <v>476</v>
      </c>
      <c r="D501" s="618" t="s">
        <v>2152</v>
      </c>
      <c r="E501" s="617" t="s">
        <v>2094</v>
      </c>
      <c r="F501" s="618" t="s">
        <v>2160</v>
      </c>
      <c r="G501" s="617" t="s">
        <v>517</v>
      </c>
      <c r="H501" s="617" t="s">
        <v>2114</v>
      </c>
      <c r="I501" s="617" t="s">
        <v>2114</v>
      </c>
      <c r="J501" s="617" t="s">
        <v>2115</v>
      </c>
      <c r="K501" s="617" t="s">
        <v>2116</v>
      </c>
      <c r="L501" s="619">
        <v>3485.9110455827672</v>
      </c>
      <c r="M501" s="619">
        <v>19</v>
      </c>
      <c r="N501" s="620">
        <v>66232.309866072581</v>
      </c>
    </row>
    <row r="502" spans="1:14" ht="14.4" customHeight="1" x14ac:dyDescent="0.3">
      <c r="A502" s="615" t="s">
        <v>471</v>
      </c>
      <c r="B502" s="616" t="s">
        <v>2151</v>
      </c>
      <c r="C502" s="617" t="s">
        <v>476</v>
      </c>
      <c r="D502" s="618" t="s">
        <v>2152</v>
      </c>
      <c r="E502" s="617" t="s">
        <v>2094</v>
      </c>
      <c r="F502" s="618" t="s">
        <v>2160</v>
      </c>
      <c r="G502" s="617" t="s">
        <v>517</v>
      </c>
      <c r="H502" s="617" t="s">
        <v>2117</v>
      </c>
      <c r="I502" s="617" t="s">
        <v>2118</v>
      </c>
      <c r="J502" s="617" t="s">
        <v>2119</v>
      </c>
      <c r="K502" s="617" t="s">
        <v>2116</v>
      </c>
      <c r="L502" s="619">
        <v>1680.58</v>
      </c>
      <c r="M502" s="619">
        <v>3</v>
      </c>
      <c r="N502" s="620">
        <v>5041.74</v>
      </c>
    </row>
    <row r="503" spans="1:14" ht="14.4" customHeight="1" x14ac:dyDescent="0.3">
      <c r="A503" s="615" t="s">
        <v>471</v>
      </c>
      <c r="B503" s="616" t="s">
        <v>2151</v>
      </c>
      <c r="C503" s="617" t="s">
        <v>476</v>
      </c>
      <c r="D503" s="618" t="s">
        <v>2152</v>
      </c>
      <c r="E503" s="617" t="s">
        <v>2094</v>
      </c>
      <c r="F503" s="618" t="s">
        <v>2160</v>
      </c>
      <c r="G503" s="617" t="s">
        <v>517</v>
      </c>
      <c r="H503" s="617" t="s">
        <v>2120</v>
      </c>
      <c r="I503" s="617" t="s">
        <v>2121</v>
      </c>
      <c r="J503" s="617" t="s">
        <v>2122</v>
      </c>
      <c r="K503" s="617" t="s">
        <v>2116</v>
      </c>
      <c r="L503" s="619">
        <v>1329.4600000000007</v>
      </c>
      <c r="M503" s="619">
        <v>3.9999999999999991</v>
      </c>
      <c r="N503" s="620">
        <v>5317.840000000002</v>
      </c>
    </row>
    <row r="504" spans="1:14" ht="14.4" customHeight="1" x14ac:dyDescent="0.3">
      <c r="A504" s="615" t="s">
        <v>471</v>
      </c>
      <c r="B504" s="616" t="s">
        <v>2151</v>
      </c>
      <c r="C504" s="617" t="s">
        <v>476</v>
      </c>
      <c r="D504" s="618" t="s">
        <v>2152</v>
      </c>
      <c r="E504" s="617" t="s">
        <v>2094</v>
      </c>
      <c r="F504" s="618" t="s">
        <v>2160</v>
      </c>
      <c r="G504" s="617" t="s">
        <v>517</v>
      </c>
      <c r="H504" s="617" t="s">
        <v>2123</v>
      </c>
      <c r="I504" s="617" t="s">
        <v>2124</v>
      </c>
      <c r="J504" s="617" t="s">
        <v>2125</v>
      </c>
      <c r="K504" s="617" t="s">
        <v>2126</v>
      </c>
      <c r="L504" s="619">
        <v>2062.5006005763989</v>
      </c>
      <c r="M504" s="619">
        <v>60.1</v>
      </c>
      <c r="N504" s="620">
        <v>123956.28609464157</v>
      </c>
    </row>
    <row r="505" spans="1:14" ht="14.4" customHeight="1" x14ac:dyDescent="0.3">
      <c r="A505" s="615" t="s">
        <v>471</v>
      </c>
      <c r="B505" s="616" t="s">
        <v>2151</v>
      </c>
      <c r="C505" s="617" t="s">
        <v>476</v>
      </c>
      <c r="D505" s="618" t="s">
        <v>2152</v>
      </c>
      <c r="E505" s="617" t="s">
        <v>2094</v>
      </c>
      <c r="F505" s="618" t="s">
        <v>2160</v>
      </c>
      <c r="G505" s="617" t="s">
        <v>517</v>
      </c>
      <c r="H505" s="617" t="s">
        <v>2127</v>
      </c>
      <c r="I505" s="617" t="s">
        <v>2128</v>
      </c>
      <c r="J505" s="617" t="s">
        <v>2129</v>
      </c>
      <c r="K505" s="617" t="s">
        <v>2130</v>
      </c>
      <c r="L505" s="619">
        <v>2188.9499999999998</v>
      </c>
      <c r="M505" s="619">
        <v>1</v>
      </c>
      <c r="N505" s="620">
        <v>2188.9499999999998</v>
      </c>
    </row>
    <row r="506" spans="1:14" ht="14.4" customHeight="1" x14ac:dyDescent="0.3">
      <c r="A506" s="615" t="s">
        <v>471</v>
      </c>
      <c r="B506" s="616" t="s">
        <v>2151</v>
      </c>
      <c r="C506" s="617" t="s">
        <v>476</v>
      </c>
      <c r="D506" s="618" t="s">
        <v>2152</v>
      </c>
      <c r="E506" s="617" t="s">
        <v>2094</v>
      </c>
      <c r="F506" s="618" t="s">
        <v>2160</v>
      </c>
      <c r="G506" s="617" t="s">
        <v>517</v>
      </c>
      <c r="H506" s="617" t="s">
        <v>2131</v>
      </c>
      <c r="I506" s="617" t="s">
        <v>2132</v>
      </c>
      <c r="J506" s="617" t="s">
        <v>2133</v>
      </c>
      <c r="K506" s="617" t="s">
        <v>2106</v>
      </c>
      <c r="L506" s="619">
        <v>3740</v>
      </c>
      <c r="M506" s="619">
        <v>1</v>
      </c>
      <c r="N506" s="620">
        <v>3740</v>
      </c>
    </row>
    <row r="507" spans="1:14" ht="14.4" customHeight="1" x14ac:dyDescent="0.3">
      <c r="A507" s="615" t="s">
        <v>471</v>
      </c>
      <c r="B507" s="616" t="s">
        <v>2151</v>
      </c>
      <c r="C507" s="617" t="s">
        <v>476</v>
      </c>
      <c r="D507" s="618" t="s">
        <v>2152</v>
      </c>
      <c r="E507" s="617" t="s">
        <v>2094</v>
      </c>
      <c r="F507" s="618" t="s">
        <v>2160</v>
      </c>
      <c r="G507" s="617" t="s">
        <v>517</v>
      </c>
      <c r="H507" s="617" t="s">
        <v>2134</v>
      </c>
      <c r="I507" s="617" t="s">
        <v>2135</v>
      </c>
      <c r="J507" s="617" t="s">
        <v>2125</v>
      </c>
      <c r="K507" s="617" t="s">
        <v>2136</v>
      </c>
      <c r="L507" s="619">
        <v>3171.3044522196251</v>
      </c>
      <c r="M507" s="619">
        <v>35</v>
      </c>
      <c r="N507" s="620">
        <v>110995.65582768687</v>
      </c>
    </row>
    <row r="508" spans="1:14" ht="14.4" customHeight="1" x14ac:dyDescent="0.3">
      <c r="A508" s="615" t="s">
        <v>471</v>
      </c>
      <c r="B508" s="616" t="s">
        <v>2151</v>
      </c>
      <c r="C508" s="617" t="s">
        <v>476</v>
      </c>
      <c r="D508" s="618" t="s">
        <v>2152</v>
      </c>
      <c r="E508" s="617" t="s">
        <v>2094</v>
      </c>
      <c r="F508" s="618" t="s">
        <v>2160</v>
      </c>
      <c r="G508" s="617" t="s">
        <v>517</v>
      </c>
      <c r="H508" s="617" t="s">
        <v>2137</v>
      </c>
      <c r="I508" s="617" t="s">
        <v>2138</v>
      </c>
      <c r="J508" s="617" t="s">
        <v>2139</v>
      </c>
      <c r="K508" s="617" t="s">
        <v>2140</v>
      </c>
      <c r="L508" s="619">
        <v>2777.0600000000004</v>
      </c>
      <c r="M508" s="619">
        <v>1</v>
      </c>
      <c r="N508" s="620">
        <v>2777.0600000000004</v>
      </c>
    </row>
    <row r="509" spans="1:14" ht="14.4" customHeight="1" x14ac:dyDescent="0.3">
      <c r="A509" s="615" t="s">
        <v>471</v>
      </c>
      <c r="B509" s="616" t="s">
        <v>2151</v>
      </c>
      <c r="C509" s="617" t="s">
        <v>476</v>
      </c>
      <c r="D509" s="618" t="s">
        <v>2152</v>
      </c>
      <c r="E509" s="617" t="s">
        <v>2094</v>
      </c>
      <c r="F509" s="618" t="s">
        <v>2160</v>
      </c>
      <c r="G509" s="617" t="s">
        <v>517</v>
      </c>
      <c r="H509" s="617" t="s">
        <v>2141</v>
      </c>
      <c r="I509" s="617" t="s">
        <v>2142</v>
      </c>
      <c r="J509" s="617" t="s">
        <v>2143</v>
      </c>
      <c r="K509" s="617" t="s">
        <v>2140</v>
      </c>
      <c r="L509" s="619">
        <v>2221.3399292777631</v>
      </c>
      <c r="M509" s="619">
        <v>2</v>
      </c>
      <c r="N509" s="620">
        <v>4442.6798585555262</v>
      </c>
    </row>
    <row r="510" spans="1:14" ht="14.4" customHeight="1" x14ac:dyDescent="0.3">
      <c r="A510" s="615" t="s">
        <v>471</v>
      </c>
      <c r="B510" s="616" t="s">
        <v>2151</v>
      </c>
      <c r="C510" s="617" t="s">
        <v>476</v>
      </c>
      <c r="D510" s="618" t="s">
        <v>2152</v>
      </c>
      <c r="E510" s="617" t="s">
        <v>2094</v>
      </c>
      <c r="F510" s="618" t="s">
        <v>2160</v>
      </c>
      <c r="G510" s="617" t="s">
        <v>517</v>
      </c>
      <c r="H510" s="617" t="s">
        <v>2144</v>
      </c>
      <c r="I510" s="617" t="s">
        <v>2145</v>
      </c>
      <c r="J510" s="617" t="s">
        <v>2146</v>
      </c>
      <c r="K510" s="617" t="s">
        <v>2147</v>
      </c>
      <c r="L510" s="619">
        <v>2493.7000000000003</v>
      </c>
      <c r="M510" s="619">
        <v>7.8</v>
      </c>
      <c r="N510" s="620">
        <v>19450.86</v>
      </c>
    </row>
    <row r="511" spans="1:14" ht="14.4" customHeight="1" thickBot="1" x14ac:dyDescent="0.35">
      <c r="A511" s="621" t="s">
        <v>471</v>
      </c>
      <c r="B511" s="622" t="s">
        <v>2151</v>
      </c>
      <c r="C511" s="623" t="s">
        <v>476</v>
      </c>
      <c r="D511" s="624" t="s">
        <v>2152</v>
      </c>
      <c r="E511" s="623" t="s">
        <v>2094</v>
      </c>
      <c r="F511" s="624" t="s">
        <v>2160</v>
      </c>
      <c r="G511" s="623" t="s">
        <v>517</v>
      </c>
      <c r="H511" s="623" t="s">
        <v>2148</v>
      </c>
      <c r="I511" s="623" t="s">
        <v>2148</v>
      </c>
      <c r="J511" s="623" t="s">
        <v>2149</v>
      </c>
      <c r="K511" s="623" t="s">
        <v>2150</v>
      </c>
      <c r="L511" s="625">
        <v>2227.4838581467334</v>
      </c>
      <c r="M511" s="625">
        <v>22.400000000000002</v>
      </c>
      <c r="N511" s="626">
        <v>49895.638422486831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0" tint="-0.249977111117893"/>
    <pageSetUpPr fitToPage="1"/>
  </sheetPr>
  <dimension ref="A1:F65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RowHeight="14.4" customHeight="1" x14ac:dyDescent="0.3"/>
  <cols>
    <col min="1" max="1" width="46.6640625" style="238" customWidth="1"/>
    <col min="2" max="2" width="10" style="318" customWidth="1"/>
    <col min="3" max="3" width="5.5546875" style="321" customWidth="1"/>
    <col min="4" max="4" width="10" style="318" customWidth="1"/>
    <col min="5" max="5" width="5.5546875" style="321" customWidth="1"/>
    <col min="6" max="6" width="10" style="318" customWidth="1"/>
    <col min="7" max="16384" width="8.88671875" style="238"/>
  </cols>
  <sheetData>
    <row r="1" spans="1:6" ht="37.200000000000003" customHeight="1" thickBot="1" x14ac:dyDescent="0.4">
      <c r="A1" s="491" t="s">
        <v>181</v>
      </c>
      <c r="B1" s="492"/>
      <c r="C1" s="492"/>
      <c r="D1" s="492"/>
      <c r="E1" s="492"/>
      <c r="F1" s="492"/>
    </row>
    <row r="2" spans="1:6" ht="14.4" customHeight="1" thickBot="1" x14ac:dyDescent="0.35">
      <c r="A2" s="360" t="s">
        <v>280</v>
      </c>
      <c r="B2" s="67"/>
      <c r="C2" s="68"/>
      <c r="D2" s="69"/>
      <c r="E2" s="68"/>
      <c r="F2" s="69"/>
    </row>
    <row r="3" spans="1:6" ht="14.4" customHeight="1" thickBot="1" x14ac:dyDescent="0.35">
      <c r="A3" s="194"/>
      <c r="B3" s="493" t="s">
        <v>144</v>
      </c>
      <c r="C3" s="494"/>
      <c r="D3" s="495" t="s">
        <v>143</v>
      </c>
      <c r="E3" s="494"/>
      <c r="F3" s="96" t="s">
        <v>3</v>
      </c>
    </row>
    <row r="4" spans="1:6" ht="14.4" customHeight="1" thickBot="1" x14ac:dyDescent="0.35">
      <c r="A4" s="627" t="s">
        <v>166</v>
      </c>
      <c r="B4" s="628" t="s">
        <v>14</v>
      </c>
      <c r="C4" s="629" t="s">
        <v>2</v>
      </c>
      <c r="D4" s="628" t="s">
        <v>14</v>
      </c>
      <c r="E4" s="629" t="s">
        <v>2</v>
      </c>
      <c r="F4" s="630" t="s">
        <v>14</v>
      </c>
    </row>
    <row r="5" spans="1:6" ht="14.4" customHeight="1" thickBot="1" x14ac:dyDescent="0.35">
      <c r="A5" s="638" t="s">
        <v>2161</v>
      </c>
      <c r="B5" s="607">
        <v>35920.874193496675</v>
      </c>
      <c r="C5" s="631">
        <v>2.5224587937574337E-2</v>
      </c>
      <c r="D5" s="607">
        <v>1388121.1867667632</v>
      </c>
      <c r="E5" s="631">
        <v>0.97477541206242557</v>
      </c>
      <c r="F5" s="608">
        <v>1424042.06096026</v>
      </c>
    </row>
    <row r="6" spans="1:6" ht="14.4" customHeight="1" thickBot="1" x14ac:dyDescent="0.35">
      <c r="A6" s="634" t="s">
        <v>3</v>
      </c>
      <c r="B6" s="635">
        <v>35920.874193496675</v>
      </c>
      <c r="C6" s="636">
        <v>2.5224587937574337E-2</v>
      </c>
      <c r="D6" s="635">
        <v>1388121.1867667632</v>
      </c>
      <c r="E6" s="636">
        <v>0.97477541206242557</v>
      </c>
      <c r="F6" s="637">
        <v>1424042.06096026</v>
      </c>
    </row>
    <row r="7" spans="1:6" ht="14.4" customHeight="1" thickBot="1" x14ac:dyDescent="0.35"/>
    <row r="8" spans="1:6" ht="14.4" customHeight="1" x14ac:dyDescent="0.3">
      <c r="A8" s="644" t="s">
        <v>2162</v>
      </c>
      <c r="B8" s="613">
        <v>13685.420000000002</v>
      </c>
      <c r="C8" s="632">
        <v>0.23620711295346844</v>
      </c>
      <c r="D8" s="613">
        <v>44252.801372257993</v>
      </c>
      <c r="E8" s="632">
        <v>0.76379288704653159</v>
      </c>
      <c r="F8" s="614">
        <v>57938.221372257991</v>
      </c>
    </row>
    <row r="9" spans="1:6" ht="14.4" customHeight="1" x14ac:dyDescent="0.3">
      <c r="A9" s="645" t="s">
        <v>2163</v>
      </c>
      <c r="B9" s="619">
        <v>11412.556</v>
      </c>
      <c r="C9" s="640">
        <v>1</v>
      </c>
      <c r="D9" s="619"/>
      <c r="E9" s="640">
        <v>0</v>
      </c>
      <c r="F9" s="620">
        <v>11412.556</v>
      </c>
    </row>
    <row r="10" spans="1:6" ht="14.4" customHeight="1" x14ac:dyDescent="0.3">
      <c r="A10" s="645" t="s">
        <v>2164</v>
      </c>
      <c r="B10" s="619">
        <v>3044.7774000000004</v>
      </c>
      <c r="C10" s="640">
        <v>0.8841115999709418</v>
      </c>
      <c r="D10" s="619">
        <v>399.10615508520988</v>
      </c>
      <c r="E10" s="640">
        <v>0.11588840002905818</v>
      </c>
      <c r="F10" s="620">
        <v>3443.8835550852104</v>
      </c>
    </row>
    <row r="11" spans="1:6" ht="14.4" customHeight="1" x14ac:dyDescent="0.3">
      <c r="A11" s="645" t="s">
        <v>2165</v>
      </c>
      <c r="B11" s="619">
        <v>2671.9927934966768</v>
      </c>
      <c r="C11" s="640">
        <v>4.1484743158025826E-2</v>
      </c>
      <c r="D11" s="619">
        <v>61737.054728344876</v>
      </c>
      <c r="E11" s="640">
        <v>0.95851525684197414</v>
      </c>
      <c r="F11" s="620">
        <v>64409.047521841552</v>
      </c>
    </row>
    <row r="12" spans="1:6" ht="14.4" customHeight="1" x14ac:dyDescent="0.3">
      <c r="A12" s="645" t="s">
        <v>2166</v>
      </c>
      <c r="B12" s="619">
        <v>1580.1</v>
      </c>
      <c r="C12" s="640">
        <v>0.26118309101389553</v>
      </c>
      <c r="D12" s="619">
        <v>4469.6790797488311</v>
      </c>
      <c r="E12" s="640">
        <v>0.73881690898610453</v>
      </c>
      <c r="F12" s="620">
        <v>6049.7790797488306</v>
      </c>
    </row>
    <row r="13" spans="1:6" ht="14.4" customHeight="1" x14ac:dyDescent="0.3">
      <c r="A13" s="645" t="s">
        <v>2167</v>
      </c>
      <c r="B13" s="619">
        <v>1472.6719999999998</v>
      </c>
      <c r="C13" s="640">
        <v>0.59681969104529264</v>
      </c>
      <c r="D13" s="619">
        <v>994.86052631578946</v>
      </c>
      <c r="E13" s="640">
        <v>0.40318030895470736</v>
      </c>
      <c r="F13" s="620">
        <v>2467.5325263157893</v>
      </c>
    </row>
    <row r="14" spans="1:6" ht="14.4" customHeight="1" x14ac:dyDescent="0.3">
      <c r="A14" s="645" t="s">
        <v>2168</v>
      </c>
      <c r="B14" s="619">
        <v>1053.7799999999997</v>
      </c>
      <c r="C14" s="640">
        <v>1</v>
      </c>
      <c r="D14" s="619"/>
      <c r="E14" s="640">
        <v>0</v>
      </c>
      <c r="F14" s="620">
        <v>1053.7799999999997</v>
      </c>
    </row>
    <row r="15" spans="1:6" ht="14.4" customHeight="1" x14ac:dyDescent="0.3">
      <c r="A15" s="645" t="s">
        <v>2169</v>
      </c>
      <c r="B15" s="619">
        <v>450.29599999999999</v>
      </c>
      <c r="C15" s="640">
        <v>0.74451734081108956</v>
      </c>
      <c r="D15" s="619">
        <v>154.51999999999998</v>
      </c>
      <c r="E15" s="640">
        <v>0.25548265918891028</v>
      </c>
      <c r="F15" s="620">
        <v>604.81600000000003</v>
      </c>
    </row>
    <row r="16" spans="1:6" ht="14.4" customHeight="1" x14ac:dyDescent="0.3">
      <c r="A16" s="645" t="s">
        <v>2170</v>
      </c>
      <c r="B16" s="619">
        <v>206.34</v>
      </c>
      <c r="C16" s="640">
        <v>1</v>
      </c>
      <c r="D16" s="619"/>
      <c r="E16" s="640">
        <v>0</v>
      </c>
      <c r="F16" s="620">
        <v>206.34</v>
      </c>
    </row>
    <row r="17" spans="1:6" ht="14.4" customHeight="1" x14ac:dyDescent="0.3">
      <c r="A17" s="645" t="s">
        <v>2171</v>
      </c>
      <c r="B17" s="619">
        <v>150.08000000000007</v>
      </c>
      <c r="C17" s="640">
        <v>0.68180992186080347</v>
      </c>
      <c r="D17" s="619">
        <v>70.039999999999935</v>
      </c>
      <c r="E17" s="640">
        <v>0.31819007813919647</v>
      </c>
      <c r="F17" s="620">
        <v>220.12</v>
      </c>
    </row>
    <row r="18" spans="1:6" ht="14.4" customHeight="1" x14ac:dyDescent="0.3">
      <c r="A18" s="645" t="s">
        <v>2172</v>
      </c>
      <c r="B18" s="619">
        <v>103.32000000000002</v>
      </c>
      <c r="C18" s="640">
        <v>0.32963246554364484</v>
      </c>
      <c r="D18" s="619">
        <v>210.11999999999995</v>
      </c>
      <c r="E18" s="640">
        <v>0.67036753445635522</v>
      </c>
      <c r="F18" s="620">
        <v>313.43999999999994</v>
      </c>
    </row>
    <row r="19" spans="1:6" ht="14.4" customHeight="1" x14ac:dyDescent="0.3">
      <c r="A19" s="645" t="s">
        <v>2173</v>
      </c>
      <c r="B19" s="619">
        <v>89.54</v>
      </c>
      <c r="C19" s="640">
        <v>0.55715263518138258</v>
      </c>
      <c r="D19" s="619">
        <v>71.170000000000016</v>
      </c>
      <c r="E19" s="640">
        <v>0.44284736481861736</v>
      </c>
      <c r="F19" s="620">
        <v>160.71000000000004</v>
      </c>
    </row>
    <row r="20" spans="1:6" ht="14.4" customHeight="1" x14ac:dyDescent="0.3">
      <c r="A20" s="645" t="s">
        <v>2174</v>
      </c>
      <c r="B20" s="619"/>
      <c r="C20" s="640">
        <v>0</v>
      </c>
      <c r="D20" s="619">
        <v>239.53000000000003</v>
      </c>
      <c r="E20" s="640">
        <v>1</v>
      </c>
      <c r="F20" s="620">
        <v>239.53000000000003</v>
      </c>
    </row>
    <row r="21" spans="1:6" ht="14.4" customHeight="1" x14ac:dyDescent="0.3">
      <c r="A21" s="645" t="s">
        <v>2175</v>
      </c>
      <c r="B21" s="619"/>
      <c r="C21" s="640">
        <v>0</v>
      </c>
      <c r="D21" s="619">
        <v>11154.250796866143</v>
      </c>
      <c r="E21" s="640">
        <v>1</v>
      </c>
      <c r="F21" s="620">
        <v>11154.250796866143</v>
      </c>
    </row>
    <row r="22" spans="1:6" ht="14.4" customHeight="1" x14ac:dyDescent="0.3">
      <c r="A22" s="645" t="s">
        <v>2176</v>
      </c>
      <c r="B22" s="619"/>
      <c r="C22" s="640">
        <v>0</v>
      </c>
      <c r="D22" s="619">
        <v>12370.3</v>
      </c>
      <c r="E22" s="640">
        <v>1</v>
      </c>
      <c r="F22" s="620">
        <v>12370.3</v>
      </c>
    </row>
    <row r="23" spans="1:6" ht="14.4" customHeight="1" x14ac:dyDescent="0.3">
      <c r="A23" s="645" t="s">
        <v>2177</v>
      </c>
      <c r="B23" s="619"/>
      <c r="C23" s="640">
        <v>0</v>
      </c>
      <c r="D23" s="619">
        <v>51.059999999999988</v>
      </c>
      <c r="E23" s="640">
        <v>1</v>
      </c>
      <c r="F23" s="620">
        <v>51.059999999999988</v>
      </c>
    </row>
    <row r="24" spans="1:6" ht="14.4" customHeight="1" x14ac:dyDescent="0.3">
      <c r="A24" s="645" t="s">
        <v>2178</v>
      </c>
      <c r="B24" s="619"/>
      <c r="C24" s="640">
        <v>0</v>
      </c>
      <c r="D24" s="619">
        <v>423270.68</v>
      </c>
      <c r="E24" s="640">
        <v>1</v>
      </c>
      <c r="F24" s="620">
        <v>423270.68</v>
      </c>
    </row>
    <row r="25" spans="1:6" ht="14.4" customHeight="1" x14ac:dyDescent="0.3">
      <c r="A25" s="645" t="s">
        <v>2179</v>
      </c>
      <c r="B25" s="619"/>
      <c r="C25" s="640">
        <v>0</v>
      </c>
      <c r="D25" s="619">
        <v>182.93000000000006</v>
      </c>
      <c r="E25" s="640">
        <v>1</v>
      </c>
      <c r="F25" s="620">
        <v>182.93000000000006</v>
      </c>
    </row>
    <row r="26" spans="1:6" ht="14.4" customHeight="1" x14ac:dyDescent="0.3">
      <c r="A26" s="645" t="s">
        <v>2180</v>
      </c>
      <c r="B26" s="619"/>
      <c r="C26" s="640">
        <v>0</v>
      </c>
      <c r="D26" s="619">
        <v>883.66000000000008</v>
      </c>
      <c r="E26" s="640">
        <v>1</v>
      </c>
      <c r="F26" s="620">
        <v>883.66000000000008</v>
      </c>
    </row>
    <row r="27" spans="1:6" ht="14.4" customHeight="1" x14ac:dyDescent="0.3">
      <c r="A27" s="645" t="s">
        <v>2181</v>
      </c>
      <c r="B27" s="619"/>
      <c r="C27" s="640">
        <v>0</v>
      </c>
      <c r="D27" s="619">
        <v>29.300162050858336</v>
      </c>
      <c r="E27" s="640">
        <v>1</v>
      </c>
      <c r="F27" s="620">
        <v>29.300162050858336</v>
      </c>
    </row>
    <row r="28" spans="1:6" ht="14.4" customHeight="1" x14ac:dyDescent="0.3">
      <c r="A28" s="645" t="s">
        <v>2182</v>
      </c>
      <c r="B28" s="619"/>
      <c r="C28" s="640">
        <v>0</v>
      </c>
      <c r="D28" s="619">
        <v>1369.5</v>
      </c>
      <c r="E28" s="640">
        <v>1</v>
      </c>
      <c r="F28" s="620">
        <v>1369.5</v>
      </c>
    </row>
    <row r="29" spans="1:6" ht="14.4" customHeight="1" x14ac:dyDescent="0.3">
      <c r="A29" s="645" t="s">
        <v>2183</v>
      </c>
      <c r="B29" s="619"/>
      <c r="C29" s="640">
        <v>0</v>
      </c>
      <c r="D29" s="619">
        <v>135.77999999999997</v>
      </c>
      <c r="E29" s="640">
        <v>1</v>
      </c>
      <c r="F29" s="620">
        <v>135.77999999999997</v>
      </c>
    </row>
    <row r="30" spans="1:6" ht="14.4" customHeight="1" x14ac:dyDescent="0.3">
      <c r="A30" s="645" t="s">
        <v>2184</v>
      </c>
      <c r="B30" s="619"/>
      <c r="C30" s="640">
        <v>0</v>
      </c>
      <c r="D30" s="619">
        <v>19789.326818181817</v>
      </c>
      <c r="E30" s="640">
        <v>1</v>
      </c>
      <c r="F30" s="620">
        <v>19789.326818181817</v>
      </c>
    </row>
    <row r="31" spans="1:6" ht="14.4" customHeight="1" x14ac:dyDescent="0.3">
      <c r="A31" s="645" t="s">
        <v>2185</v>
      </c>
      <c r="B31" s="619"/>
      <c r="C31" s="640">
        <v>0</v>
      </c>
      <c r="D31" s="619">
        <v>98.600000000000023</v>
      </c>
      <c r="E31" s="640">
        <v>1</v>
      </c>
      <c r="F31" s="620">
        <v>98.600000000000023</v>
      </c>
    </row>
    <row r="32" spans="1:6" ht="14.4" customHeight="1" x14ac:dyDescent="0.3">
      <c r="A32" s="645" t="s">
        <v>2186</v>
      </c>
      <c r="B32" s="619"/>
      <c r="C32" s="640">
        <v>0</v>
      </c>
      <c r="D32" s="619">
        <v>486.79000000000008</v>
      </c>
      <c r="E32" s="640">
        <v>1</v>
      </c>
      <c r="F32" s="620">
        <v>486.79000000000008</v>
      </c>
    </row>
    <row r="33" spans="1:6" ht="14.4" customHeight="1" x14ac:dyDescent="0.3">
      <c r="A33" s="645" t="s">
        <v>2187</v>
      </c>
      <c r="B33" s="619"/>
      <c r="C33" s="640">
        <v>0</v>
      </c>
      <c r="D33" s="619">
        <v>71499.998963065533</v>
      </c>
      <c r="E33" s="640">
        <v>1</v>
      </c>
      <c r="F33" s="620">
        <v>71499.998963065533</v>
      </c>
    </row>
    <row r="34" spans="1:6" ht="14.4" customHeight="1" x14ac:dyDescent="0.3">
      <c r="A34" s="645" t="s">
        <v>2188</v>
      </c>
      <c r="B34" s="619"/>
      <c r="C34" s="640">
        <v>0</v>
      </c>
      <c r="D34" s="619">
        <v>755.93999999999994</v>
      </c>
      <c r="E34" s="640">
        <v>1</v>
      </c>
      <c r="F34" s="620">
        <v>755.93999999999994</v>
      </c>
    </row>
    <row r="35" spans="1:6" ht="14.4" customHeight="1" x14ac:dyDescent="0.3">
      <c r="A35" s="645" t="s">
        <v>2189</v>
      </c>
      <c r="B35" s="619"/>
      <c r="C35" s="640">
        <v>0</v>
      </c>
      <c r="D35" s="619">
        <v>1124.0699999999997</v>
      </c>
      <c r="E35" s="640">
        <v>1</v>
      </c>
      <c r="F35" s="620">
        <v>1124.0699999999997</v>
      </c>
    </row>
    <row r="36" spans="1:6" ht="14.4" customHeight="1" x14ac:dyDescent="0.3">
      <c r="A36" s="645" t="s">
        <v>2190</v>
      </c>
      <c r="B36" s="619"/>
      <c r="C36" s="640">
        <v>0</v>
      </c>
      <c r="D36" s="619">
        <v>265.28950582597946</v>
      </c>
      <c r="E36" s="640">
        <v>1</v>
      </c>
      <c r="F36" s="620">
        <v>265.28950582597946</v>
      </c>
    </row>
    <row r="37" spans="1:6" ht="14.4" customHeight="1" x14ac:dyDescent="0.3">
      <c r="A37" s="645" t="s">
        <v>2191</v>
      </c>
      <c r="B37" s="619"/>
      <c r="C37" s="640">
        <v>0</v>
      </c>
      <c r="D37" s="619">
        <v>948.15879337632362</v>
      </c>
      <c r="E37" s="640">
        <v>1</v>
      </c>
      <c r="F37" s="620">
        <v>948.15879337632362</v>
      </c>
    </row>
    <row r="38" spans="1:6" ht="14.4" customHeight="1" x14ac:dyDescent="0.3">
      <c r="A38" s="645" t="s">
        <v>2192</v>
      </c>
      <c r="B38" s="619"/>
      <c r="C38" s="640">
        <v>0</v>
      </c>
      <c r="D38" s="619">
        <v>2744.9399999999996</v>
      </c>
      <c r="E38" s="640">
        <v>1</v>
      </c>
      <c r="F38" s="620">
        <v>2744.9399999999996</v>
      </c>
    </row>
    <row r="39" spans="1:6" ht="14.4" customHeight="1" x14ac:dyDescent="0.3">
      <c r="A39" s="645" t="s">
        <v>2193</v>
      </c>
      <c r="B39" s="619"/>
      <c r="C39" s="640">
        <v>0</v>
      </c>
      <c r="D39" s="619">
        <v>380941.70399999997</v>
      </c>
      <c r="E39" s="640">
        <v>1</v>
      </c>
      <c r="F39" s="620">
        <v>380941.70399999997</v>
      </c>
    </row>
    <row r="40" spans="1:6" ht="14.4" customHeight="1" x14ac:dyDescent="0.3">
      <c r="A40" s="645" t="s">
        <v>2194</v>
      </c>
      <c r="B40" s="619"/>
      <c r="C40" s="640">
        <v>0</v>
      </c>
      <c r="D40" s="619">
        <v>158.11999999999998</v>
      </c>
      <c r="E40" s="640">
        <v>1</v>
      </c>
      <c r="F40" s="620">
        <v>158.11999999999998</v>
      </c>
    </row>
    <row r="41" spans="1:6" ht="14.4" customHeight="1" x14ac:dyDescent="0.3">
      <c r="A41" s="645" t="s">
        <v>2195</v>
      </c>
      <c r="B41" s="619"/>
      <c r="C41" s="640">
        <v>0</v>
      </c>
      <c r="D41" s="619">
        <v>135.63</v>
      </c>
      <c r="E41" s="640">
        <v>1</v>
      </c>
      <c r="F41" s="620">
        <v>135.63</v>
      </c>
    </row>
    <row r="42" spans="1:6" ht="14.4" customHeight="1" x14ac:dyDescent="0.3">
      <c r="A42" s="645" t="s">
        <v>2196</v>
      </c>
      <c r="B42" s="619"/>
      <c r="C42" s="640">
        <v>0</v>
      </c>
      <c r="D42" s="619">
        <v>4790.72</v>
      </c>
      <c r="E42" s="640">
        <v>1</v>
      </c>
      <c r="F42" s="620">
        <v>4790.72</v>
      </c>
    </row>
    <row r="43" spans="1:6" ht="14.4" customHeight="1" x14ac:dyDescent="0.3">
      <c r="A43" s="645" t="s">
        <v>2197</v>
      </c>
      <c r="B43" s="619"/>
      <c r="C43" s="640">
        <v>0</v>
      </c>
      <c r="D43" s="619">
        <v>42.96</v>
      </c>
      <c r="E43" s="640">
        <v>1</v>
      </c>
      <c r="F43" s="620">
        <v>42.96</v>
      </c>
    </row>
    <row r="44" spans="1:6" ht="14.4" customHeight="1" x14ac:dyDescent="0.3">
      <c r="A44" s="645" t="s">
        <v>2198</v>
      </c>
      <c r="B44" s="619"/>
      <c r="C44" s="640">
        <v>0</v>
      </c>
      <c r="D44" s="619">
        <v>11762.429504932441</v>
      </c>
      <c r="E44" s="640">
        <v>1</v>
      </c>
      <c r="F44" s="620">
        <v>11762.429504932441</v>
      </c>
    </row>
    <row r="45" spans="1:6" ht="14.4" customHeight="1" x14ac:dyDescent="0.3">
      <c r="A45" s="645" t="s">
        <v>2199</v>
      </c>
      <c r="B45" s="619"/>
      <c r="C45" s="640">
        <v>0</v>
      </c>
      <c r="D45" s="619">
        <v>17548.767041095929</v>
      </c>
      <c r="E45" s="640">
        <v>1</v>
      </c>
      <c r="F45" s="620">
        <v>17548.767041095929</v>
      </c>
    </row>
    <row r="46" spans="1:6" ht="14.4" customHeight="1" x14ac:dyDescent="0.3">
      <c r="A46" s="645" t="s">
        <v>2200</v>
      </c>
      <c r="B46" s="619"/>
      <c r="C46" s="640">
        <v>0</v>
      </c>
      <c r="D46" s="619">
        <v>150.2899988974531</v>
      </c>
      <c r="E46" s="640">
        <v>1</v>
      </c>
      <c r="F46" s="620">
        <v>150.2899988974531</v>
      </c>
    </row>
    <row r="47" spans="1:6" ht="14.4" customHeight="1" x14ac:dyDescent="0.3">
      <c r="A47" s="645" t="s">
        <v>2201</v>
      </c>
      <c r="B47" s="619"/>
      <c r="C47" s="640">
        <v>0</v>
      </c>
      <c r="D47" s="619">
        <v>21806.400000000001</v>
      </c>
      <c r="E47" s="640">
        <v>1</v>
      </c>
      <c r="F47" s="620">
        <v>21806.400000000001</v>
      </c>
    </row>
    <row r="48" spans="1:6" ht="14.4" customHeight="1" x14ac:dyDescent="0.3">
      <c r="A48" s="645" t="s">
        <v>2202</v>
      </c>
      <c r="B48" s="619"/>
      <c r="C48" s="640">
        <v>0</v>
      </c>
      <c r="D48" s="619">
        <v>4801.25</v>
      </c>
      <c r="E48" s="640">
        <v>1</v>
      </c>
      <c r="F48" s="620">
        <v>4801.25</v>
      </c>
    </row>
    <row r="49" spans="1:6" ht="14.4" customHeight="1" x14ac:dyDescent="0.3">
      <c r="A49" s="645" t="s">
        <v>2203</v>
      </c>
      <c r="B49" s="619"/>
      <c r="C49" s="640">
        <v>0</v>
      </c>
      <c r="D49" s="619">
        <v>10779.56287450568</v>
      </c>
      <c r="E49" s="640">
        <v>1</v>
      </c>
      <c r="F49" s="620">
        <v>10779.56287450568</v>
      </c>
    </row>
    <row r="50" spans="1:6" ht="14.4" customHeight="1" x14ac:dyDescent="0.3">
      <c r="A50" s="645" t="s">
        <v>2204</v>
      </c>
      <c r="B50" s="619"/>
      <c r="C50" s="640">
        <v>0</v>
      </c>
      <c r="D50" s="619">
        <v>1140.29</v>
      </c>
      <c r="E50" s="640">
        <v>1</v>
      </c>
      <c r="F50" s="620">
        <v>1140.29</v>
      </c>
    </row>
    <row r="51" spans="1:6" ht="14.4" customHeight="1" x14ac:dyDescent="0.3">
      <c r="A51" s="645" t="s">
        <v>2205</v>
      </c>
      <c r="B51" s="619"/>
      <c r="C51" s="640">
        <v>0</v>
      </c>
      <c r="D51" s="619">
        <v>14906.775227280061</v>
      </c>
      <c r="E51" s="640">
        <v>1</v>
      </c>
      <c r="F51" s="620">
        <v>14906.775227280061</v>
      </c>
    </row>
    <row r="52" spans="1:6" ht="14.4" customHeight="1" x14ac:dyDescent="0.3">
      <c r="A52" s="645" t="s">
        <v>2206</v>
      </c>
      <c r="B52" s="619"/>
      <c r="C52" s="640">
        <v>0</v>
      </c>
      <c r="D52" s="619">
        <v>199.31020407822774</v>
      </c>
      <c r="E52" s="640">
        <v>1</v>
      </c>
      <c r="F52" s="620">
        <v>199.31020407822774</v>
      </c>
    </row>
    <row r="53" spans="1:6" ht="14.4" customHeight="1" x14ac:dyDescent="0.3">
      <c r="A53" s="645" t="s">
        <v>2207</v>
      </c>
      <c r="B53" s="619"/>
      <c r="C53" s="640">
        <v>0</v>
      </c>
      <c r="D53" s="619">
        <v>471.18818489546823</v>
      </c>
      <c r="E53" s="640">
        <v>1</v>
      </c>
      <c r="F53" s="620">
        <v>471.18818489546823</v>
      </c>
    </row>
    <row r="54" spans="1:6" ht="14.4" customHeight="1" x14ac:dyDescent="0.3">
      <c r="A54" s="645" t="s">
        <v>2208</v>
      </c>
      <c r="B54" s="619"/>
      <c r="C54" s="640">
        <v>0</v>
      </c>
      <c r="D54" s="619">
        <v>122.63999999999999</v>
      </c>
      <c r="E54" s="640">
        <v>1</v>
      </c>
      <c r="F54" s="620">
        <v>122.63999999999999</v>
      </c>
    </row>
    <row r="55" spans="1:6" ht="14.4" customHeight="1" x14ac:dyDescent="0.3">
      <c r="A55" s="645" t="s">
        <v>2209</v>
      </c>
      <c r="B55" s="619"/>
      <c r="C55" s="640">
        <v>0</v>
      </c>
      <c r="D55" s="619">
        <v>399.25053147016331</v>
      </c>
      <c r="E55" s="640">
        <v>1</v>
      </c>
      <c r="F55" s="620">
        <v>399.25053147016331</v>
      </c>
    </row>
    <row r="56" spans="1:6" ht="14.4" customHeight="1" x14ac:dyDescent="0.3">
      <c r="A56" s="645" t="s">
        <v>2210</v>
      </c>
      <c r="B56" s="619"/>
      <c r="C56" s="640">
        <v>0</v>
      </c>
      <c r="D56" s="619">
        <v>2780.3490714517557</v>
      </c>
      <c r="E56" s="640">
        <v>1</v>
      </c>
      <c r="F56" s="620">
        <v>2780.3490714517557</v>
      </c>
    </row>
    <row r="57" spans="1:6" ht="14.4" customHeight="1" x14ac:dyDescent="0.3">
      <c r="A57" s="645" t="s">
        <v>2211</v>
      </c>
      <c r="B57" s="619"/>
      <c r="C57" s="640">
        <v>0</v>
      </c>
      <c r="D57" s="619">
        <v>311.03999999999996</v>
      </c>
      <c r="E57" s="640">
        <v>1</v>
      </c>
      <c r="F57" s="620">
        <v>311.03999999999996</v>
      </c>
    </row>
    <row r="58" spans="1:6" ht="14.4" customHeight="1" x14ac:dyDescent="0.3">
      <c r="A58" s="645" t="s">
        <v>2212</v>
      </c>
      <c r="B58" s="619"/>
      <c r="C58" s="640">
        <v>0</v>
      </c>
      <c r="D58" s="619">
        <v>653.40000000000009</v>
      </c>
      <c r="E58" s="640">
        <v>1</v>
      </c>
      <c r="F58" s="620">
        <v>653.40000000000009</v>
      </c>
    </row>
    <row r="59" spans="1:6" ht="14.4" customHeight="1" x14ac:dyDescent="0.3">
      <c r="A59" s="645" t="s">
        <v>2213</v>
      </c>
      <c r="B59" s="619"/>
      <c r="C59" s="640">
        <v>0</v>
      </c>
      <c r="D59" s="619">
        <v>151.16000443733768</v>
      </c>
      <c r="E59" s="640">
        <v>1</v>
      </c>
      <c r="F59" s="620">
        <v>151.16000443733768</v>
      </c>
    </row>
    <row r="60" spans="1:6" ht="14.4" customHeight="1" x14ac:dyDescent="0.3">
      <c r="A60" s="645" t="s">
        <v>2214</v>
      </c>
      <c r="B60" s="619"/>
      <c r="C60" s="640">
        <v>0</v>
      </c>
      <c r="D60" s="619">
        <v>114745.44332708356</v>
      </c>
      <c r="E60" s="640">
        <v>1</v>
      </c>
      <c r="F60" s="620">
        <v>114745.44332708356</v>
      </c>
    </row>
    <row r="61" spans="1:6" ht="14.4" customHeight="1" x14ac:dyDescent="0.3">
      <c r="A61" s="645" t="s">
        <v>2215</v>
      </c>
      <c r="B61" s="619"/>
      <c r="C61" s="640">
        <v>0</v>
      </c>
      <c r="D61" s="619">
        <v>147.97000000000003</v>
      </c>
      <c r="E61" s="640">
        <v>1</v>
      </c>
      <c r="F61" s="620">
        <v>147.97000000000003</v>
      </c>
    </row>
    <row r="62" spans="1:6" ht="14.4" customHeight="1" x14ac:dyDescent="0.3">
      <c r="A62" s="645" t="s">
        <v>2216</v>
      </c>
      <c r="B62" s="619"/>
      <c r="C62" s="640">
        <v>0</v>
      </c>
      <c r="D62" s="619">
        <v>1243</v>
      </c>
      <c r="E62" s="640">
        <v>1</v>
      </c>
      <c r="F62" s="620">
        <v>1243</v>
      </c>
    </row>
    <row r="63" spans="1:6" ht="14.4" customHeight="1" x14ac:dyDescent="0.3">
      <c r="A63" s="645" t="s">
        <v>2217</v>
      </c>
      <c r="B63" s="619"/>
      <c r="C63" s="640">
        <v>0</v>
      </c>
      <c r="D63" s="619">
        <v>77006.249895516245</v>
      </c>
      <c r="E63" s="640">
        <v>1</v>
      </c>
      <c r="F63" s="620">
        <v>77006.249895516245</v>
      </c>
    </row>
    <row r="64" spans="1:6" ht="14.4" customHeight="1" thickBot="1" x14ac:dyDescent="0.35">
      <c r="A64" s="646" t="s">
        <v>2218</v>
      </c>
      <c r="B64" s="641"/>
      <c r="C64" s="642">
        <v>0</v>
      </c>
      <c r="D64" s="641">
        <v>61165.829999999994</v>
      </c>
      <c r="E64" s="642">
        <v>1</v>
      </c>
      <c r="F64" s="643">
        <v>61165.829999999994</v>
      </c>
    </row>
    <row r="65" spans="1:6" ht="14.4" customHeight="1" thickBot="1" x14ac:dyDescent="0.35">
      <c r="A65" s="634" t="s">
        <v>3</v>
      </c>
      <c r="B65" s="635">
        <v>35920.874193496682</v>
      </c>
      <c r="C65" s="636">
        <v>2.5224587937574334E-2</v>
      </c>
      <c r="D65" s="635">
        <v>1388121.1867667637</v>
      </c>
      <c r="E65" s="636">
        <v>0.97477541206242557</v>
      </c>
      <c r="F65" s="637">
        <v>1424042.0609602605</v>
      </c>
    </row>
  </sheetData>
  <mergeCells count="3">
    <mergeCell ref="A1:F1"/>
    <mergeCell ref="B3:C3"/>
    <mergeCell ref="D3:E3"/>
  </mergeCells>
  <conditionalFormatting sqref="C5:C1048576">
    <cfRule type="cellIs" dxfId="44" priority="8" stopIfTrue="1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23</vt:i4>
      </vt:variant>
      <vt:variant>
        <vt:lpstr>Pojmenované oblasti</vt:lpstr>
      </vt:variant>
      <vt:variant>
        <vt:i4>3</vt:i4>
      </vt:variant>
    </vt:vector>
  </HeadingPairs>
  <TitlesOfParts>
    <vt:vector size="26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Materiál Žádanky</vt:lpstr>
      <vt:lpstr>MŽ Detail</vt:lpstr>
      <vt:lpstr>Osobní náklady</vt:lpstr>
      <vt:lpstr>ON Data</vt:lpstr>
      <vt:lpstr>ZV Vykáz.-H</vt:lpstr>
      <vt:lpstr>ZV Vykáz.-H Detail</vt:lpstr>
      <vt:lpstr>CaseMix</vt:lpstr>
      <vt:lpstr>ALOS</vt:lpstr>
      <vt:lpstr>Total</vt:lpstr>
      <vt:lpstr>ZV Vyžád.</vt:lpstr>
      <vt:lpstr>ZV Vyžád. Detail</vt:lpstr>
      <vt:lpstr>OD TISS</vt:lpstr>
      <vt:lpstr>doměsíce</vt:lpstr>
      <vt:lpstr>ALOS!Oblast_tisku</vt:lpstr>
      <vt:lpstr>CaseMix!Oblast_tisku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2014-08-21T08:13:26Z</cp:lastPrinted>
  <dcterms:created xsi:type="dcterms:W3CDTF">2013-04-17T20:15:29Z</dcterms:created>
  <dcterms:modified xsi:type="dcterms:W3CDTF">2016-08-19T11:52:59Z</dcterms:modified>
</cp:coreProperties>
</file>